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7.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comments9.xml" ContentType="application/vnd.openxmlformats-officedocument.spreadsheetml.comments+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usepa.sharepoint.com/sites/CSSRA-4ProjectTeam/Shared Documents/General/Generic Scenario Case Study/AM Part II/Paper 2b/"/>
    </mc:Choice>
  </mc:AlternateContent>
  <xr:revisionPtr revIDLastSave="2" documentId="13_ncr:1_{9C8C6D1F-C4C6-450E-8157-433401578401}" xr6:coauthVersionLast="47" xr6:coauthVersionMax="47" xr10:uidLastSave="{9061F913-D02F-475A-B413-55FA61A12B80}"/>
  <bookViews>
    <workbookView xWindow="-110" yWindow="-110" windowWidth="19420" windowHeight="10300" tabRatio="795" firstSheet="3" activeTab="5" xr2:uid="{DD293AFC-D7E6-48D3-B6DB-73EFEE9746CF}"/>
  </bookViews>
  <sheets>
    <sheet name="AM Techniques" sheetId="4" r:id="rId1"/>
    <sheet name="AM Categories" sheetId="5" r:id="rId2"/>
    <sheet name="AM End-of-Life Diagram" sheetId="2" r:id="rId3"/>
    <sheet name="EoL Material Flow Analysis" sheetId="3" r:id="rId4"/>
    <sheet name="Material Cost Data" sheetId="14" r:id="rId5"/>
    <sheet name="GREENSCOPE Calculation" sheetId="7" r:id="rId6"/>
    <sheet name="Economic Analysis" sheetId="18" r:id="rId7"/>
    <sheet name="Energy Consumption" sheetId="16" r:id="rId8"/>
    <sheet name="Energy Consumption2" sheetId="21" r:id="rId9"/>
    <sheet name="Stream Transport Energy-Cost" sheetId="15" r:id="rId10"/>
    <sheet name="Stream Transport Energy-Cost2" sheetId="22" r:id="rId11"/>
    <sheet name="GREENSCOPE Equations" sheetId="11" r:id="rId12"/>
    <sheet name="Efficiency Indicator" sheetId="9" r:id="rId13"/>
    <sheet name="Environmental Indicator" sheetId="10" r:id="rId14"/>
    <sheet name="Energy Indicator" sheetId="17" r:id="rId15"/>
    <sheet name="Economic Indicator" sheetId="20" r:id="rId16"/>
    <sheet name="Generic Scenario" sheetId="8" r:id="rId17"/>
    <sheet name="Materials in AM" sheetId="6" r:id="rId18"/>
    <sheet name="References" sheetId="1" r:id="rId19"/>
  </sheets>
  <externalReferences>
    <externalReference r:id="rId20"/>
    <externalReference r:id="rId21"/>
  </externalReferences>
  <definedNames>
    <definedName name="IN_Enthalpy_MJ_h">'[1]II. Equipment &amp; Cost Data'!$L$209:$L$248</definedName>
    <definedName name="IN_Entropy_MJ_h_K">'[1]II. Equipment &amp; Cost Data'!$M$209:$M$248</definedName>
    <definedName name="IN_renewab">'[1]II. Equipment &amp; Cost Data'!$G$209:$G$248</definedName>
    <definedName name="IN_stream_number">'[1]II. Equipment &amp; Cost Data'!$E$209:$E$248</definedName>
    <definedName name="OUT_Enthalpy__MJ_h">'[1]II. Equipment &amp; Cost Data'!$O$304:$O$343</definedName>
    <definedName name="OUT_Entropy__MJ_K_h">'[1]II. Equipment &amp; Cost Data'!$P$304:$P$343</definedName>
    <definedName name="OUT_Product_1__waste_0">'[1]II. Equipment &amp; Cost Data'!$F$304:$F$343</definedName>
    <definedName name="OUT_renewability">'[1]II. Equipment &amp; Cost Data'!$G$304:$G$343</definedName>
    <definedName name="OUT_stream_Num">'[1]II. Equipment &amp; Cost Data'!$E$304:$E$343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2" i="7" l="1"/>
  <c r="H126" i="7"/>
  <c r="B63" i="21"/>
  <c r="B55" i="21"/>
  <c r="B54" i="21"/>
  <c r="C4" i="21"/>
  <c r="C49" i="7"/>
  <c r="J49" i="7" s="1"/>
  <c r="J148" i="7"/>
  <c r="E140" i="7"/>
  <c r="I130" i="7"/>
  <c r="C130" i="7"/>
  <c r="J130" i="7" s="1"/>
  <c r="G19" i="18"/>
  <c r="H19" i="18"/>
  <c r="F19" i="18"/>
  <c r="F15" i="18"/>
  <c r="W16" i="18"/>
  <c r="W15" i="18"/>
  <c r="R16" i="18"/>
  <c r="T16" i="18"/>
  <c r="T15" i="18"/>
  <c r="Q16" i="18"/>
  <c r="Q15" i="18"/>
  <c r="R15" i="18" s="1"/>
  <c r="I129" i="7"/>
  <c r="I134" i="7"/>
  <c r="B134" i="7"/>
  <c r="B133" i="7"/>
  <c r="B132" i="7"/>
  <c r="B129" i="7"/>
  <c r="B131" i="7"/>
  <c r="I127" i="7"/>
  <c r="B128" i="7"/>
  <c r="H124" i="7"/>
  <c r="E124" i="7"/>
  <c r="I118" i="7"/>
  <c r="F118" i="7"/>
  <c r="H117" i="7"/>
  <c r="E117" i="7"/>
  <c r="C124" i="7"/>
  <c r="B124" i="7"/>
  <c r="C123" i="7"/>
  <c r="B123" i="7"/>
  <c r="C122" i="7"/>
  <c r="C118" i="7"/>
  <c r="C119" i="7"/>
  <c r="C120" i="7" s="1"/>
  <c r="C117" i="7"/>
  <c r="B117" i="7"/>
  <c r="I116" i="7"/>
  <c r="F116" i="7"/>
  <c r="C116" i="7"/>
  <c r="B116" i="7"/>
  <c r="I115" i="7"/>
  <c r="F115" i="7"/>
  <c r="C115" i="7"/>
  <c r="B115" i="7"/>
  <c r="C114" i="7"/>
  <c r="C110" i="7"/>
  <c r="C106" i="7"/>
  <c r="C102" i="7"/>
  <c r="C98" i="7"/>
  <c r="C94" i="7"/>
  <c r="B94" i="7"/>
  <c r="C112" i="7"/>
  <c r="C108" i="7"/>
  <c r="C104" i="7"/>
  <c r="C100" i="7"/>
  <c r="C96" i="7"/>
  <c r="C92" i="7"/>
  <c r="J89" i="7"/>
  <c r="C89" i="7"/>
  <c r="B89" i="7"/>
  <c r="AJ62" i="3"/>
  <c r="C88" i="7"/>
  <c r="AJ44" i="3"/>
  <c r="B88" i="7" s="1"/>
  <c r="C85" i="7"/>
  <c r="B85" i="7"/>
  <c r="C82" i="7"/>
  <c r="B82" i="7"/>
  <c r="C79" i="7"/>
  <c r="B79" i="7"/>
  <c r="C76" i="7"/>
  <c r="B76" i="7"/>
  <c r="C73" i="7"/>
  <c r="B73" i="7"/>
  <c r="C86" i="7"/>
  <c r="C84" i="7"/>
  <c r="C83" i="7" s="1"/>
  <c r="C78" i="7"/>
  <c r="C77" i="7"/>
  <c r="C75" i="7"/>
  <c r="C74" i="7" s="1"/>
  <c r="C71" i="7"/>
  <c r="B71" i="7"/>
  <c r="C45" i="7"/>
  <c r="B45" i="7"/>
  <c r="C43" i="7"/>
  <c r="B43" i="7"/>
  <c r="C41" i="7"/>
  <c r="B41" i="7"/>
  <c r="D4" i="21" l="1"/>
  <c r="U16" i="18"/>
  <c r="V16" i="18" s="1"/>
  <c r="U15" i="18"/>
  <c r="V15" i="18" s="1"/>
  <c r="C47" i="7"/>
  <c r="I36" i="7" s="1"/>
  <c r="B47" i="7"/>
  <c r="F36" i="7" s="1"/>
  <c r="C39" i="7"/>
  <c r="B39" i="7"/>
  <c r="C37" i="7"/>
  <c r="B37" i="7"/>
  <c r="B127" i="7"/>
  <c r="F130" i="7" s="1"/>
  <c r="F129" i="7"/>
  <c r="H128" i="7"/>
  <c r="I128" i="7" s="1"/>
  <c r="E128" i="7"/>
  <c r="H127" i="7"/>
  <c r="J124" i="7"/>
  <c r="E127" i="7"/>
  <c r="E126" i="7"/>
  <c r="F126" i="7" s="1"/>
  <c r="G126" i="7" s="1"/>
  <c r="B126" i="7"/>
  <c r="C65" i="7"/>
  <c r="B65" i="7"/>
  <c r="C53" i="7"/>
  <c r="B53" i="7"/>
  <c r="J117" i="7"/>
  <c r="J121" i="7"/>
  <c r="J122" i="7"/>
  <c r="J123" i="7"/>
  <c r="C62" i="7"/>
  <c r="B62" i="7"/>
  <c r="C56" i="7"/>
  <c r="B56" i="7"/>
  <c r="C17" i="7"/>
  <c r="C68" i="7"/>
  <c r="B68" i="7"/>
  <c r="AJ63" i="3"/>
  <c r="C35" i="7"/>
  <c r="AJ45" i="3"/>
  <c r="C32" i="7"/>
  <c r="E57" i="3"/>
  <c r="D56" i="3"/>
  <c r="F59" i="3"/>
  <c r="H59" i="3" s="1"/>
  <c r="F58" i="3"/>
  <c r="F55" i="3"/>
  <c r="F54" i="3"/>
  <c r="AF42" i="3"/>
  <c r="B32" i="7" s="1"/>
  <c r="C29" i="7"/>
  <c r="C23" i="7"/>
  <c r="B23" i="7"/>
  <c r="B29" i="7"/>
  <c r="B35" i="7"/>
  <c r="R57" i="3"/>
  <c r="R58" i="3" s="1"/>
  <c r="R39" i="3"/>
  <c r="R41" i="3"/>
  <c r="R59" i="3"/>
  <c r="V39" i="3"/>
  <c r="X39" i="3" s="1"/>
  <c r="B20" i="7"/>
  <c r="C18" i="7"/>
  <c r="C34" i="7"/>
  <c r="C33" i="7"/>
  <c r="C30" i="7"/>
  <c r="C24" i="7"/>
  <c r="C21" i="7"/>
  <c r="I14" i="7"/>
  <c r="F14" i="7"/>
  <c r="C14" i="7"/>
  <c r="B14" i="7"/>
  <c r="J10" i="7"/>
  <c r="J8" i="7"/>
  <c r="J9" i="7"/>
  <c r="C10" i="7"/>
  <c r="B64" i="3"/>
  <c r="B57" i="3" s="1"/>
  <c r="B46" i="3"/>
  <c r="B39" i="3"/>
  <c r="B9" i="7"/>
  <c r="B8" i="7"/>
  <c r="C3" i="7"/>
  <c r="B3" i="7"/>
  <c r="G40" i="18"/>
  <c r="C40" i="18"/>
  <c r="F38" i="18"/>
  <c r="F41" i="18" s="1"/>
  <c r="H41" i="18"/>
  <c r="G39" i="18"/>
  <c r="C3" i="21"/>
  <c r="F3" i="21" s="1"/>
  <c r="C39" i="21"/>
  <c r="C43" i="21"/>
  <c r="C45" i="21"/>
  <c r="C49" i="21"/>
  <c r="C36" i="21"/>
  <c r="C29" i="21"/>
  <c r="C26" i="21"/>
  <c r="C23" i="21"/>
  <c r="C17" i="21"/>
  <c r="C16" i="21"/>
  <c r="C24" i="22"/>
  <c r="C17" i="22"/>
  <c r="C5" i="22"/>
  <c r="C4" i="22"/>
  <c r="G37" i="22"/>
  <c r="D37" i="22"/>
  <c r="G33" i="22"/>
  <c r="D33" i="22"/>
  <c r="D31" i="22"/>
  <c r="D27" i="22"/>
  <c r="D24" i="22"/>
  <c r="F24" i="22" s="1"/>
  <c r="G24" i="22" s="1"/>
  <c r="D17" i="22"/>
  <c r="E17" i="22" s="1"/>
  <c r="D14" i="22"/>
  <c r="D11" i="22"/>
  <c r="D4" i="22"/>
  <c r="F4" i="22" s="1"/>
  <c r="G4" i="22" s="1"/>
  <c r="A4" i="22"/>
  <c r="A5" i="22" s="1"/>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 i="22"/>
  <c r="D248" i="21"/>
  <c r="D247" i="21"/>
  <c r="D246" i="21"/>
  <c r="D245" i="21"/>
  <c r="D244" i="21"/>
  <c r="D239" i="21"/>
  <c r="D238" i="21"/>
  <c r="D237" i="21"/>
  <c r="D236" i="21"/>
  <c r="D235" i="21"/>
  <c r="D231" i="21"/>
  <c r="D230" i="21"/>
  <c r="D229" i="21"/>
  <c r="D228" i="21"/>
  <c r="D227" i="21"/>
  <c r="D222" i="21"/>
  <c r="D221" i="21"/>
  <c r="D220" i="21"/>
  <c r="D219" i="21"/>
  <c r="D218" i="21"/>
  <c r="B56" i="21"/>
  <c r="F49" i="21"/>
  <c r="M49" i="21" s="1"/>
  <c r="F45" i="21"/>
  <c r="G45" i="21" s="1"/>
  <c r="K45" i="21" s="1"/>
  <c r="F43" i="21"/>
  <c r="M43" i="21" s="1"/>
  <c r="F39" i="21"/>
  <c r="L39" i="21" s="1"/>
  <c r="M36" i="21"/>
  <c r="F36" i="21"/>
  <c r="L36" i="21" s="1"/>
  <c r="L30" i="21"/>
  <c r="F30" i="21"/>
  <c r="F29" i="21"/>
  <c r="G29" i="21" s="1"/>
  <c r="K29" i="21" s="1"/>
  <c r="F28" i="21"/>
  <c r="M28" i="21" s="1"/>
  <c r="F27" i="21"/>
  <c r="M27" i="21" s="1"/>
  <c r="F26" i="21"/>
  <c r="L26" i="21" s="1"/>
  <c r="L25" i="21"/>
  <c r="F25" i="21"/>
  <c r="F24" i="21"/>
  <c r="M24" i="21" s="1"/>
  <c r="M23" i="21"/>
  <c r="G23" i="21"/>
  <c r="K23" i="21" s="1"/>
  <c r="F23" i="21"/>
  <c r="L23" i="21" s="1"/>
  <c r="F22" i="21"/>
  <c r="G22" i="21" s="1"/>
  <c r="K22" i="21" s="1"/>
  <c r="M21" i="21"/>
  <c r="F21" i="21"/>
  <c r="G21" i="21" s="1"/>
  <c r="K21" i="21" s="1"/>
  <c r="F20" i="21"/>
  <c r="M20" i="21" s="1"/>
  <c r="F19" i="21"/>
  <c r="M19" i="21" s="1"/>
  <c r="M18" i="21"/>
  <c r="F18" i="21"/>
  <c r="L18" i="21" s="1"/>
  <c r="F17" i="21"/>
  <c r="M17" i="21" s="1"/>
  <c r="F16" i="21"/>
  <c r="M16" i="21" s="1"/>
  <c r="B16" i="2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M15" i="21"/>
  <c r="L15" i="21"/>
  <c r="F15" i="21"/>
  <c r="G15" i="21" s="1"/>
  <c r="B15" i="21"/>
  <c r="I14" i="21"/>
  <c r="J14" i="21" s="1"/>
  <c r="D14" i="21"/>
  <c r="I13" i="21"/>
  <c r="J13" i="21" s="1"/>
  <c r="D13" i="21"/>
  <c r="I12" i="21"/>
  <c r="J12" i="21" s="1"/>
  <c r="I11" i="21"/>
  <c r="J11" i="21" s="1"/>
  <c r="D11" i="21"/>
  <c r="I10" i="21"/>
  <c r="J10" i="21" s="1"/>
  <c r="D10" i="21"/>
  <c r="I9" i="21"/>
  <c r="J9" i="21" s="1"/>
  <c r="D9" i="21"/>
  <c r="I8" i="21"/>
  <c r="J8" i="21" s="1"/>
  <c r="D8" i="21"/>
  <c r="K7" i="21"/>
  <c r="H6" i="21"/>
  <c r="D6" i="21"/>
  <c r="I5" i="21"/>
  <c r="J5" i="21" s="1"/>
  <c r="D5" i="21"/>
  <c r="I4" i="21"/>
  <c r="J4" i="21" s="1"/>
  <c r="F4" i="21"/>
  <c r="I3" i="21"/>
  <c r="J3" i="21" s="1"/>
  <c r="D3" i="21"/>
  <c r="F5" i="16"/>
  <c r="C5" i="16"/>
  <c r="G3" i="16"/>
  <c r="C3" i="16"/>
  <c r="H32" i="18"/>
  <c r="I145" i="7" s="1"/>
  <c r="G32" i="18"/>
  <c r="F32" i="18"/>
  <c r="B30" i="18"/>
  <c r="C32" i="18"/>
  <c r="D32" i="18"/>
  <c r="F145" i="7" s="1"/>
  <c r="F56" i="3"/>
  <c r="W64" i="3"/>
  <c r="W65" i="3" s="1"/>
  <c r="P64" i="3"/>
  <c r="P65" i="3" s="1"/>
  <c r="B65" i="3"/>
  <c r="AA61" i="3"/>
  <c r="AB61" i="3" s="1"/>
  <c r="X61" i="3"/>
  <c r="V61" i="3"/>
  <c r="U61" i="3"/>
  <c r="L61" i="3"/>
  <c r="K61" i="3"/>
  <c r="AI60" i="3"/>
  <c r="AB60" i="3"/>
  <c r="AA60" i="3"/>
  <c r="V60" i="3"/>
  <c r="X60" i="3" s="1"/>
  <c r="U60" i="3"/>
  <c r="L60" i="3"/>
  <c r="K60" i="3"/>
  <c r="U59" i="3"/>
  <c r="L58" i="3"/>
  <c r="K58" i="3"/>
  <c r="U57" i="3"/>
  <c r="I57" i="3"/>
  <c r="L57" i="3" s="1"/>
  <c r="N57" i="3" s="1"/>
  <c r="Q57" i="3" s="1"/>
  <c r="F57" i="3"/>
  <c r="G57" i="3" s="1"/>
  <c r="AJ56" i="3"/>
  <c r="AI56" i="3"/>
  <c r="T56" i="3"/>
  <c r="U56" i="3" s="1"/>
  <c r="S56" i="3"/>
  <c r="V56" i="3" s="1"/>
  <c r="X56" i="3" s="1"/>
  <c r="Y56" i="3" s="1"/>
  <c r="K56" i="3"/>
  <c r="U55" i="3"/>
  <c r="R55" i="3"/>
  <c r="V55" i="3" s="1"/>
  <c r="X55" i="3" s="1"/>
  <c r="H55" i="3"/>
  <c r="G55" i="3" s="1"/>
  <c r="B55" i="3"/>
  <c r="C55" i="3" s="1"/>
  <c r="AJ54" i="3"/>
  <c r="AI54" i="3"/>
  <c r="U54" i="3"/>
  <c r="R54" i="3"/>
  <c r="V54" i="3" s="1"/>
  <c r="B54" i="3"/>
  <c r="C54" i="3" s="1"/>
  <c r="C64" i="3" s="1"/>
  <c r="C65" i="3" s="1"/>
  <c r="X52" i="3"/>
  <c r="Y52" i="3" s="1"/>
  <c r="Z52" i="3" s="1"/>
  <c r="AA52" i="3" s="1"/>
  <c r="AB52" i="3" s="1"/>
  <c r="AC52" i="3" s="1"/>
  <c r="AD52" i="3" s="1"/>
  <c r="AE52" i="3" s="1"/>
  <c r="AF52" i="3" s="1"/>
  <c r="AG52" i="3" s="1"/>
  <c r="AH52" i="3" s="1"/>
  <c r="AI52" i="3" s="1"/>
  <c r="AJ52" i="3" s="1"/>
  <c r="V52" i="3"/>
  <c r="J52" i="3"/>
  <c r="K52" i="3" s="1"/>
  <c r="L52" i="3" s="1"/>
  <c r="M52" i="3" s="1"/>
  <c r="N52" i="3" s="1"/>
  <c r="F52" i="3"/>
  <c r="G52" i="3" s="1"/>
  <c r="H52" i="3" s="1"/>
  <c r="C52" i="3"/>
  <c r="C13" i="7"/>
  <c r="C38" i="7"/>
  <c r="C40" i="7"/>
  <c r="C48" i="7"/>
  <c r="C52" i="7"/>
  <c r="C55" i="7"/>
  <c r="C57" i="7"/>
  <c r="C58" i="7"/>
  <c r="C59" i="7"/>
  <c r="C60" i="7"/>
  <c r="C61" i="7"/>
  <c r="C64" i="7"/>
  <c r="M26" i="21" l="1"/>
  <c r="G20" i="21"/>
  <c r="K20" i="21" s="1"/>
  <c r="G30" i="21"/>
  <c r="K30" i="21" s="1"/>
  <c r="M39" i="21"/>
  <c r="L49" i="21"/>
  <c r="L20" i="21"/>
  <c r="G28" i="21"/>
  <c r="K28" i="21" s="1"/>
  <c r="L29" i="21"/>
  <c r="M29" i="21"/>
  <c r="L17" i="21"/>
  <c r="L28" i="21"/>
  <c r="G36" i="21"/>
  <c r="K36" i="21" s="1"/>
  <c r="L45" i="21"/>
  <c r="L22" i="21"/>
  <c r="G39" i="21"/>
  <c r="K39" i="21" s="1"/>
  <c r="G4" i="21"/>
  <c r="L21" i="21"/>
  <c r="M25" i="21"/>
  <c r="M45" i="21"/>
  <c r="F134" i="7"/>
  <c r="C50" i="7"/>
  <c r="C9" i="7"/>
  <c r="C8" i="7"/>
  <c r="C3" i="22"/>
  <c r="G38" i="18"/>
  <c r="G41" i="18" s="1"/>
  <c r="D5" i="22"/>
  <c r="E5" i="22" s="1"/>
  <c r="E4" i="22"/>
  <c r="E24" i="22"/>
  <c r="F17" i="22"/>
  <c r="G17" i="22" s="1"/>
  <c r="M3" i="21"/>
  <c r="L3" i="21"/>
  <c r="M4" i="21"/>
  <c r="L4" i="21"/>
  <c r="K4" i="21"/>
  <c r="G43" i="21"/>
  <c r="K43" i="21" s="1"/>
  <c r="G18" i="21"/>
  <c r="K18" i="21" s="1"/>
  <c r="G26" i="21"/>
  <c r="K26" i="21" s="1"/>
  <c r="G27" i="21"/>
  <c r="K27" i="21" s="1"/>
  <c r="M30" i="21"/>
  <c r="G17" i="21"/>
  <c r="K17" i="21" s="1"/>
  <c r="L19" i="21"/>
  <c r="G25" i="21"/>
  <c r="K25" i="21" s="1"/>
  <c r="L27" i="21"/>
  <c r="L43" i="21"/>
  <c r="G49" i="21"/>
  <c r="K49" i="21" s="1"/>
  <c r="G3" i="21"/>
  <c r="G19" i="21"/>
  <c r="K19" i="21" s="1"/>
  <c r="M22" i="21"/>
  <c r="G16" i="21"/>
  <c r="K16" i="21" s="1"/>
  <c r="G24" i="21"/>
  <c r="K24" i="21" s="1"/>
  <c r="K15" i="21"/>
  <c r="L16" i="21"/>
  <c r="L24" i="21"/>
  <c r="I59" i="3"/>
  <c r="K59" i="3" s="1"/>
  <c r="L59" i="3"/>
  <c r="X54" i="3"/>
  <c r="Z56" i="3"/>
  <c r="E64" i="3"/>
  <c r="AH61" i="3"/>
  <c r="AI61" i="3" s="1"/>
  <c r="AC61" i="3"/>
  <c r="G58" i="3"/>
  <c r="G64" i="3" s="1"/>
  <c r="H54" i="3"/>
  <c r="I55" i="3"/>
  <c r="K55" i="3" s="1"/>
  <c r="Y55" i="3" s="1"/>
  <c r="AA55" i="3" s="1"/>
  <c r="K57" i="3"/>
  <c r="I23" i="8"/>
  <c r="I22" i="8"/>
  <c r="J23" i="8"/>
  <c r="J22" i="8"/>
  <c r="L22" i="8"/>
  <c r="K22" i="8"/>
  <c r="K23" i="8"/>
  <c r="L23" i="8"/>
  <c r="E3" i="20"/>
  <c r="E4" i="20" s="1"/>
  <c r="E5" i="20" s="1"/>
  <c r="G2" i="9"/>
  <c r="F2" i="10"/>
  <c r="F2" i="9"/>
  <c r="D15" i="20"/>
  <c r="D14" i="20"/>
  <c r="D13" i="20"/>
  <c r="D12" i="20"/>
  <c r="D11" i="20"/>
  <c r="D10" i="20"/>
  <c r="D9" i="20"/>
  <c r="D8" i="20"/>
  <c r="D7" i="20"/>
  <c r="D6" i="20"/>
  <c r="D5" i="20"/>
  <c r="D4" i="20"/>
  <c r="D3" i="20"/>
  <c r="AA1" i="20"/>
  <c r="AB1" i="20" s="1"/>
  <c r="E3" i="17"/>
  <c r="J23" i="11"/>
  <c r="J25" i="11"/>
  <c r="J26" i="11"/>
  <c r="J27" i="11"/>
  <c r="J28" i="11"/>
  <c r="J29" i="11"/>
  <c r="J30" i="11"/>
  <c r="I22" i="11"/>
  <c r="I24" i="11"/>
  <c r="I25" i="11"/>
  <c r="I26" i="11"/>
  <c r="I27" i="11"/>
  <c r="I28" i="11"/>
  <c r="I29" i="11"/>
  <c r="I21" i="11"/>
  <c r="A21" i="11"/>
  <c r="A22" i="11"/>
  <c r="A23" i="11" s="1"/>
  <c r="A24" i="11" s="1"/>
  <c r="A25" i="11" s="1"/>
  <c r="A26" i="11" s="1"/>
  <c r="A27" i="11" s="1"/>
  <c r="A28" i="11" s="1"/>
  <c r="A29" i="11" s="1"/>
  <c r="A30" i="11" s="1"/>
  <c r="J20" i="11"/>
  <c r="J19" i="11"/>
  <c r="I20" i="11"/>
  <c r="I19" i="11"/>
  <c r="J18" i="11"/>
  <c r="I18" i="11"/>
  <c r="J17" i="11"/>
  <c r="I17" i="11"/>
  <c r="I16" i="11"/>
  <c r="J15" i="11"/>
  <c r="I14" i="11"/>
  <c r="I15" i="11"/>
  <c r="I13" i="11"/>
  <c r="J4" i="11"/>
  <c r="J5" i="11"/>
  <c r="J6" i="11"/>
  <c r="J7" i="11"/>
  <c r="J8" i="11"/>
  <c r="J9" i="11"/>
  <c r="J10" i="11"/>
  <c r="J11" i="11"/>
  <c r="I4" i="11"/>
  <c r="I5" i="11"/>
  <c r="I6" i="11"/>
  <c r="I7" i="11"/>
  <c r="I8" i="11"/>
  <c r="I9" i="11"/>
  <c r="I10" i="11"/>
  <c r="I11" i="11"/>
  <c r="J37" i="11"/>
  <c r="J38" i="11"/>
  <c r="J39" i="11"/>
  <c r="I35" i="11"/>
  <c r="I36" i="11"/>
  <c r="I37" i="11"/>
  <c r="I38" i="11"/>
  <c r="I39" i="11"/>
  <c r="I40" i="11"/>
  <c r="J47" i="11"/>
  <c r="J53" i="11"/>
  <c r="J54" i="11"/>
  <c r="I47" i="11"/>
  <c r="I49" i="11"/>
  <c r="I50" i="11"/>
  <c r="I51" i="11"/>
  <c r="I52" i="11"/>
  <c r="I54" i="11"/>
  <c r="G65" i="3" l="1"/>
  <c r="C8" i="22"/>
  <c r="E65" i="3"/>
  <c r="C6" i="22"/>
  <c r="C5" i="21"/>
  <c r="V59" i="3"/>
  <c r="X59" i="3" s="1"/>
  <c r="Y59" i="3" s="1"/>
  <c r="Z59" i="3" s="1"/>
  <c r="S58" i="3"/>
  <c r="V57" i="3"/>
  <c r="X57" i="3" s="1"/>
  <c r="Y57" i="3" s="1"/>
  <c r="AA57" i="3" s="1"/>
  <c r="AB57" i="3" s="1"/>
  <c r="AE57" i="3" s="1"/>
  <c r="AF57" i="3" s="1"/>
  <c r="C15" i="21"/>
  <c r="D3" i="22"/>
  <c r="F5" i="22"/>
  <c r="G5" i="22" s="1"/>
  <c r="K3" i="21"/>
  <c r="D64" i="3"/>
  <c r="D65" i="3" s="1"/>
  <c r="L55" i="3"/>
  <c r="AA56" i="3"/>
  <c r="I54" i="3"/>
  <c r="L54" i="3" s="1"/>
  <c r="E6" i="20"/>
  <c r="E7" i="20" s="1"/>
  <c r="E8" i="20" s="1"/>
  <c r="E9" i="20" s="1"/>
  <c r="E10" i="20" s="1"/>
  <c r="E11" i="20" s="1"/>
  <c r="F5" i="21" l="1"/>
  <c r="AA59" i="3"/>
  <c r="AB59" i="3" s="1"/>
  <c r="AC59" i="3" s="1"/>
  <c r="C20" i="21"/>
  <c r="D8" i="22"/>
  <c r="AC57" i="3"/>
  <c r="AD57" i="3" s="1"/>
  <c r="AH57" i="3"/>
  <c r="AI57" i="3" s="1"/>
  <c r="AJ57" i="3" s="1"/>
  <c r="R64" i="3"/>
  <c r="R65" i="3" s="1"/>
  <c r="E3" i="22"/>
  <c r="F3" i="22"/>
  <c r="G3" i="22" s="1"/>
  <c r="D6" i="22"/>
  <c r="C18" i="21"/>
  <c r="C19" i="22"/>
  <c r="M54" i="3"/>
  <c r="AH59" i="3"/>
  <c r="AI59" i="3" s="1"/>
  <c r="AJ59" i="3" s="1"/>
  <c r="AE59" i="3"/>
  <c r="AF59" i="3" s="1"/>
  <c r="AD59" i="3"/>
  <c r="M55" i="3"/>
  <c r="N55" i="3" s="1"/>
  <c r="H56" i="3"/>
  <c r="F64" i="3"/>
  <c r="J54" i="3"/>
  <c r="J64" i="3" s="1"/>
  <c r="I64" i="3"/>
  <c r="S64" i="3"/>
  <c r="T58" i="3"/>
  <c r="V58" i="3"/>
  <c r="E12" i="20"/>
  <c r="E13" i="20" s="1"/>
  <c r="E14" i="20" s="1"/>
  <c r="E15" i="20" s="1"/>
  <c r="M5" i="21" l="1"/>
  <c r="G5" i="21"/>
  <c r="L5" i="21"/>
  <c r="I65" i="3"/>
  <c r="C6" i="21"/>
  <c r="F6" i="21" s="1"/>
  <c r="C10" i="22"/>
  <c r="J65" i="3"/>
  <c r="C20" i="7"/>
  <c r="F65" i="3"/>
  <c r="C7" i="22"/>
  <c r="E8" i="22"/>
  <c r="F8" i="22"/>
  <c r="G8" i="22" s="1"/>
  <c r="F6" i="22"/>
  <c r="G6" i="22" s="1"/>
  <c r="E6" i="22"/>
  <c r="S65" i="3"/>
  <c r="C20" i="22"/>
  <c r="D19" i="22"/>
  <c r="C31" i="21"/>
  <c r="C41" i="22"/>
  <c r="O55" i="3"/>
  <c r="X58" i="3"/>
  <c r="X64" i="3" s="1"/>
  <c r="V64" i="3"/>
  <c r="K54" i="3"/>
  <c r="U58" i="3"/>
  <c r="T64" i="3"/>
  <c r="L56" i="3"/>
  <c r="H64" i="3"/>
  <c r="N54" i="3"/>
  <c r="D41" i="18"/>
  <c r="B38" i="18"/>
  <c r="C38" i="18" s="1"/>
  <c r="B12" i="14"/>
  <c r="A43" i="11"/>
  <c r="A44" i="11" s="1"/>
  <c r="A45" i="11" s="1"/>
  <c r="A46" i="11" s="1"/>
  <c r="A47" i="11" s="1"/>
  <c r="A48" i="11" s="1"/>
  <c r="A49" i="11" s="1"/>
  <c r="A50" i="11" s="1"/>
  <c r="A51" i="11" s="1"/>
  <c r="A52" i="11" s="1"/>
  <c r="A53" i="11" s="1"/>
  <c r="A54" i="11" s="1"/>
  <c r="D33" i="18"/>
  <c r="H34" i="18" s="1"/>
  <c r="B33" i="18"/>
  <c r="F34" i="18" s="1"/>
  <c r="D30" i="18"/>
  <c r="M23" i="16"/>
  <c r="M26" i="16"/>
  <c r="M39" i="16"/>
  <c r="M43" i="16"/>
  <c r="M45" i="16"/>
  <c r="M49" i="16"/>
  <c r="L23" i="16"/>
  <c r="L26" i="16"/>
  <c r="L39" i="16"/>
  <c r="L43" i="16"/>
  <c r="L45" i="16"/>
  <c r="L49" i="16"/>
  <c r="K7" i="16"/>
  <c r="K23" i="16"/>
  <c r="K26" i="16"/>
  <c r="K39" i="16"/>
  <c r="K43" i="16"/>
  <c r="K45" i="16"/>
  <c r="K49" i="16"/>
  <c r="C6" i="18"/>
  <c r="C7" i="18"/>
  <c r="C8" i="18"/>
  <c r="C5" i="18"/>
  <c r="F23" i="16"/>
  <c r="F26" i="16"/>
  <c r="F39" i="16"/>
  <c r="F43" i="16"/>
  <c r="F45" i="16"/>
  <c r="F49" i="16"/>
  <c r="K5" i="21" l="1"/>
  <c r="D7" i="22"/>
  <c r="C19" i="21"/>
  <c r="H65" i="3"/>
  <c r="C9" i="22"/>
  <c r="C22" i="21"/>
  <c r="D10" i="22"/>
  <c r="L6" i="21"/>
  <c r="G6" i="21"/>
  <c r="M6" i="21"/>
  <c r="C33" i="18"/>
  <c r="G34" i="18" s="1"/>
  <c r="C145" i="7" s="1"/>
  <c r="J145" i="7" s="1"/>
  <c r="F19" i="22"/>
  <c r="E19" i="22"/>
  <c r="C32" i="21"/>
  <c r="D20" i="22"/>
  <c r="V65" i="3"/>
  <c r="C23" i="22"/>
  <c r="T65" i="3"/>
  <c r="C7" i="21"/>
  <c r="F7" i="21" s="1"/>
  <c r="C21" i="22"/>
  <c r="C33" i="21" s="1"/>
  <c r="X65" i="3"/>
  <c r="C25" i="22"/>
  <c r="K64" i="3"/>
  <c r="Y54" i="3"/>
  <c r="Y58" i="3"/>
  <c r="Z58" i="3" s="1"/>
  <c r="U64" i="3"/>
  <c r="M56" i="3"/>
  <c r="M64" i="3" s="1"/>
  <c r="M65" i="3" s="1"/>
  <c r="L64" i="3"/>
  <c r="O64" i="3"/>
  <c r="AI55" i="3"/>
  <c r="Q54" i="3"/>
  <c r="Q55" i="3"/>
  <c r="AB55" i="3" s="1"/>
  <c r="AE55" i="3" s="1"/>
  <c r="B41" i="18"/>
  <c r="C39" i="18"/>
  <c r="C41" i="18" s="1"/>
  <c r="C30" i="18"/>
  <c r="E4" i="17"/>
  <c r="E5" i="17" s="1"/>
  <c r="E6" i="17" s="1"/>
  <c r="E7" i="17" s="1"/>
  <c r="E8" i="17" s="1"/>
  <c r="E9" i="17" s="1"/>
  <c r="E10" i="17" s="1"/>
  <c r="D11" i="17"/>
  <c r="D10" i="17"/>
  <c r="D9" i="17"/>
  <c r="D8" i="17"/>
  <c r="D7" i="17"/>
  <c r="D6" i="17"/>
  <c r="D5" i="17"/>
  <c r="D4" i="17"/>
  <c r="D3" i="17"/>
  <c r="AA1" i="17"/>
  <c r="AB1" i="17" s="1"/>
  <c r="H6" i="16"/>
  <c r="O65" i="3" l="1"/>
  <c r="C16" i="22"/>
  <c r="F7" i="22"/>
  <c r="G7" i="22" s="1"/>
  <c r="E7" i="22"/>
  <c r="E41" i="22" s="1"/>
  <c r="K65" i="3"/>
  <c r="C12" i="22"/>
  <c r="C42" i="22"/>
  <c r="K6" i="21"/>
  <c r="E10" i="22"/>
  <c r="F10" i="22"/>
  <c r="G10" i="22" s="1"/>
  <c r="L65" i="3"/>
  <c r="C13" i="22"/>
  <c r="D41" i="22"/>
  <c r="C21" i="21"/>
  <c r="D9" i="22"/>
  <c r="D25" i="22"/>
  <c r="F25" i="22" s="1"/>
  <c r="G25" i="22" s="1"/>
  <c r="C37" i="21"/>
  <c r="D23" i="22"/>
  <c r="E23" i="22" s="1"/>
  <c r="C35" i="21"/>
  <c r="D21" i="22"/>
  <c r="U65" i="3"/>
  <c r="C22" i="22"/>
  <c r="C34" i="21" s="1"/>
  <c r="F23" i="22"/>
  <c r="G23" i="22" s="1"/>
  <c r="G19" i="22"/>
  <c r="F20" i="22"/>
  <c r="E20" i="22"/>
  <c r="N56" i="3"/>
  <c r="AA54" i="3"/>
  <c r="Y64" i="3"/>
  <c r="AF55" i="3"/>
  <c r="AG55" i="3" s="1"/>
  <c r="Z64" i="3"/>
  <c r="Z65" i="3" s="1"/>
  <c r="E11" i="17"/>
  <c r="J4" i="16"/>
  <c r="J8" i="16"/>
  <c r="J10" i="16"/>
  <c r="J12" i="16"/>
  <c r="J3" i="16"/>
  <c r="I3" i="16"/>
  <c r="I4" i="16"/>
  <c r="I5" i="16"/>
  <c r="J5" i="16" s="1"/>
  <c r="I8" i="16"/>
  <c r="I9" i="16"/>
  <c r="J9" i="16" s="1"/>
  <c r="I10" i="16"/>
  <c r="I11" i="16"/>
  <c r="J11" i="16" s="1"/>
  <c r="I12" i="16"/>
  <c r="I13" i="16"/>
  <c r="J13" i="16" s="1"/>
  <c r="I14" i="16"/>
  <c r="J14" i="16" s="1"/>
  <c r="C132" i="7" l="1"/>
  <c r="J132" i="7" s="1"/>
  <c r="F41" i="22"/>
  <c r="D16" i="22"/>
  <c r="C28" i="21"/>
  <c r="E9" i="22"/>
  <c r="F9" i="22"/>
  <c r="G9" i="22" s="1"/>
  <c r="D12" i="22"/>
  <c r="C24" i="21"/>
  <c r="D13" i="22"/>
  <c r="C25" i="21"/>
  <c r="E25" i="22"/>
  <c r="AA58" i="3"/>
  <c r="AB58" i="3" s="1"/>
  <c r="AC58" i="3" s="1"/>
  <c r="G20" i="22"/>
  <c r="G41" i="22"/>
  <c r="E21" i="22"/>
  <c r="F21" i="22"/>
  <c r="F42" i="22" s="1"/>
  <c r="Y65" i="3"/>
  <c r="C26" i="22"/>
  <c r="C38" i="21" s="1"/>
  <c r="D42" i="22"/>
  <c r="D22" i="22"/>
  <c r="AJ55" i="3"/>
  <c r="AB54" i="3"/>
  <c r="Q56" i="3"/>
  <c r="N64" i="3"/>
  <c r="B55" i="16"/>
  <c r="D247" i="16"/>
  <c r="D246" i="16"/>
  <c r="D245" i="16"/>
  <c r="D244" i="16"/>
  <c r="D243" i="16"/>
  <c r="D238" i="16"/>
  <c r="D237" i="16"/>
  <c r="D236" i="16"/>
  <c r="D235" i="16"/>
  <c r="D234" i="16"/>
  <c r="D230" i="16"/>
  <c r="D229" i="16"/>
  <c r="D228" i="16"/>
  <c r="D227" i="16"/>
  <c r="D226" i="16"/>
  <c r="D221" i="16"/>
  <c r="D220" i="16"/>
  <c r="D219" i="16"/>
  <c r="D218" i="16"/>
  <c r="D217" i="16"/>
  <c r="C23" i="16"/>
  <c r="C26" i="16"/>
  <c r="C39" i="16"/>
  <c r="C43" i="16"/>
  <c r="C45" i="16"/>
  <c r="C49" i="16"/>
  <c r="D31" i="15"/>
  <c r="D33" i="15"/>
  <c r="D27" i="15"/>
  <c r="D37" i="15"/>
  <c r="D14" i="15"/>
  <c r="D11" i="15"/>
  <c r="B15" i="16"/>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D14" i="16"/>
  <c r="D13" i="16"/>
  <c r="D11" i="16"/>
  <c r="D10" i="16"/>
  <c r="D9" i="16"/>
  <c r="D8" i="16"/>
  <c r="D6" i="16"/>
  <c r="D4" i="16"/>
  <c r="D5" i="16"/>
  <c r="D3" i="16"/>
  <c r="A3" i="15"/>
  <c r="A4" i="15" s="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G33" i="15"/>
  <c r="G37" i="15"/>
  <c r="F16" i="22" l="1"/>
  <c r="G16" i="22" s="1"/>
  <c r="E16" i="22"/>
  <c r="E13" i="22"/>
  <c r="F13" i="22"/>
  <c r="G13" i="22" s="1"/>
  <c r="N65" i="3"/>
  <c r="C15" i="22"/>
  <c r="F12" i="22"/>
  <c r="G12" i="22" s="1"/>
  <c r="E12" i="22"/>
  <c r="C11" i="21"/>
  <c r="F11" i="21" s="1"/>
  <c r="C10" i="21"/>
  <c r="F10" i="21" s="1"/>
  <c r="C9" i="21"/>
  <c r="F9" i="21" s="1"/>
  <c r="H29" i="18"/>
  <c r="G29" i="18"/>
  <c r="G31" i="18" s="1"/>
  <c r="C143" i="7" s="1"/>
  <c r="F29" i="18"/>
  <c r="F31" i="18" s="1"/>
  <c r="AH58" i="3"/>
  <c r="AH64" i="3" s="1"/>
  <c r="AD58" i="3"/>
  <c r="AD64" i="3" s="1"/>
  <c r="AD65" i="3" s="1"/>
  <c r="E42" i="22"/>
  <c r="AA64" i="3"/>
  <c r="AE58" i="3"/>
  <c r="D26" i="22"/>
  <c r="G21" i="22"/>
  <c r="F22" i="22"/>
  <c r="E22" i="22"/>
  <c r="AB56" i="3"/>
  <c r="AE56" i="3" s="1"/>
  <c r="AF56" i="3" s="1"/>
  <c r="Q64" i="3"/>
  <c r="AB64" i="3"/>
  <c r="AE54" i="3"/>
  <c r="G49" i="16"/>
  <c r="G39" i="16"/>
  <c r="G23" i="16"/>
  <c r="G43" i="16"/>
  <c r="G26" i="16"/>
  <c r="G45" i="16"/>
  <c r="B6" i="14"/>
  <c r="B11" i="14"/>
  <c r="H31" i="18" l="1"/>
  <c r="I143" i="7"/>
  <c r="D15" i="22"/>
  <c r="C27" i="21"/>
  <c r="Q65" i="3"/>
  <c r="C18" i="22"/>
  <c r="AI58" i="3"/>
  <c r="AJ58" i="3" s="1"/>
  <c r="M10" i="21"/>
  <c r="L10" i="21"/>
  <c r="G10" i="21"/>
  <c r="K10" i="21" s="1"/>
  <c r="AF58" i="3"/>
  <c r="C12" i="21"/>
  <c r="L9" i="21"/>
  <c r="G9" i="21"/>
  <c r="M9" i="21"/>
  <c r="G11" i="21"/>
  <c r="K11" i="21" s="1"/>
  <c r="L11" i="21"/>
  <c r="M11" i="21"/>
  <c r="AA65" i="3"/>
  <c r="C28" i="22"/>
  <c r="C40" i="21" s="1"/>
  <c r="AH65" i="3"/>
  <c r="C35" i="22"/>
  <c r="AC64" i="3"/>
  <c r="G22" i="22"/>
  <c r="G42" i="22"/>
  <c r="F26" i="22"/>
  <c r="G26" i="22" s="1"/>
  <c r="E26" i="22"/>
  <c r="AB65" i="3"/>
  <c r="C8" i="21"/>
  <c r="F8" i="21" s="1"/>
  <c r="C29" i="22"/>
  <c r="F5" i="18"/>
  <c r="AE64" i="3"/>
  <c r="AF54" i="3"/>
  <c r="A38" i="11"/>
  <c r="A39" i="11" s="1"/>
  <c r="A40" i="11" s="1"/>
  <c r="A35" i="11"/>
  <c r="A36" i="11" s="1"/>
  <c r="A33" i="11"/>
  <c r="A14" i="11"/>
  <c r="A15" i="11" s="1"/>
  <c r="A16" i="11" s="1"/>
  <c r="A17" i="11" s="1"/>
  <c r="A18" i="11" s="1"/>
  <c r="A19" i="11" s="1"/>
  <c r="A20" i="11" s="1"/>
  <c r="A4" i="11"/>
  <c r="A6" i="11" s="1"/>
  <c r="A7" i="11" s="1"/>
  <c r="A9" i="11" s="1"/>
  <c r="A10" i="11" s="1"/>
  <c r="F20" i="10"/>
  <c r="D20" i="10"/>
  <c r="F19" i="10"/>
  <c r="D19" i="10"/>
  <c r="F18" i="10"/>
  <c r="D18" i="10"/>
  <c r="F17" i="10"/>
  <c r="D17" i="10"/>
  <c r="F16" i="10"/>
  <c r="D16" i="10"/>
  <c r="F15" i="10"/>
  <c r="D15" i="10"/>
  <c r="F14" i="10"/>
  <c r="D14" i="10"/>
  <c r="F13" i="10"/>
  <c r="D13" i="10"/>
  <c r="F12" i="10"/>
  <c r="D12" i="10"/>
  <c r="F11" i="10"/>
  <c r="D11" i="10"/>
  <c r="F10" i="10"/>
  <c r="D10" i="10"/>
  <c r="F9" i="10"/>
  <c r="D9" i="10"/>
  <c r="F8" i="10"/>
  <c r="D8" i="10"/>
  <c r="F7" i="10"/>
  <c r="D7" i="10"/>
  <c r="F6" i="10"/>
  <c r="D6" i="10"/>
  <c r="F5" i="10"/>
  <c r="D5" i="10"/>
  <c r="F4" i="10"/>
  <c r="D4" i="10"/>
  <c r="G3" i="10"/>
  <c r="F3" i="10"/>
  <c r="H3" i="10" s="1"/>
  <c r="E3" i="10"/>
  <c r="E4" i="10" s="1"/>
  <c r="E5" i="10" s="1"/>
  <c r="D3" i="10"/>
  <c r="H2" i="10"/>
  <c r="G2" i="10"/>
  <c r="AA1" i="10"/>
  <c r="AB1" i="10" s="1"/>
  <c r="F11" i="9"/>
  <c r="D11" i="9"/>
  <c r="F10" i="9"/>
  <c r="D10" i="9"/>
  <c r="F9" i="9"/>
  <c r="D9" i="9"/>
  <c r="F8" i="9"/>
  <c r="D8" i="9"/>
  <c r="F7" i="9"/>
  <c r="D7" i="9"/>
  <c r="F6" i="9"/>
  <c r="D6" i="9"/>
  <c r="F5" i="9"/>
  <c r="D5" i="9"/>
  <c r="F4" i="9"/>
  <c r="D4" i="9"/>
  <c r="F3" i="9"/>
  <c r="H3" i="9" s="1"/>
  <c r="E3" i="9"/>
  <c r="E4" i="9" s="1"/>
  <c r="D3" i="9"/>
  <c r="L1" i="9"/>
  <c r="M1" i="9" s="1"/>
  <c r="N1" i="9" s="1"/>
  <c r="O1" i="9" s="1"/>
  <c r="P1" i="9" s="1"/>
  <c r="Q1" i="9" s="1"/>
  <c r="R1" i="9" s="1"/>
  <c r="S1" i="9" s="1"/>
  <c r="T1" i="9" s="1"/>
  <c r="U1" i="9" s="1"/>
  <c r="V1" i="9" s="1"/>
  <c r="N25" i="8"/>
  <c r="G121" i="7"/>
  <c r="B112" i="7"/>
  <c r="B108" i="7"/>
  <c r="B104" i="7"/>
  <c r="B100" i="7"/>
  <c r="B96" i="7"/>
  <c r="B92" i="7"/>
  <c r="B84" i="7"/>
  <c r="B78" i="7"/>
  <c r="B75" i="7"/>
  <c r="B86" i="7"/>
  <c r="B67" i="7"/>
  <c r="B54" i="7"/>
  <c r="C54" i="7" s="1"/>
  <c r="B63" i="7"/>
  <c r="C63" i="7" s="1"/>
  <c r="B51" i="7"/>
  <c r="C51" i="7" s="1"/>
  <c r="B21" i="7"/>
  <c r="B30" i="7"/>
  <c r="B34" i="7"/>
  <c r="B24" i="7"/>
  <c r="B18" i="7"/>
  <c r="B122" i="7"/>
  <c r="P46" i="3"/>
  <c r="C17" i="15" s="1"/>
  <c r="W46" i="3"/>
  <c r="C24" i="15" s="1"/>
  <c r="AA42" i="3"/>
  <c r="AB42" i="3" s="1"/>
  <c r="AA43" i="3"/>
  <c r="AB43" i="3" s="1"/>
  <c r="V42" i="3"/>
  <c r="X42" i="3" s="1"/>
  <c r="V43" i="3"/>
  <c r="X43" i="3" s="1"/>
  <c r="L40" i="3"/>
  <c r="L42" i="3"/>
  <c r="L43" i="3"/>
  <c r="I39" i="3"/>
  <c r="L39" i="3" s="1"/>
  <c r="U37" i="3"/>
  <c r="U39" i="3"/>
  <c r="U41" i="3"/>
  <c r="U42" i="3"/>
  <c r="U43" i="3"/>
  <c r="U36" i="3"/>
  <c r="AI38" i="3"/>
  <c r="AI42" i="3"/>
  <c r="AI36" i="3"/>
  <c r="K38" i="3"/>
  <c r="K40" i="3"/>
  <c r="K42" i="3"/>
  <c r="K43" i="3"/>
  <c r="J143" i="7" l="1"/>
  <c r="F15" i="22"/>
  <c r="G15" i="22" s="1"/>
  <c r="E15" i="22"/>
  <c r="AG61" i="3"/>
  <c r="AG60" i="3"/>
  <c r="AF60" i="3"/>
  <c r="C30" i="21"/>
  <c r="D18" i="22"/>
  <c r="AI64" i="3"/>
  <c r="C14" i="21" s="1"/>
  <c r="I15" i="7"/>
  <c r="C15" i="7"/>
  <c r="C11" i="7"/>
  <c r="J11" i="7" s="1"/>
  <c r="C7" i="7"/>
  <c r="J7" i="7" s="1"/>
  <c r="I40" i="18"/>
  <c r="H3" i="7"/>
  <c r="I3" i="7" s="1"/>
  <c r="J3" i="7" s="1"/>
  <c r="I39" i="18"/>
  <c r="C5" i="7"/>
  <c r="J5" i="7" s="1"/>
  <c r="I38" i="18"/>
  <c r="C4" i="7"/>
  <c r="J4" i="7" s="1"/>
  <c r="C6" i="7"/>
  <c r="J6" i="7" s="1"/>
  <c r="D29" i="22"/>
  <c r="C41" i="21"/>
  <c r="D35" i="22"/>
  <c r="F35" i="22" s="1"/>
  <c r="G35" i="22" s="1"/>
  <c r="C47" i="21"/>
  <c r="B58" i="21"/>
  <c r="K9" i="21"/>
  <c r="C59" i="21"/>
  <c r="F12" i="21"/>
  <c r="M8" i="21"/>
  <c r="L8" i="21"/>
  <c r="G8" i="21"/>
  <c r="K8" i="21" s="1"/>
  <c r="AE65" i="3"/>
  <c r="C32" i="22"/>
  <c r="F7" i="18"/>
  <c r="F8" i="18"/>
  <c r="D28" i="22"/>
  <c r="F29" i="22"/>
  <c r="G29" i="22" s="1"/>
  <c r="E29" i="22"/>
  <c r="AC65" i="3"/>
  <c r="C30" i="22"/>
  <c r="F6" i="18"/>
  <c r="H12" i="18"/>
  <c r="F12" i="18"/>
  <c r="G12" i="18"/>
  <c r="B77" i="7"/>
  <c r="B83" i="7"/>
  <c r="B74" i="7"/>
  <c r="B66" i="7"/>
  <c r="C66" i="7" s="1"/>
  <c r="C67" i="7"/>
  <c r="B33" i="7"/>
  <c r="D24" i="15"/>
  <c r="C36" i="16"/>
  <c r="D17" i="15"/>
  <c r="C29" i="16"/>
  <c r="P47" i="3"/>
  <c r="G122" i="7"/>
  <c r="E6" i="10"/>
  <c r="H5" i="10"/>
  <c r="G5" i="10"/>
  <c r="G6" i="10"/>
  <c r="H4" i="10"/>
  <c r="G4" i="10"/>
  <c r="E5" i="9"/>
  <c r="E6" i="9" s="1"/>
  <c r="E7" i="9" s="1"/>
  <c r="H4" i="9"/>
  <c r="G4" i="9"/>
  <c r="H2" i="9"/>
  <c r="G3" i="9"/>
  <c r="H5" i="9"/>
  <c r="B24" i="3"/>
  <c r="B23" i="3"/>
  <c r="B22" i="3"/>
  <c r="AC43" i="3" s="1"/>
  <c r="AH43" i="3"/>
  <c r="AI43" i="3" s="1"/>
  <c r="F18" i="22" l="1"/>
  <c r="G18" i="22" s="1"/>
  <c r="E18" i="22"/>
  <c r="E35" i="22"/>
  <c r="AI65" i="3"/>
  <c r="C36" i="22"/>
  <c r="D36" i="22" s="1"/>
  <c r="E36" i="22" s="1"/>
  <c r="M12" i="21"/>
  <c r="L12" i="21"/>
  <c r="G12" i="21"/>
  <c r="F42" i="18"/>
  <c r="H42" i="18"/>
  <c r="G42" i="18"/>
  <c r="H147" i="7" s="1"/>
  <c r="D32" i="22"/>
  <c r="E32" i="22" s="1"/>
  <c r="C44" i="21"/>
  <c r="D30" i="22"/>
  <c r="F30" i="22" s="1"/>
  <c r="G30" i="22" s="1"/>
  <c r="C42" i="21"/>
  <c r="B50" i="7"/>
  <c r="F14" i="21"/>
  <c r="F13" i="18"/>
  <c r="G13" i="18"/>
  <c r="C139" i="7" s="1"/>
  <c r="H13" i="18"/>
  <c r="B57" i="21"/>
  <c r="H15" i="18"/>
  <c r="G15" i="18"/>
  <c r="F28" i="22"/>
  <c r="E28" i="22"/>
  <c r="F14" i="18"/>
  <c r="H14" i="18"/>
  <c r="G14" i="18"/>
  <c r="F17" i="15"/>
  <c r="G17" i="15" s="1"/>
  <c r="E17" i="15"/>
  <c r="F29" i="16" s="1"/>
  <c r="F24" i="15"/>
  <c r="G24" i="15" s="1"/>
  <c r="E24" i="15"/>
  <c r="F36" i="16" s="1"/>
  <c r="E7" i="10"/>
  <c r="H6" i="10"/>
  <c r="H7" i="9"/>
  <c r="E8" i="9"/>
  <c r="G7" i="9"/>
  <c r="H6" i="9"/>
  <c r="G6" i="9"/>
  <c r="G5" i="9"/>
  <c r="T38" i="3"/>
  <c r="S38" i="3"/>
  <c r="AJ38" i="3"/>
  <c r="B11" i="3"/>
  <c r="B12" i="3"/>
  <c r="B7" i="3"/>
  <c r="R37" i="3"/>
  <c r="V37" i="3" s="1"/>
  <c r="R36" i="3"/>
  <c r="K39" i="3"/>
  <c r="F39" i="3"/>
  <c r="G39" i="3" s="1"/>
  <c r="B6" i="3"/>
  <c r="C34" i="3"/>
  <c r="F34" i="3" s="1"/>
  <c r="G34" i="3" s="1"/>
  <c r="H34" i="3" s="1"/>
  <c r="C48" i="21" l="1"/>
  <c r="F32" i="22"/>
  <c r="G32" i="22" s="1"/>
  <c r="E30" i="22"/>
  <c r="F36" i="22"/>
  <c r="G36" i="22" s="1"/>
  <c r="C16" i="7"/>
  <c r="C147" i="7"/>
  <c r="J147" i="7" s="1"/>
  <c r="K12" i="21"/>
  <c r="B59" i="21"/>
  <c r="C138" i="7"/>
  <c r="G28" i="22"/>
  <c r="L14" i="21"/>
  <c r="G14" i="21"/>
  <c r="M14" i="21"/>
  <c r="B47" i="3"/>
  <c r="C3" i="15"/>
  <c r="M36" i="16"/>
  <c r="L36" i="16"/>
  <c r="G36" i="16"/>
  <c r="K36" i="16" s="1"/>
  <c r="M29" i="16"/>
  <c r="L29" i="16"/>
  <c r="G29" i="16"/>
  <c r="K29" i="16" s="1"/>
  <c r="E8" i="10"/>
  <c r="H7" i="10"/>
  <c r="G7" i="10"/>
  <c r="E9" i="9"/>
  <c r="H8" i="9"/>
  <c r="G8" i="9"/>
  <c r="V36" i="3"/>
  <c r="X36" i="3" s="1"/>
  <c r="V38" i="3"/>
  <c r="X37" i="3"/>
  <c r="J34" i="3"/>
  <c r="K34" i="3" s="1"/>
  <c r="L34" i="3" s="1"/>
  <c r="M34" i="3" s="1"/>
  <c r="N34" i="3" s="1"/>
  <c r="U38" i="3"/>
  <c r="B37" i="3"/>
  <c r="C37" i="3" s="1"/>
  <c r="F37" i="3" s="1"/>
  <c r="B36" i="3"/>
  <c r="AJ36" i="3"/>
  <c r="N39" i="3"/>
  <c r="Q39" i="3" s="1"/>
  <c r="V34" i="3"/>
  <c r="K14" i="21" l="1"/>
  <c r="D3" i="15"/>
  <c r="C15" i="16"/>
  <c r="C36" i="3"/>
  <c r="E39" i="3"/>
  <c r="E46" i="3" s="1"/>
  <c r="E9" i="10"/>
  <c r="G8" i="10"/>
  <c r="H8" i="10"/>
  <c r="E10" i="9"/>
  <c r="G9" i="9"/>
  <c r="H9" i="9"/>
  <c r="W47" i="3"/>
  <c r="X34" i="3"/>
  <c r="Y34" i="3" s="1"/>
  <c r="Z34" i="3" s="1"/>
  <c r="AA34" i="3" s="1"/>
  <c r="AB34" i="3" s="1"/>
  <c r="AC34" i="3" s="1"/>
  <c r="AD34" i="3" s="1"/>
  <c r="AE34" i="3" s="1"/>
  <c r="AF34" i="3" s="1"/>
  <c r="AG34" i="3" s="1"/>
  <c r="AH34" i="3" s="1"/>
  <c r="AI34" i="3" s="1"/>
  <c r="AJ34" i="3" s="1"/>
  <c r="X38" i="3"/>
  <c r="Y38" i="3" s="1"/>
  <c r="H37" i="3"/>
  <c r="C46" i="3" l="1"/>
  <c r="F3" i="16" s="1"/>
  <c r="K3" i="16" s="1"/>
  <c r="E47" i="3"/>
  <c r="C6" i="15"/>
  <c r="F36" i="3"/>
  <c r="H36" i="3" s="1"/>
  <c r="I36" i="3" s="1"/>
  <c r="J36" i="3" s="1"/>
  <c r="C47" i="3"/>
  <c r="F41" i="3"/>
  <c r="H41" i="3" s="1"/>
  <c r="I41" i="3" s="1"/>
  <c r="L41" i="3" s="1"/>
  <c r="V41" i="3"/>
  <c r="X41" i="3" s="1"/>
  <c r="F3" i="15"/>
  <c r="E3" i="15"/>
  <c r="E10" i="10"/>
  <c r="H9" i="10"/>
  <c r="G9" i="10"/>
  <c r="H10" i="9"/>
  <c r="E11" i="9"/>
  <c r="G10" i="9"/>
  <c r="Z38" i="3"/>
  <c r="I37" i="3"/>
  <c r="L37" i="3" s="1"/>
  <c r="G37" i="3"/>
  <c r="C4" i="15" l="1"/>
  <c r="C16" i="16" s="1"/>
  <c r="F40" i="3"/>
  <c r="D38" i="3" s="1"/>
  <c r="D6" i="15"/>
  <c r="C18" i="16"/>
  <c r="F15" i="16"/>
  <c r="L5" i="16"/>
  <c r="M5" i="16"/>
  <c r="G5" i="16"/>
  <c r="K5" i="16" s="1"/>
  <c r="M3" i="16"/>
  <c r="L3" i="16"/>
  <c r="G3" i="15"/>
  <c r="R40" i="3"/>
  <c r="R46" i="3" s="1"/>
  <c r="C19" i="15" s="1"/>
  <c r="E11" i="10"/>
  <c r="G10" i="10"/>
  <c r="H10" i="10"/>
  <c r="H11" i="9"/>
  <c r="G11" i="9"/>
  <c r="I46" i="3"/>
  <c r="L36" i="3"/>
  <c r="AA38" i="3"/>
  <c r="J46" i="3"/>
  <c r="K41" i="3"/>
  <c r="Y41" i="3" s="1"/>
  <c r="K37" i="3"/>
  <c r="Y37" i="3" s="1"/>
  <c r="D4" i="15" l="1"/>
  <c r="F4" i="15" s="1"/>
  <c r="S40" i="3"/>
  <c r="S46" i="3" s="1"/>
  <c r="C20" i="15" s="1"/>
  <c r="D20" i="15" s="1"/>
  <c r="R47" i="3"/>
  <c r="M15" i="16"/>
  <c r="L15" i="16"/>
  <c r="G15" i="16"/>
  <c r="K15" i="16" s="1"/>
  <c r="C31" i="16"/>
  <c r="D19" i="15"/>
  <c r="C6" i="16"/>
  <c r="F6" i="16" s="1"/>
  <c r="C10" i="15"/>
  <c r="E6" i="15"/>
  <c r="F18" i="16" s="1"/>
  <c r="F6" i="15"/>
  <c r="G6" i="15" s="1"/>
  <c r="G40" i="3"/>
  <c r="G46" i="3" s="1"/>
  <c r="F38" i="3"/>
  <c r="F46" i="3" s="1"/>
  <c r="C7" i="15" s="1"/>
  <c r="AA37" i="3"/>
  <c r="E12" i="10"/>
  <c r="G11" i="10"/>
  <c r="H11" i="10"/>
  <c r="Z41" i="3"/>
  <c r="AA41" i="3" s="1"/>
  <c r="K36" i="3"/>
  <c r="K46" i="3" s="1"/>
  <c r="C12" i="15" s="1"/>
  <c r="J47" i="3"/>
  <c r="I47" i="3"/>
  <c r="E4" i="15" l="1"/>
  <c r="F16" i="16" s="1"/>
  <c r="V40" i="3"/>
  <c r="V46" i="3" s="1"/>
  <c r="C23" i="15" s="1"/>
  <c r="D23" i="15" s="1"/>
  <c r="C32" i="16"/>
  <c r="T40" i="3"/>
  <c r="T46" i="3" s="1"/>
  <c r="T47" i="3" s="1"/>
  <c r="S47" i="3"/>
  <c r="C19" i="16"/>
  <c r="D7" i="15"/>
  <c r="E7" i="15" s="1"/>
  <c r="F19" i="16" s="1"/>
  <c r="G4" i="15"/>
  <c r="F20" i="15"/>
  <c r="G20" i="15" s="1"/>
  <c r="E20" i="15"/>
  <c r="E19" i="15"/>
  <c r="F19" i="15"/>
  <c r="G19" i="15" s="1"/>
  <c r="J14" i="7"/>
  <c r="D46" i="3"/>
  <c r="D10" i="15"/>
  <c r="C22" i="16"/>
  <c r="D12" i="15"/>
  <c r="C24" i="16"/>
  <c r="L18" i="16"/>
  <c r="M18" i="16"/>
  <c r="G18" i="16"/>
  <c r="K18" i="16" s="1"/>
  <c r="G6" i="16"/>
  <c r="K6" i="16" s="1"/>
  <c r="L6" i="16"/>
  <c r="M6" i="16"/>
  <c r="C8" i="15"/>
  <c r="G47" i="3"/>
  <c r="E13" i="10"/>
  <c r="G12" i="10"/>
  <c r="H12" i="10"/>
  <c r="Y36" i="3"/>
  <c r="F47" i="3"/>
  <c r="AB41" i="3"/>
  <c r="H38" i="3"/>
  <c r="H46" i="3" s="1"/>
  <c r="C9" i="15" s="1"/>
  <c r="M36" i="3"/>
  <c r="M37" i="3"/>
  <c r="K47" i="3"/>
  <c r="Y39" i="3"/>
  <c r="F31" i="16" l="1"/>
  <c r="F31" i="21"/>
  <c r="F32" i="16"/>
  <c r="M32" i="16" s="1"/>
  <c r="F32" i="21"/>
  <c r="V47" i="3"/>
  <c r="C7" i="16"/>
  <c r="F7" i="16" s="1"/>
  <c r="AA39" i="3"/>
  <c r="AB39" i="3" s="1"/>
  <c r="AC39" i="3" s="1"/>
  <c r="O10" i="8"/>
  <c r="O9" i="8"/>
  <c r="O6" i="8"/>
  <c r="O27" i="8"/>
  <c r="B10" i="7"/>
  <c r="G10" i="7" s="1"/>
  <c r="O14" i="8"/>
  <c r="X40" i="3"/>
  <c r="X46" i="3" s="1"/>
  <c r="C25" i="15" s="1"/>
  <c r="D25" i="15" s="1"/>
  <c r="C35" i="16"/>
  <c r="O15" i="8"/>
  <c r="C21" i="15"/>
  <c r="C42" i="15" s="1"/>
  <c r="O20" i="8"/>
  <c r="O12" i="8"/>
  <c r="O11" i="8"/>
  <c r="O25" i="8"/>
  <c r="O16" i="8"/>
  <c r="O8" i="8"/>
  <c r="O23" i="8"/>
  <c r="U40" i="3"/>
  <c r="U46" i="3" s="1"/>
  <c r="C22" i="15" s="1"/>
  <c r="D22" i="15" s="1"/>
  <c r="O22" i="8"/>
  <c r="O7" i="8"/>
  <c r="O21" i="8"/>
  <c r="O26" i="8"/>
  <c r="O4" i="8"/>
  <c r="O18" i="8"/>
  <c r="O19" i="8"/>
  <c r="O5" i="8"/>
  <c r="O13" i="8"/>
  <c r="O17" i="8"/>
  <c r="O24" i="8"/>
  <c r="F12" i="15"/>
  <c r="G12" i="15" s="1"/>
  <c r="E12" i="15"/>
  <c r="F24" i="16" s="1"/>
  <c r="L31" i="16"/>
  <c r="M31" i="16"/>
  <c r="G31" i="16"/>
  <c r="K31" i="16" s="1"/>
  <c r="L16" i="16"/>
  <c r="M16" i="16"/>
  <c r="G16" i="16"/>
  <c r="K16" i="16" s="1"/>
  <c r="C5" i="15"/>
  <c r="C4" i="16"/>
  <c r="F4" i="16" s="1"/>
  <c r="D47" i="3"/>
  <c r="E23" i="15"/>
  <c r="F23" i="15"/>
  <c r="G23" i="15" s="1"/>
  <c r="E10" i="15"/>
  <c r="F22" i="16" s="1"/>
  <c r="F10" i="15"/>
  <c r="G10" i="15" s="1"/>
  <c r="D8" i="15"/>
  <c r="C20" i="16"/>
  <c r="M19" i="16"/>
  <c r="L19" i="16"/>
  <c r="G19" i="16"/>
  <c r="K19" i="16" s="1"/>
  <c r="D9" i="15"/>
  <c r="F9" i="15" s="1"/>
  <c r="G9" i="15" s="1"/>
  <c r="C21" i="16"/>
  <c r="D21" i="15"/>
  <c r="F7" i="15"/>
  <c r="G7" i="15" s="1"/>
  <c r="E14" i="10"/>
  <c r="G13" i="10"/>
  <c r="H13" i="10"/>
  <c r="L38" i="3"/>
  <c r="N36" i="3"/>
  <c r="AA36" i="3"/>
  <c r="AH41" i="3"/>
  <c r="AI41" i="3" s="1"/>
  <c r="AJ41" i="3" s="1"/>
  <c r="AE41" i="3"/>
  <c r="AF41" i="3" s="1"/>
  <c r="AC41" i="3"/>
  <c r="AD41" i="3" s="1"/>
  <c r="H47" i="3"/>
  <c r="N37" i="3"/>
  <c r="O37" i="3" s="1"/>
  <c r="O46" i="3" s="1"/>
  <c r="C16" i="15" s="1"/>
  <c r="G32" i="16" l="1"/>
  <c r="K32" i="16" s="1"/>
  <c r="M32" i="21"/>
  <c r="L32" i="21"/>
  <c r="G32" i="21"/>
  <c r="K32" i="21" s="1"/>
  <c r="X47" i="3"/>
  <c r="F35" i="16"/>
  <c r="L35" i="16" s="1"/>
  <c r="F35" i="21"/>
  <c r="L32" i="16"/>
  <c r="L31" i="21"/>
  <c r="G31" i="21"/>
  <c r="M31" i="21"/>
  <c r="C33" i="16"/>
  <c r="C34" i="16"/>
  <c r="U47" i="3"/>
  <c r="G9" i="7"/>
  <c r="G8" i="7"/>
  <c r="G14" i="7"/>
  <c r="J13" i="11"/>
  <c r="C37" i="16"/>
  <c r="C17" i="16"/>
  <c r="D5" i="15"/>
  <c r="C41" i="15"/>
  <c r="G4" i="16"/>
  <c r="L4" i="16"/>
  <c r="M4" i="16"/>
  <c r="D42" i="15"/>
  <c r="E8" i="15"/>
  <c r="L24" i="16"/>
  <c r="M24" i="16"/>
  <c r="G24" i="16"/>
  <c r="K24" i="16" s="1"/>
  <c r="G22" i="16"/>
  <c r="K22" i="16" s="1"/>
  <c r="M22" i="16"/>
  <c r="L22" i="16"/>
  <c r="E22" i="15"/>
  <c r="F22" i="15"/>
  <c r="G22" i="15" s="1"/>
  <c r="L46" i="3"/>
  <c r="C13" i="15" s="1"/>
  <c r="F8" i="15"/>
  <c r="E21" i="15"/>
  <c r="F21" i="15"/>
  <c r="G21" i="15" s="1"/>
  <c r="C28" i="16"/>
  <c r="D16" i="15"/>
  <c r="E9" i="15"/>
  <c r="F21" i="16" s="1"/>
  <c r="F25" i="15"/>
  <c r="G25" i="15" s="1"/>
  <c r="E25" i="15"/>
  <c r="H14" i="10"/>
  <c r="E15" i="10"/>
  <c r="G14" i="10"/>
  <c r="AI37" i="3"/>
  <c r="Q36" i="3"/>
  <c r="M38" i="3"/>
  <c r="M46" i="3" s="1"/>
  <c r="AD39" i="3"/>
  <c r="Y40" i="3"/>
  <c r="F37" i="16" l="1"/>
  <c r="F37" i="21"/>
  <c r="M35" i="21"/>
  <c r="L35" i="21"/>
  <c r="G35" i="21"/>
  <c r="K35" i="21" s="1"/>
  <c r="G35" i="16"/>
  <c r="K35" i="16" s="1"/>
  <c r="M35" i="16"/>
  <c r="K31" i="21"/>
  <c r="F34" i="16"/>
  <c r="F34" i="21"/>
  <c r="F33" i="16"/>
  <c r="F33" i="21"/>
  <c r="Y46" i="3"/>
  <c r="C26" i="15" s="1"/>
  <c r="C38" i="16" s="1"/>
  <c r="N38" i="3"/>
  <c r="L21" i="16"/>
  <c r="M21" i="16"/>
  <c r="G21" i="16"/>
  <c r="K21" i="16" s="1"/>
  <c r="F16" i="15"/>
  <c r="G16" i="15" s="1"/>
  <c r="E16" i="15"/>
  <c r="F28" i="16" s="1"/>
  <c r="M34" i="16"/>
  <c r="L34" i="16"/>
  <c r="G34" i="16"/>
  <c r="K34" i="16" s="1"/>
  <c r="K4" i="16"/>
  <c r="B54" i="16"/>
  <c r="F20" i="16"/>
  <c r="E42" i="15"/>
  <c r="C25" i="16"/>
  <c r="D13" i="15"/>
  <c r="M33" i="16"/>
  <c r="L33" i="16"/>
  <c r="G33" i="16"/>
  <c r="K33" i="16" s="1"/>
  <c r="F5" i="15"/>
  <c r="E5" i="15"/>
  <c r="D41" i="15"/>
  <c r="L37" i="16"/>
  <c r="M37" i="16"/>
  <c r="G37" i="16"/>
  <c r="K37" i="16" s="1"/>
  <c r="G8" i="15"/>
  <c r="G42" i="15" s="1"/>
  <c r="F42" i="15"/>
  <c r="E16" i="10"/>
  <c r="G15" i="10"/>
  <c r="H15" i="10"/>
  <c r="M47" i="3"/>
  <c r="AB36" i="3"/>
  <c r="Z40" i="3"/>
  <c r="Z46" i="3" s="1"/>
  <c r="L47" i="3"/>
  <c r="N46" i="3"/>
  <c r="C15" i="15" s="1"/>
  <c r="Q37" i="3"/>
  <c r="O47" i="3"/>
  <c r="AH39" i="3"/>
  <c r="AE39" i="3"/>
  <c r="AF39" i="3" s="1"/>
  <c r="B17" i="7" s="1"/>
  <c r="L34" i="21" l="1"/>
  <c r="M34" i="21"/>
  <c r="G34" i="21"/>
  <c r="K34" i="21" s="1"/>
  <c r="M33" i="21"/>
  <c r="L33" i="21"/>
  <c r="G33" i="21"/>
  <c r="G37" i="21"/>
  <c r="K37" i="21" s="1"/>
  <c r="L37" i="21"/>
  <c r="M37" i="21"/>
  <c r="D26" i="15"/>
  <c r="E26" i="15" s="1"/>
  <c r="Y47" i="3"/>
  <c r="J21" i="11"/>
  <c r="G132" i="7"/>
  <c r="B9" i="17" s="1"/>
  <c r="F9" i="17" s="1"/>
  <c r="F17" i="16"/>
  <c r="E41" i="15"/>
  <c r="M20" i="16"/>
  <c r="L20" i="16"/>
  <c r="G20" i="16"/>
  <c r="K20" i="16" s="1"/>
  <c r="G5" i="15"/>
  <c r="G41" i="15" s="1"/>
  <c r="F41" i="15"/>
  <c r="M28" i="16"/>
  <c r="L28" i="16"/>
  <c r="G28" i="16"/>
  <c r="K28" i="16" s="1"/>
  <c r="F26" i="15"/>
  <c r="G26" i="15" s="1"/>
  <c r="F13" i="15"/>
  <c r="G13" i="15" s="1"/>
  <c r="E13" i="15"/>
  <c r="F25" i="16" s="1"/>
  <c r="C27" i="16"/>
  <c r="D15" i="15"/>
  <c r="E17" i="10"/>
  <c r="H16" i="10"/>
  <c r="G16" i="10"/>
  <c r="AA40" i="3"/>
  <c r="AA46" i="3" s="1"/>
  <c r="C28" i="15" s="1"/>
  <c r="Q38" i="3"/>
  <c r="Z47" i="3"/>
  <c r="N47" i="3"/>
  <c r="AB37" i="3"/>
  <c r="AI39" i="3"/>
  <c r="AE36" i="3"/>
  <c r="F38" i="16" l="1"/>
  <c r="F38" i="21"/>
  <c r="K33" i="21"/>
  <c r="Q46" i="3"/>
  <c r="C18" i="15" s="1"/>
  <c r="C30" i="16" s="1"/>
  <c r="AB38" i="3"/>
  <c r="H9" i="17"/>
  <c r="G9" i="17"/>
  <c r="M25" i="16"/>
  <c r="L25" i="16"/>
  <c r="G25" i="16"/>
  <c r="K25" i="16" s="1"/>
  <c r="M38" i="16"/>
  <c r="L38" i="16"/>
  <c r="G38" i="16"/>
  <c r="K38" i="16" s="1"/>
  <c r="D28" i="15"/>
  <c r="C40" i="16"/>
  <c r="M17" i="16"/>
  <c r="L17" i="16"/>
  <c r="G17" i="16"/>
  <c r="K17" i="16" s="1"/>
  <c r="D18" i="15"/>
  <c r="F15" i="15"/>
  <c r="E15" i="15"/>
  <c r="F27" i="16" s="1"/>
  <c r="AE37" i="3"/>
  <c r="AF37" i="3" s="1"/>
  <c r="AG37" i="3" s="1"/>
  <c r="AJ37" i="3" s="1"/>
  <c r="E18" i="10"/>
  <c r="G17" i="10"/>
  <c r="H17" i="10"/>
  <c r="AB40" i="3"/>
  <c r="J115" i="7" s="1"/>
  <c r="Q47" i="3"/>
  <c r="AF36" i="3"/>
  <c r="AJ39" i="3"/>
  <c r="AA47" i="3"/>
  <c r="G38" i="21" l="1"/>
  <c r="L38" i="21"/>
  <c r="M38" i="21"/>
  <c r="M27" i="16"/>
  <c r="L27" i="16"/>
  <c r="F28" i="15"/>
  <c r="G28" i="15" s="1"/>
  <c r="E28" i="15"/>
  <c r="AB46" i="3"/>
  <c r="D34" i="18"/>
  <c r="B32" i="18"/>
  <c r="B34" i="18" s="1"/>
  <c r="AC40" i="3"/>
  <c r="C29" i="18"/>
  <c r="B29" i="18"/>
  <c r="D29" i="18"/>
  <c r="F143" i="7" s="1"/>
  <c r="G27" i="16"/>
  <c r="K27" i="16" s="1"/>
  <c r="E18" i="15"/>
  <c r="F18" i="15"/>
  <c r="G18" i="15" s="1"/>
  <c r="G15" i="15"/>
  <c r="C90" i="7"/>
  <c r="E19" i="10"/>
  <c r="H18" i="10"/>
  <c r="G18" i="10"/>
  <c r="AH40" i="3"/>
  <c r="AH46" i="3" s="1"/>
  <c r="C35" i="15" s="1"/>
  <c r="AE40" i="3"/>
  <c r="AF40" i="3" s="1"/>
  <c r="AE38" i="3"/>
  <c r="E5" i="18" l="1"/>
  <c r="C12" i="18" s="1"/>
  <c r="F40" i="16"/>
  <c r="F40" i="21"/>
  <c r="K38" i="21"/>
  <c r="B31" i="18"/>
  <c r="C34" i="18"/>
  <c r="B145" i="7" s="1"/>
  <c r="C31" i="18"/>
  <c r="B143" i="7" s="1"/>
  <c r="C8" i="16"/>
  <c r="F8" i="16" s="1"/>
  <c r="C12" i="16"/>
  <c r="C58" i="16" s="1"/>
  <c r="C9" i="16"/>
  <c r="F9" i="16" s="1"/>
  <c r="C11" i="16"/>
  <c r="F11" i="16" s="1"/>
  <c r="C10" i="16"/>
  <c r="F10" i="16" s="1"/>
  <c r="C29" i="15"/>
  <c r="C41" i="16" s="1"/>
  <c r="AB47" i="3"/>
  <c r="F30" i="16"/>
  <c r="D31" i="18"/>
  <c r="L40" i="16"/>
  <c r="M40" i="16"/>
  <c r="G40" i="16"/>
  <c r="K40" i="16" s="1"/>
  <c r="AC46" i="3"/>
  <c r="C47" i="16"/>
  <c r="D35" i="15"/>
  <c r="I23" i="11"/>
  <c r="G115" i="7"/>
  <c r="J24" i="11"/>
  <c r="E20" i="10"/>
  <c r="G19" i="10"/>
  <c r="H19" i="10"/>
  <c r="AE46" i="3"/>
  <c r="AF38" i="3"/>
  <c r="AI40" i="3"/>
  <c r="AI46" i="3" s="1"/>
  <c r="AD40" i="3"/>
  <c r="AH47" i="3"/>
  <c r="D12" i="18" l="1"/>
  <c r="AJ61" i="3"/>
  <c r="E7" i="18"/>
  <c r="B14" i="18" s="1"/>
  <c r="AF64" i="3"/>
  <c r="AF65" i="3" s="1"/>
  <c r="M40" i="21"/>
  <c r="L40" i="21"/>
  <c r="G40" i="21"/>
  <c r="E40" i="18"/>
  <c r="E6" i="18"/>
  <c r="B13" i="18" s="1"/>
  <c r="B4" i="7"/>
  <c r="E39" i="18"/>
  <c r="E38" i="18"/>
  <c r="B12" i="18"/>
  <c r="F12" i="16"/>
  <c r="B119" i="7"/>
  <c r="B120" i="7" s="1"/>
  <c r="B18" i="18"/>
  <c r="D18" i="18"/>
  <c r="G145" i="7"/>
  <c r="B12" i="20" s="1"/>
  <c r="F12" i="20" s="1"/>
  <c r="J51" i="11"/>
  <c r="G143" i="7"/>
  <c r="B10" i="20" s="1"/>
  <c r="F10" i="20" s="1"/>
  <c r="J49" i="11"/>
  <c r="B118" i="7"/>
  <c r="G117" i="7"/>
  <c r="D29" i="15"/>
  <c r="F29" i="15" s="1"/>
  <c r="L12" i="16"/>
  <c r="M12" i="16"/>
  <c r="G12" i="16"/>
  <c r="L10" i="16"/>
  <c r="G10" i="16"/>
  <c r="K10" i="16" s="1"/>
  <c r="M10" i="16"/>
  <c r="C14" i="16"/>
  <c r="F14" i="16" s="1"/>
  <c r="C36" i="15"/>
  <c r="E35" i="15"/>
  <c r="F35" i="15"/>
  <c r="G35" i="15" s="1"/>
  <c r="L11" i="16"/>
  <c r="G11" i="16"/>
  <c r="K11" i="16" s="1"/>
  <c r="M11" i="16"/>
  <c r="C14" i="18"/>
  <c r="E8" i="18"/>
  <c r="C30" i="15"/>
  <c r="L30" i="16"/>
  <c r="M30" i="16"/>
  <c r="G9" i="16"/>
  <c r="L9" i="16"/>
  <c r="M9" i="16"/>
  <c r="M8" i="16"/>
  <c r="G8" i="16"/>
  <c r="L8" i="16"/>
  <c r="G30" i="16"/>
  <c r="K30" i="16" s="1"/>
  <c r="C32" i="15"/>
  <c r="AE47" i="3"/>
  <c r="AF75" i="3" s="1"/>
  <c r="AD46" i="3"/>
  <c r="B11" i="7" s="1"/>
  <c r="H20" i="10"/>
  <c r="G20" i="10"/>
  <c r="AJ40" i="3"/>
  <c r="AC47" i="3"/>
  <c r="AE75" i="3" s="1"/>
  <c r="AG43" i="3"/>
  <c r="AJ43" i="3" s="1"/>
  <c r="AG42" i="3"/>
  <c r="F47" i="16" l="1"/>
  <c r="F47" i="21"/>
  <c r="G119" i="7"/>
  <c r="B5" i="7"/>
  <c r="K40" i="21"/>
  <c r="B16" i="7"/>
  <c r="B6" i="7"/>
  <c r="J119" i="7"/>
  <c r="E3" i="7"/>
  <c r="F15" i="7"/>
  <c r="AJ60" i="3"/>
  <c r="AG64" i="3"/>
  <c r="B7" i="7"/>
  <c r="B15" i="7"/>
  <c r="C42" i="18"/>
  <c r="E147" i="7" s="1"/>
  <c r="E29" i="15"/>
  <c r="J16" i="7"/>
  <c r="D42" i="18"/>
  <c r="B42" i="18"/>
  <c r="G118" i="7"/>
  <c r="J118" i="7"/>
  <c r="G120" i="7"/>
  <c r="J120" i="7"/>
  <c r="I30" i="11"/>
  <c r="AD47" i="3"/>
  <c r="I3" i="11"/>
  <c r="B15" i="18"/>
  <c r="D15" i="18"/>
  <c r="H10" i="20"/>
  <c r="G10" i="20"/>
  <c r="G12" i="20"/>
  <c r="H12" i="20"/>
  <c r="D14" i="18"/>
  <c r="L47" i="16"/>
  <c r="M47" i="16"/>
  <c r="G47" i="16"/>
  <c r="K47" i="16" s="1"/>
  <c r="K12" i="16"/>
  <c r="B58" i="16"/>
  <c r="D30" i="15"/>
  <c r="C42" i="16"/>
  <c r="K9" i="16"/>
  <c r="B57" i="16"/>
  <c r="C48" i="16"/>
  <c r="D36" i="15"/>
  <c r="K8" i="16"/>
  <c r="B56" i="16"/>
  <c r="D13" i="18"/>
  <c r="C13" i="18"/>
  <c r="C15" i="18"/>
  <c r="M14" i="16"/>
  <c r="L14" i="16"/>
  <c r="G14" i="16"/>
  <c r="K14" i="16" s="1"/>
  <c r="D32" i="15"/>
  <c r="C44" i="16"/>
  <c r="AG46" i="3"/>
  <c r="G29" i="15"/>
  <c r="B102" i="7"/>
  <c r="AF46" i="3"/>
  <c r="AF47" i="3" s="1"/>
  <c r="J15" i="7"/>
  <c r="J116" i="7"/>
  <c r="G11" i="7"/>
  <c r="J14" i="11"/>
  <c r="B49" i="7"/>
  <c r="J22" i="11"/>
  <c r="AI47" i="3"/>
  <c r="AJ42" i="3"/>
  <c r="AG65" i="3" l="1"/>
  <c r="C34" i="22"/>
  <c r="C13" i="21"/>
  <c r="F41" i="16"/>
  <c r="F41" i="21"/>
  <c r="L47" i="21"/>
  <c r="M47" i="21"/>
  <c r="G47" i="21"/>
  <c r="K47" i="21" s="1"/>
  <c r="B147" i="7"/>
  <c r="G16" i="7"/>
  <c r="F3" i="7"/>
  <c r="I53" i="11"/>
  <c r="G4" i="7"/>
  <c r="B98" i="7"/>
  <c r="G6" i="7"/>
  <c r="G123" i="7"/>
  <c r="G89" i="7"/>
  <c r="B106" i="7"/>
  <c r="G49" i="7"/>
  <c r="G7" i="7"/>
  <c r="G5" i="7"/>
  <c r="G124" i="7"/>
  <c r="E30" i="15"/>
  <c r="F30" i="15"/>
  <c r="G30" i="15" s="1"/>
  <c r="F36" i="15"/>
  <c r="G36" i="15" s="1"/>
  <c r="E36" i="15"/>
  <c r="E32" i="15"/>
  <c r="F32" i="15"/>
  <c r="C36" i="7"/>
  <c r="J36" i="7" s="1"/>
  <c r="C34" i="15"/>
  <c r="C13" i="16"/>
  <c r="G41" i="16"/>
  <c r="K41" i="16" s="1"/>
  <c r="G116" i="7"/>
  <c r="G15" i="7"/>
  <c r="B110" i="7"/>
  <c r="AG47" i="3"/>
  <c r="AG75" i="3" s="1"/>
  <c r="AJ64" i="3" l="1"/>
  <c r="AJ65" i="3" s="1"/>
  <c r="B148" i="7"/>
  <c r="C148" i="7"/>
  <c r="F42" i="16"/>
  <c r="F42" i="21"/>
  <c r="F13" i="21"/>
  <c r="C60" i="21"/>
  <c r="F44" i="16"/>
  <c r="M44" i="16" s="1"/>
  <c r="F44" i="21"/>
  <c r="M41" i="21"/>
  <c r="L41" i="21"/>
  <c r="G41" i="21"/>
  <c r="C46" i="21"/>
  <c r="D34" i="22"/>
  <c r="C43" i="22"/>
  <c r="C38" i="22"/>
  <c r="F48" i="16"/>
  <c r="L48" i="16" s="1"/>
  <c r="F48" i="21"/>
  <c r="L41" i="16"/>
  <c r="M41" i="16"/>
  <c r="J3" i="11"/>
  <c r="G147" i="7"/>
  <c r="B14" i="20" s="1"/>
  <c r="F14" i="20" s="1"/>
  <c r="G3" i="7"/>
  <c r="AH75" i="3"/>
  <c r="AG76" i="3" s="1"/>
  <c r="B114" i="7"/>
  <c r="C70" i="7"/>
  <c r="J16" i="11"/>
  <c r="B36" i="7"/>
  <c r="L42" i="16"/>
  <c r="M42" i="16"/>
  <c r="G42" i="16"/>
  <c r="K42" i="16" s="1"/>
  <c r="D17" i="18" s="1"/>
  <c r="F13" i="16"/>
  <c r="C59" i="16"/>
  <c r="D34" i="15"/>
  <c r="C46" i="16"/>
  <c r="C38" i="15"/>
  <c r="C43" i="15"/>
  <c r="AJ46" i="3"/>
  <c r="G32" i="15"/>
  <c r="B70" i="7"/>
  <c r="B69" i="7" s="1"/>
  <c r="M44" i="21" l="1"/>
  <c r="L44" i="21"/>
  <c r="G44" i="21"/>
  <c r="K44" i="21" s="1"/>
  <c r="G48" i="16"/>
  <c r="K48" i="16" s="1"/>
  <c r="C62" i="21"/>
  <c r="C63" i="21"/>
  <c r="M48" i="16"/>
  <c r="E34" i="22"/>
  <c r="F34" i="22"/>
  <c r="D43" i="22"/>
  <c r="D38" i="22"/>
  <c r="G13" i="21"/>
  <c r="M13" i="21"/>
  <c r="L13" i="21"/>
  <c r="L42" i="21"/>
  <c r="M42" i="21"/>
  <c r="G42" i="21"/>
  <c r="K42" i="21" s="1"/>
  <c r="L44" i="16"/>
  <c r="K41" i="21"/>
  <c r="M48" i="21"/>
  <c r="G48" i="21"/>
  <c r="K48" i="21" s="1"/>
  <c r="L48" i="21"/>
  <c r="B90" i="7"/>
  <c r="G90" i="7" s="1"/>
  <c r="C17" i="18"/>
  <c r="AF76" i="3"/>
  <c r="AE76" i="3"/>
  <c r="B17" i="18"/>
  <c r="H14" i="20"/>
  <c r="G14" i="20"/>
  <c r="G148" i="7"/>
  <c r="B15" i="20" s="1"/>
  <c r="F15" i="20" s="1"/>
  <c r="C69" i="7"/>
  <c r="G36" i="7"/>
  <c r="AJ47" i="3"/>
  <c r="G13" i="16"/>
  <c r="M13" i="16"/>
  <c r="L13" i="16"/>
  <c r="G44" i="16"/>
  <c r="K44" i="16" s="1"/>
  <c r="C62" i="16"/>
  <c r="C61" i="16"/>
  <c r="E34" i="15"/>
  <c r="F34" i="15"/>
  <c r="D43" i="15"/>
  <c r="D38" i="15"/>
  <c r="E38" i="22" l="1"/>
  <c r="E43" i="22"/>
  <c r="F46" i="16"/>
  <c r="I32" i="11" s="1"/>
  <c r="F46" i="21"/>
  <c r="K13" i="21"/>
  <c r="B60" i="21"/>
  <c r="C16" i="18"/>
  <c r="G34" i="22"/>
  <c r="F38" i="22"/>
  <c r="F43" i="22"/>
  <c r="J90" i="7"/>
  <c r="B138" i="7"/>
  <c r="B139" i="7"/>
  <c r="G15" i="20"/>
  <c r="H15" i="20"/>
  <c r="F2" i="20"/>
  <c r="G69" i="7"/>
  <c r="J69" i="7"/>
  <c r="M46" i="16"/>
  <c r="L46" i="16"/>
  <c r="K13" i="16"/>
  <c r="B59" i="16"/>
  <c r="G34" i="15"/>
  <c r="F38" i="15"/>
  <c r="F43" i="15"/>
  <c r="E38" i="15"/>
  <c r="E43" i="15"/>
  <c r="C126" i="7" l="1"/>
  <c r="C131" i="7"/>
  <c r="J131" i="7" s="1"/>
  <c r="C133" i="7"/>
  <c r="J133" i="7" s="1"/>
  <c r="I126" i="7"/>
  <c r="C129" i="7"/>
  <c r="J129" i="7" s="1"/>
  <c r="G46" i="21"/>
  <c r="L46" i="21"/>
  <c r="M46" i="21"/>
  <c r="B140" i="7"/>
  <c r="C20" i="18"/>
  <c r="C22" i="18" s="1"/>
  <c r="G38" i="22"/>
  <c r="G43" i="22"/>
  <c r="H2" i="20"/>
  <c r="G2" i="20"/>
  <c r="B62" i="16"/>
  <c r="G46" i="16"/>
  <c r="G43" i="15"/>
  <c r="G38" i="15"/>
  <c r="C127" i="7" l="1"/>
  <c r="J126" i="7"/>
  <c r="G16" i="18"/>
  <c r="K46" i="21"/>
  <c r="B61" i="21"/>
  <c r="G131" i="7"/>
  <c r="B8" i="17" s="1"/>
  <c r="F8" i="17" s="1"/>
  <c r="G133" i="7"/>
  <c r="B10" i="17" s="1"/>
  <c r="F10" i="17" s="1"/>
  <c r="B60" i="16"/>
  <c r="K46" i="16"/>
  <c r="B141" i="7" s="1"/>
  <c r="I33" i="11"/>
  <c r="G20" i="18" l="1"/>
  <c r="G22" i="18" s="1"/>
  <c r="C140" i="7"/>
  <c r="F16" i="18"/>
  <c r="H140" i="7" s="1"/>
  <c r="H16" i="18"/>
  <c r="I140" i="7" s="1"/>
  <c r="B62" i="21"/>
  <c r="C134" i="7"/>
  <c r="J134" i="7" s="1"/>
  <c r="C128" i="7"/>
  <c r="J128" i="7" s="1"/>
  <c r="J127" i="7"/>
  <c r="B16" i="18"/>
  <c r="D16" i="18"/>
  <c r="F20" i="18"/>
  <c r="G141" i="7"/>
  <c r="B8" i="20" s="1"/>
  <c r="F8" i="20" s="1"/>
  <c r="H8" i="20" s="1"/>
  <c r="B136" i="7"/>
  <c r="C25" i="18"/>
  <c r="B3" i="17"/>
  <c r="J32" i="11"/>
  <c r="C23" i="18"/>
  <c r="B137" i="7" s="1"/>
  <c r="B61" i="16"/>
  <c r="H8" i="17"/>
  <c r="G8" i="17"/>
  <c r="G10" i="17"/>
  <c r="H10" i="17"/>
  <c r="F127" i="7"/>
  <c r="H20" i="18" l="1"/>
  <c r="H23" i="18" s="1"/>
  <c r="I136" i="7" s="1"/>
  <c r="F22" i="18"/>
  <c r="F23" i="18"/>
  <c r="H136" i="7" s="1"/>
  <c r="I142" i="7"/>
  <c r="J140" i="7"/>
  <c r="H142" i="7"/>
  <c r="F140" i="7"/>
  <c r="E137" i="7"/>
  <c r="I43" i="11" s="1"/>
  <c r="F146" i="7"/>
  <c r="J52" i="11" s="1"/>
  <c r="F144" i="7"/>
  <c r="I46" i="11"/>
  <c r="C136" i="7"/>
  <c r="C142" i="7" s="1"/>
  <c r="J142" i="7" s="1"/>
  <c r="G23" i="18"/>
  <c r="C137" i="7" s="1"/>
  <c r="C141" i="7"/>
  <c r="J141" i="7" s="1"/>
  <c r="H22" i="18"/>
  <c r="J40" i="11"/>
  <c r="B142" i="7"/>
  <c r="B144" i="7"/>
  <c r="G8" i="20"/>
  <c r="J50" i="11"/>
  <c r="B146" i="7"/>
  <c r="F137" i="7"/>
  <c r="J43" i="11" s="1"/>
  <c r="B20" i="18"/>
  <c r="E142" i="7" s="1"/>
  <c r="D20" i="18"/>
  <c r="F142" i="7" s="1"/>
  <c r="G127" i="7"/>
  <c r="B4" i="17" s="1"/>
  <c r="F4" i="17" s="1"/>
  <c r="H4" i="17" s="1"/>
  <c r="J33" i="11"/>
  <c r="F128" i="7"/>
  <c r="I34" i="11"/>
  <c r="F3" i="17"/>
  <c r="H3" i="17" s="1"/>
  <c r="H137" i="7" l="1"/>
  <c r="I137" i="7"/>
  <c r="J136" i="7"/>
  <c r="I146" i="7"/>
  <c r="I144" i="7"/>
  <c r="H138" i="7"/>
  <c r="H139" i="7"/>
  <c r="J48" i="11"/>
  <c r="F139" i="7"/>
  <c r="F138" i="7"/>
  <c r="E138" i="7"/>
  <c r="E139" i="7"/>
  <c r="J137" i="7"/>
  <c r="I139" i="7"/>
  <c r="I138" i="7"/>
  <c r="C146" i="7"/>
  <c r="C144" i="7"/>
  <c r="G134" i="7"/>
  <c r="B11" i="17" s="1"/>
  <c r="F11" i="17" s="1"/>
  <c r="F2" i="17" s="1"/>
  <c r="H2" i="17" s="1"/>
  <c r="J35" i="11"/>
  <c r="G129" i="7"/>
  <c r="B6" i="17" s="1"/>
  <c r="F6" i="17" s="1"/>
  <c r="H6" i="17" s="1"/>
  <c r="J46" i="11"/>
  <c r="G130" i="7"/>
  <c r="B7" i="17" s="1"/>
  <c r="F7" i="17" s="1"/>
  <c r="J36" i="11"/>
  <c r="G144" i="7"/>
  <c r="B11" i="20" s="1"/>
  <c r="F11" i="20" s="1"/>
  <c r="H11" i="20" s="1"/>
  <c r="G146" i="7"/>
  <c r="B13" i="20" s="1"/>
  <c r="F13" i="20" s="1"/>
  <c r="H13" i="20" s="1"/>
  <c r="B23" i="18"/>
  <c r="E136" i="7" s="1"/>
  <c r="B25" i="18"/>
  <c r="G137" i="7"/>
  <c r="B4" i="20" s="1"/>
  <c r="F4" i="20" s="1"/>
  <c r="H4" i="20" s="1"/>
  <c r="B22" i="18"/>
  <c r="I44" i="11"/>
  <c r="I48" i="11"/>
  <c r="D25" i="18"/>
  <c r="D23" i="18"/>
  <c r="D22" i="18"/>
  <c r="I45" i="11"/>
  <c r="G140" i="7"/>
  <c r="B7" i="20" s="1"/>
  <c r="F7" i="20" s="1"/>
  <c r="H7" i="20" s="1"/>
  <c r="G128" i="7"/>
  <c r="B5" i="17" s="1"/>
  <c r="F5" i="17" s="1"/>
  <c r="G5" i="17" s="1"/>
  <c r="J34" i="11"/>
  <c r="G3" i="17"/>
  <c r="G4" i="17"/>
  <c r="J138" i="7" l="1"/>
  <c r="J144" i="7"/>
  <c r="J139" i="7"/>
  <c r="F136" i="7"/>
  <c r="J42" i="11" s="1"/>
  <c r="J146" i="7"/>
  <c r="I42" i="11"/>
  <c r="G11" i="17"/>
  <c r="G2" i="17"/>
  <c r="H11" i="17"/>
  <c r="G6" i="17"/>
  <c r="G11" i="20"/>
  <c r="G13" i="20"/>
  <c r="G4" i="20"/>
  <c r="H7" i="17"/>
  <c r="G7" i="17"/>
  <c r="J44" i="11"/>
  <c r="H5" i="17"/>
  <c r="G142" i="7"/>
  <c r="B9" i="20" s="1"/>
  <c r="F9" i="20" s="1"/>
  <c r="J45" i="11"/>
  <c r="G139" i="7"/>
  <c r="B6" i="20" s="1"/>
  <c r="F6" i="20" s="1"/>
  <c r="G7" i="20"/>
  <c r="G138" i="7"/>
  <c r="B5" i="20" s="1"/>
  <c r="F5" i="20" s="1"/>
  <c r="H5" i="20" s="1"/>
  <c r="G136" i="7" l="1"/>
  <c r="B3" i="20" s="1"/>
  <c r="F3" i="20" s="1"/>
  <c r="G3" i="20" s="1"/>
  <c r="G9" i="20"/>
  <c r="H9" i="20"/>
  <c r="H6" i="20"/>
  <c r="G6" i="20"/>
  <c r="G5" i="20"/>
  <c r="H3"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tc={A022234E-48BE-4C4C-BBF3-4359DEA87285}</author>
    <author>tc={2B089E85-9874-4FB4-8F58-80CE258B480D}</author>
    <author>tc={6EF9A3B6-C23B-4BB6-8C5D-6DE839C5E83F}</author>
  </authors>
  <commentList>
    <comment ref="A32" authorId="0" shapeId="0" xr:uid="{A022234E-48BE-4C4C-BBF3-4359DEA87285}">
      <text>
        <t>[Threaded comment]
Your version of Excel allows you to read this threaded comment; however, any edits to it will get removed if the file is opened in a newer version of Excel. Learn more: https://go.microsoft.com/fwlink/?linkid=870924
Comment:
    Kim et al. 2011 - 8 - 11% after annualization (% released over a time period).
Smith et al. 2015 - 54% LFG release rate for general MSW landfilled. A lot of organic material is present in here, which does not fully represent the AM EoL landfilled. The lower end range, provided by (Kim et al. 2011's study) should accurately reflect LFG released by the AM EoL materials after landfilling.
Reply:
    Chidambarampadmavathy et al. 2017 - estimated approximately 29% LFG generated and the landfills being studied is estimated to have roughly 20% plastics. Again, the AM industry has higher concentration of plastics, metal, glass, ceramics, and composites. The landfill gas generated as a result of AM EoL materials will not be as high.</t>
      </text>
    </comment>
    <comment ref="AJ45" authorId="1" shapeId="0" xr:uid="{2B089E85-9874-4FB4-8F58-80CE258B480D}">
      <text>
        <t>[Threaded comment]
Your version of Excel allows you to read this threaded comment; however, any edits to it will get removed if the file is opened in a newer version of Excel. Learn more: https://go.microsoft.com/fwlink/?linkid=870924
Comment:
    Unmitigated release. With gas collection, 60 - 90% of this can be removed.</t>
      </text>
    </comment>
    <comment ref="AJ63" authorId="2" shapeId="0" xr:uid="{6EF9A3B6-C23B-4BB6-8C5D-6DE839C5E83F}">
      <text>
        <t>[Threaded comment]
Your version of Excel allows you to read this threaded comment; however, any edits to it will get removed if the file is opened in a newer version of Excel. Learn more: https://go.microsoft.com/fwlink/?linkid=870924
Comment:
    Unmitigated release. With gas collection, 60 - 90% of this can be removed.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tc={9C85F3E5-E3EC-4F5D-85DA-55BDBDA4FEA7}</author>
  </authors>
  <commentList>
    <comment ref="B112" authorId="0" shapeId="0" xr:uid="{9C85F3E5-E3EC-4F5D-85DA-55BDBDA4FEA7}">
      <text>
        <t xml:space="preserve">[Threaded comment]
Your version of Excel allows you to read this threaded comment; however, any edits to it will get removed if the file is opened in a newer version of Excel. Learn more: https://go.microsoft.com/fwlink/?linkid=870924
Comment:
    There are a few reasons why a secondary material might have a negative cost:
Waste disposal: Some materials, such as industrial byproducts or waste materials, may require special handling or disposal processes. If the cost of managing and disposing of these materials is high, suppliers may offer them at a negative cost to incentivize others to take them off their hands and bear the disposal expenses.
Environmental regulations: Certain materials may be subject to strict environmental regulations, requiring expensive treatment or disposal methods to ensure compliance. In such cases, suppliers may opt to offer the material at a negative cost to avoid the higher expenses associated with proper disposal.
Reclamation or recycling: In some instances, companies may offer secondary materials at a negative cost if they can be reclaimed or recycled for value. This approach allows companies to recover some value from the material while reducing waste and environmental impact.
While the material itself may be free or have a negative cost, it's important to consider any associated expenses or risks related to handling, transportation, storage, or potential environmental impacts. Additionally, the availability of materials at negative cost is limited and highly specific to certain industries or situations.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tc={4C641DCA-090E-4976-8C80-C13AEA6F6F3B}</author>
    <author>tc={2EEA0776-AEB4-4E05-A1AC-561F4A2A8376}</author>
    <author>tc={E8B51110-FDE1-408C-8459-CD056A6EE697}</author>
    <author>tc={B56FB7A4-E915-4680-B8A9-4857671F9985}</author>
    <author>tc={ABD96DBD-BABA-4E20-9EFB-41BC8889B0DE}</author>
    <author>tc={38E70B49-F15C-4880-9DEF-AAB88FD5285C}</author>
    <author>tc={7C74FB5C-FDD5-4AF9-A762-459A9E786FC3}</author>
    <author>tc={9C446CDC-360E-4D9B-BDB5-12B8FF0CB4D5}</author>
    <author>tc={ED8193EB-4F6D-4E27-B316-0E7A01F7FC77}</author>
    <author>tc={7200FC97-A66C-4CAD-8343-6EB5306CB9FE}</author>
    <author>tc={B59D8D38-4036-484A-BC61-89932650F556}</author>
    <author>tc={242440C7-7984-4DE9-B823-F7433B9EAE67}</author>
    <author>tc={189A22DE-7B34-40E4-80D5-B9930F2D52AF}</author>
  </authors>
  <commentList>
    <comment ref="B8" authorId="0" shapeId="0" xr:uid="{4C641DCA-090E-4976-8C80-C13AEA6F6F3B}">
      <text>
        <t>[Threaded comment]
Your version of Excel allows you to read this threaded comment; however, any edits to it will get removed if the file is opened in a newer version of Excel. Learn more: https://go.microsoft.com/fwlink/?linkid=870924
Comment:
    Renewability content is only PLA. Nothing else is renewable and PLA only makes up 0.25% of the total plastic mass found in MSW (US EPA 2018)</t>
      </text>
    </comment>
    <comment ref="B126" authorId="1" shapeId="0" xr:uid="{2EEA0776-AEB4-4E05-A1AC-561F4A2A8376}">
      <text>
        <t>[Threaded comment]
Your version of Excel allows you to read this threaded comment; however, any edits to it will get removed if the file is opened in a newer version of Excel. Learn more: https://go.microsoft.com/fwlink/?linkid=870924
Comment:
    This energy consumption covers only for end-of-life only. From disposal to recycling/incineration/landfilling</t>
      </text>
    </comment>
    <comment ref="B128" authorId="2" shapeId="0" xr:uid="{E8B51110-FDE1-408C-8459-CD056A6EE697}">
      <text>
        <t xml:space="preserve">[Threaded comment]
Your version of Excel allows you to read this threaded comment; however, any edits to it will get removed if the file is opened in a newer version of Excel. Learn more: https://go.microsoft.com/fwlink/?linkid=870924
Comment:
    The cost of recycled materials can be 50 - 100% more than recycled materials. Using the Economic Values from the "Material Cost Data", we can approximate the revenue based on the total mass of product. </t>
      </text>
    </comment>
    <comment ref="B129" authorId="3" shapeId="0" xr:uid="{B56FB7A4-E915-4680-B8A9-4857671F9985}">
      <text>
        <t xml:space="preserve">[Threaded comment]
Your version of Excel allows you to read this threaded comment; however, any edits to it will get removed if the file is opened in a newer version of Excel. Learn more: https://go.microsoft.com/fwlink/?linkid=870924
Comment:
    Incineration is considered a waste treatment option and energy can be recovered. In this case, the score is &gt;100% because you can generate up to 5x more than the required energy. 
Reply:
    The negative value indicates the net energy gain from the process. </t>
      </text>
    </comment>
    <comment ref="B130" authorId="4" shapeId="0" xr:uid="{ABD96DBD-BABA-4E20-9EFB-41BC8889B0DE}">
      <text>
        <t xml:space="preserve">[Threaded comment]
Your version of Excel allows you to read this threaded comment; however, any edits to it will get removed if the file is opened in a newer version of Excel. Learn more: https://go.microsoft.com/fwlink/?linkid=870924
Comment:
    Assuming no solvent recovery is done from the overall EoL process. It is partly practiced during manufacturing, but solvent eventually become too saturated with contamination, making recovery less feasible. Based on the current infrastructure, in the EoL stages, solvent recovery is a less attractive option than incineration from an economic standpoint. </t>
      </text>
    </comment>
    <comment ref="C130" authorId="5" shapeId="0" xr:uid="{38E70B49-F15C-4880-9DEF-AAB88FD5285C}">
      <text>
        <t xml:space="preserve">[Threaded comment]
Your version of Excel allows you to read this threaded comment; however, any edits to it will get removed if the file is opened in a newer version of Excel. Learn more: https://go.microsoft.com/fwlink/?linkid=870924
Comment:
    Scenario 1 has solvent recovery
Reply:
P. Fullana I Palmer, R. Puig, A. Bala, G. Baquero, J. Riba, and M. Raugei, “From Life Cycle Assessment to Life Cycle Management: A Case Study on Industrial Waste Management Policy Making,” Journal of Industrial Ecology, vol. 15, no. 3, pp. 458–475, Jun. 2011, doi: 10.1111/j.1530-9290.2011.00338.x.
</t>
      </text>
    </comment>
    <comment ref="G132" authorId="6" shapeId="0" xr:uid="{7C74FB5C-FDD5-4AF9-A762-459A9E786FC3}">
      <text>
        <t xml:space="preserve">[Threaded comment]
Your version of Excel allows you to read this threaded comment; however, any edits to it will get removed if the file is opened in a newer version of Excel. Learn more: https://go.microsoft.com/fwlink/?linkid=870924
Comment:
    Actually PLA is renewable. See if we can use EPA database to figure out what fraction of plastic is renewable. </t>
      </text>
    </comment>
    <comment ref="B134" authorId="7" shapeId="0" xr:uid="{9C446CDC-360E-4D9B-BDB5-12B8FF0CB4D5}">
      <text>
        <t xml:space="preserve">[Threaded comment]
Your version of Excel allows you to read this threaded comment; however, any edits to it will get removed if the file is opened in a newer version of Excel. Learn more: https://go.microsoft.com/fwlink/?linkid=870924
Comment:
    Includes sorting, recycling, and transportation. Negative score is set to 0, indicating extraneous use of energy for recycling. </t>
      </text>
    </comment>
    <comment ref="A136" authorId="8" shapeId="0" xr:uid="{ED8193EB-4F6D-4E27-B316-0E7A01F7FC77}">
      <text>
        <t>[Threaded comment]
Your version of Excel allows you to read this threaded comment; however, any edits to it will get removed if the file is opened in a newer version of Excel. Learn more: https://go.microsoft.com/fwlink/?linkid=870924
Comment:
    Collection and Disposal: $90 - 200/ton 
Recycling: $30 - 80/ton 
Incineration: Capital $600 - 800/annual ton and operating cost of $44 - 55/ton incinerated
Selected the median value with the low and high being uncertainty</t>
      </text>
    </comment>
    <comment ref="B136" authorId="9" shapeId="0" xr:uid="{7200FC97-A66C-4CAD-8343-6EB5306CB9FE}">
      <text>
        <t>[Threaded comment]
Your version of Excel allows you to read this threaded comment; however, any edits to it will get removed if the file is opened in a newer version of Excel. Learn more: https://go.microsoft.com/fwlink/?linkid=870924
Comment:
    TPC (total process/product cost) = COM (cost of manufacture without depreciation) 
+ GE (general expenses) 
where GE = 15% to 25% of TPC (Peters et al. 2003 pp 259 - 274) [selected 20%]
TPC + 0.20TPC = COM = TPC(1.20) =29016000</t>
      </text>
    </comment>
    <comment ref="E136" authorId="10" shapeId="0" xr:uid="{B59D8D38-4036-484A-BC61-89932650F556}">
      <text>
        <t>[Threaded comment]
Your version of Excel allows you to read this threaded comment; however, any edits to it will get removed if the file is opened in a newer version of Excel. Learn more: https://go.microsoft.com/fwlink/?linkid=870924
Comment:
    1.4*COM_best-case (pick the lowest value of cost)</t>
      </text>
    </comment>
    <comment ref="F136" authorId="11" shapeId="0" xr:uid="{242440C7-7984-4DE9-B823-F7433B9EAE67}">
      <text>
        <t>[Threaded comment]
Your version of Excel allows you to read this threaded comment; however, any edits to it will get removed if the file is opened in a newer version of Excel. Learn more: https://go.microsoft.com/fwlink/?linkid=870924
Comment:
    1.2*COM_worst case (Pick the highest value for cost)</t>
      </text>
    </comment>
    <comment ref="F143" authorId="12" shapeId="0" xr:uid="{189A22DE-7B34-40E4-80D5-B9930F2D52AF}">
      <text>
        <t>[Threaded comment]
Your version of Excel allows you to read this threaded comment; however, any edits to it will get removed if the file is opened in a newer version of Excel. Learn more: https://go.microsoft.com/fwlink/?linkid=870924
Comment:
    The best case scenario value is a zero Cs tot. moreover, a worst case scenario value is when all solid waste is categorized as hazardous with a Cs tot. unit cost of $2/kg 
Regardless of the "high" value in the Economic Analysis tab, worst case is essentially mass of solid waste * $2/kg (a very expensive disposal and treatment process)
Reply:
    The same goes for the remainder of the disposal categories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tc={994A193F-23CC-4B4A-BA3A-9FE152E86A6B}</author>
    <author>tc={E658A66A-356A-4AC5-999E-F4CBA7DA2E99}</author>
    <author>tc={C87F3B07-8E32-4D49-907C-6EA1A4C2930B}</author>
    <author>tc={1F2975F5-51B4-4192-BD78-F9C60D4ABE51}</author>
    <author>tc={0E246825-D65A-4A21-82AA-D869DDF06506}</author>
    <author>tc={A3A0C985-464F-4800-85FE-F1A417B0C973}</author>
    <author>tc={BF92E7D6-6150-43CF-BB74-8DE5A6A98A62}</author>
    <author>tc={C92F9C1E-F1D8-4861-A529-B7F612D6F9B7}</author>
    <author>tc={235647EF-61D5-45ED-9634-24E581F6EFE7}</author>
  </authors>
  <commentList>
    <comment ref="R14" authorId="0" shapeId="0" xr:uid="{994A193F-23CC-4B4A-BA3A-9FE152E86A6B}">
      <text>
        <t>[Threaded comment]
Your version of Excel allows you to read this threaded comment; however, any edits to it will get removed if the file is opened in a newer version of Excel. Learn more: https://go.microsoft.com/fwlink/?linkid=870924
Comment:
    Assuming IPA (density = 786 kg/m3 = 2.97533 kg/gal</t>
      </text>
    </comment>
    <comment ref="V14" authorId="1" shapeId="0" xr:uid="{E658A66A-356A-4AC5-999E-F4CBA7DA2E99}">
      <text>
        <t xml:space="preserve">[Threaded comment]
Your version of Excel allows you to read this threaded comment; however, any edits to it will get removed if the file is opened in a newer version of Excel. Learn more: https://go.microsoft.com/fwlink/?linkid=870924
Comment:
    ACCR (Annual Capital Charge Ratio) * Total fixed capital cost = Annual Capital Cost.
Low interest = 0.1
High interest = 0.3
Assume life of plant = 20 years
For interest = 0.1; ACCR = 0.117
For interest = 0.2; ACCR = 0.302
Source: Towler and Sinnott 2012
</t>
      </text>
    </comment>
    <comment ref="W14" authorId="2" shapeId="0" xr:uid="{C87F3B07-8E32-4D49-907C-6EA1A4C2930B}">
      <text>
        <t>[Threaded comment]
Your version of Excel allows you to read this threaded comment; however, any edits to it will get removed if the file is opened in a newer version of Excel. Learn more: https://go.microsoft.com/fwlink/?linkid=870924
Comment:
    Annualized Cost is very high due to high capital cost. Every individual site cannot justify such purchase because at low volume, solvent recovery is not feasible (https://doi.org/10.1016/j.isci.2021.103114 )</t>
      </text>
    </comment>
    <comment ref="Q15" authorId="3" shapeId="0" xr:uid="{1F2975F5-51B4-4192-BD78-F9C60D4ABE51}">
      <text>
        <t>[Threaded comment]
Your version of Excel allows you to read this threaded comment; however, any edits to it will get removed if the file is opened in a newer version of Excel. Learn more: https://go.microsoft.com/fwlink/?linkid=870924
Comment:
    Mass from base case because this is the actual amount that was processed. The value you see in Scenario 1 is the flow input (solvent purchased). Likewise, the number you see in base case is how much solvent was purchased each year that aren't recovered. This calculation subjects the base case amount of solvent to solvent recovery.</t>
      </text>
    </comment>
    <comment ref="A19" authorId="4" shapeId="0" xr:uid="{0E246825-D65A-4A21-82AA-D869DDF06506}">
      <text>
        <t xml:space="preserve">[Threaded comment]
Your version of Excel allows you to read this threaded comment; however, any edits to it will get removed if the file is opened in a newer version of Excel. Learn more: https://go.microsoft.com/fwlink/?linkid=870924
Comment:
    Solvent recovery can range between 15 - 21 MJ/kg depending on continuous vs batch distillation.
The energy cost can also be as low as 5 - 7 MJ/kg if solid content is below 10% within solvent.
Fullana i Palmer, P., Puig, R., Bala, A., Baquero, G., Riba, J., &amp; Raugei, M. (2011). From Life Cycle Assessment to Life Cycle Management. Journal of Industrial Ecology, 15(3), 458–475. doi:10.1111/j.1530-9290.2011.00338.x </t>
      </text>
    </comment>
    <comment ref="B23" authorId="5" shapeId="0" xr:uid="{A3A0C985-464F-4800-85FE-F1A417B0C973}">
      <text>
        <t>[Threaded comment]
Your version of Excel allows you to read this threaded comment; however, any edits to it will get removed if the file is opened in a newer version of Excel. Learn more: https://go.microsoft.com/fwlink/?linkid=870924
Comment:
    COM_best case</t>
      </text>
    </comment>
    <comment ref="D23" authorId="6" shapeId="0" xr:uid="{BF92E7D6-6150-43CF-BB74-8DE5A6A98A62}">
      <text>
        <t>[Threaded comment]
Your version of Excel allows you to read this threaded comment; however, any edits to it will get removed if the file is opened in a newer version of Excel. Learn more: https://go.microsoft.com/fwlink/?linkid=870924
Comment:
    COM_worst case</t>
      </text>
    </comment>
    <comment ref="F23" authorId="7" shapeId="0" xr:uid="{C92F9C1E-F1D8-4861-A529-B7F612D6F9B7}">
      <text>
        <t>[Threaded comment]
Your version of Excel allows you to read this threaded comment; however, any edits to it will get removed if the file is opened in a newer version of Excel. Learn more: https://go.microsoft.com/fwlink/?linkid=870924
Comment:
    COM_best case</t>
      </text>
    </comment>
    <comment ref="H23" authorId="8" shapeId="0" xr:uid="{235647EF-61D5-45ED-9634-24E581F6EFE7}">
      <text>
        <t>[Threaded comment]
Your version of Excel allows you to read this threaded comment; however, any edits to it will get removed if the file is opened in a newer version of Excel. Learn more: https://go.microsoft.com/fwlink/?linkid=870924
Comment:
    COM_worst case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tc={3B37C3E6-6B77-4C6E-B976-20A34351E374}</author>
    <author>tc={DB0BAE14-E78F-45D4-BE05-E14113FBD38D}</author>
    <author>tc={E08E02BF-7E92-4FC4-87E3-9EB43D60AA91}</author>
    <author>tc={1A781F67-ADA2-41A5-8580-96C056DC774B}</author>
    <author>tc={F2909BD3-336A-4070-A807-9138B6C92D5E}</author>
    <author>tc={EC2DE477-E7D0-4D3A-9CFA-5E775BA76462}</author>
    <author>tc={61B2ED19-A944-422B-81A7-8BEA2190CA7B}</author>
    <author>tc={8047B434-6982-411E-BFD7-AE2E99DD9E46}</author>
    <author>tc={A302635E-B79A-4C63-80A6-1EBF863BB1DA}</author>
    <author>tc={2FAD1AF0-A432-4401-B016-668AE08134BC}</author>
    <author>tc={D37E7B3D-0628-4D03-B4C5-6C07C04F4BEF}</author>
    <author>tc={62928834-7821-4785-A6B4-A5F7D13557B4}</author>
    <author>tc={BDAD1BB0-1219-4A88-B0A1-980A3A41D86F}</author>
    <author>tc={B49E97A0-DE4D-43CC-9B59-DF65A1493490}</author>
    <author>tc={BE190349-460C-48BC-ADC3-82A152ED9DA5}</author>
    <author>tc={42BC632E-E8FB-4CB8-8993-11883ABECDE5}</author>
    <author>tc={D81D230D-C5F8-41FC-BB5E-65E520F7A766}</author>
    <author>tc={CAF839AA-BC94-4B49-81F9-DC17E336FDDE}</author>
  </authors>
  <commentList>
    <comment ref="B1" authorId="0" shapeId="0" xr:uid="{3B37C3E6-6B77-4C6E-B976-20A34351E374}">
      <text>
        <t>[Threaded comment]
Your version of Excel allows you to read this threaded comment; however, any edits to it will get removed if the file is opened in a newer version of Excel. Learn more: https://go.microsoft.com/fwlink/?linkid=870924
Comment:
    Only enter stream directly sent to the processes throughout the additive manufacturing industry. Transportation are handled separately.</t>
      </text>
    </comment>
    <comment ref="G1" authorId="1" shapeId="0" xr:uid="{DB0BAE14-E78F-45D4-BE05-E14113FBD38D}">
      <text>
        <t xml:space="preserve">[Threaded comment]
Your version of Excel allows you to read this threaded comment; however, any edits to it will get removed if the file is opened in a newer version of Excel. Learn more: https://go.microsoft.com/fwlink/?linkid=870924
Comment:
    We must consider the allocation of industrial vs residential vs commercial. What is the allocation?  
Reply:
    According to NIST in 2011, Consumer AM products make up 33.6% of the market. We will assume it falls in the "residential electricity category" and the remainder, 10.8%, and 55% commercial use. 
Reply:
    This review was conducted in 2011 and the number has likely changed since then, promoting to uncertainty. </t>
      </text>
    </comment>
    <comment ref="H1" authorId="2" shapeId="0" xr:uid="{E08E02BF-7E92-4FC4-87E3-9EB43D60AA91}">
      <text>
        <t>[Threaded comment]
Your version of Excel allows you to read this threaded comment; however, any edits to it will get removed if the file is opened in a newer version of Excel. Learn more: https://go.microsoft.com/fwlink/?linkid=870924
Comment:
    The user should specify what fraction of operation requires electrical power vs heating/cooling. These fractions can allow utility costs to be determined.</t>
      </text>
    </comment>
    <comment ref="G3" authorId="3" shapeId="0" xr:uid="{1A781F67-ADA2-41A5-8580-96C056DC774B}">
      <text>
        <t>[Threaded comment]
Your version of Excel allows you to read this threaded comment; however, any edits to it will get removed if the file is opened in a newer version of Excel. Learn more: https://go.microsoft.com/fwlink/?linkid=870924
Comment:
    76% industrial, 24% desktop/residential
https://www.globenewswire.com/en/news-release/2023/03/28/2635882/0/en/3D-Printing-Market-Size-to-Worth-Around-USD-98-31-BN-by-2032.html</t>
      </text>
    </comment>
    <comment ref="G5" authorId="4" shapeId="0" xr:uid="{F2909BD3-336A-4070-A807-9138B6C92D5E}">
      <text>
        <t>[Threaded comment]
Your version of Excel allows you to read this threaded comment; however, any edits to it will get removed if the file is opened in a newer version of Excel. Learn more: https://go.microsoft.com/fwlink/?linkid=870924
Comment:
    0.25% of this value came from renewable source (Polylactic acid - PLA)</t>
      </text>
    </comment>
    <comment ref="D7" authorId="5" shapeId="0" xr:uid="{EC2DE477-E7D0-4D3A-9CFA-5E775BA76462}">
      <text>
        <t>[Threaded comment]
Your version of Excel allows you to read this threaded comment; however, any edits to it will get removed if the file is opened in a newer version of Excel. Learn more: https://go.microsoft.com/fwlink/?linkid=870924
Comment:
    Beyond the scope of our study. There are far too many uncertainty regarding how the material is used after printing.</t>
      </text>
    </comment>
    <comment ref="H11" authorId="6" shapeId="0" xr:uid="{61B2ED19-A944-422B-81A7-8BEA2190CA7B}">
      <text>
        <t>[Threaded comment]
Your version of Excel allows you to read this threaded comment; however, any edits to it will get removed if the file is opened in a newer version of Excel. Learn more: https://go.microsoft.com/fwlink/?linkid=870924
Comment:
    Purchased electricity</t>
      </text>
    </comment>
    <comment ref="C12" authorId="7" shapeId="0" xr:uid="{8047B434-6982-411E-BFD7-AE2E99DD9E46}">
      <text>
        <t>[Threaded comment]
Your version of Excel allows you to read this threaded comment; however, any edits to it will get removed if the file is opened in a newer version of Excel. Learn more: https://go.microsoft.com/fwlink/?linkid=870924
Comment:
    Plastics make up 20.9% of the additive manufacturing End-of-Life materials after normalizing from the municipal solid waste "recycled" from 2018. Metal = 58.6% and Glass = 20.5%</t>
      </text>
    </comment>
    <comment ref="C59" authorId="8" shapeId="0" xr:uid="{A302635E-B79A-4C63-80A6-1EBF863BB1DA}">
      <text>
        <t>[Threaded comment]
Your version of Excel allows you to read this threaded comment; however, any edits to it will get removed if the file is opened in a newer version of Excel. Learn more: https://go.microsoft.com/fwlink/?linkid=870924
Comment:
    High uncertainty because there is no specific correlation that relates landfill gas generation to the amount of AM EoL material feed into landfill</t>
      </text>
    </comment>
    <comment ref="P101" authorId="9" shapeId="0" xr:uid="{2FAD1AF0-A432-4401-B016-668AE08134BC}">
      <text>
        <t>[Threaded comment]
Your version of Excel allows you to read this threaded comment; however, any edits to it will get removed if the file is opened in a newer version of Excel. Learn more: https://go.microsoft.com/fwlink/?linkid=870924
Comment:
    It is possible to backcalculate for mass, based on Hopkins et al 2021 data. 2.2 kJ/kg was approximated to be the energy required for curing. This specific energy can help us calculate the mass throughput
Hopkins, N., Jiang, L., Brooks, H., 2021. 
Energy consumption of common desktop additive manufacturing technologies. Cleaner Engineering and Technology 2, 100068. https://doi.org/10.1016/j.clet.2021.100068
Reply:
    It is still important to note, however, that the mass throughput greatly varies between processes. We can expect uncertainties with these calculated values.</t>
      </text>
    </comment>
    <comment ref="D195" authorId="10" shapeId="0" xr:uid="{D37E7B3D-0628-4D03-B4C5-6C07C04F4BEF}">
      <text>
        <t>[Threaded comment]
Your version of Excel allows you to read this threaded comment; however, any edits to it will get removed if the file is opened in a newer version of Excel. Learn more: https://go.microsoft.com/fwlink/?linkid=870924
Comment:
    Based on 960 tons/day flow rate.
Source: Haukohl, J., Rand, T., Marxen of Rambøll, U., 1999. Municipal Solid Waste Incineration, World Bank Technical Guidance Report. The World Bank, Washington D.C.</t>
      </text>
    </comment>
    <comment ref="E195" authorId="11" shapeId="0" xr:uid="{62928834-7821-4785-A6B4-A5F7D13557B4}">
      <text>
        <t>[Threaded comment]
Your version of Excel allows you to read this threaded comment; however, any edits to it will get removed if the file is opened in a newer version of Excel. Learn more: https://go.microsoft.com/fwlink/?linkid=870924
Comment:
    87.7% bottom ash, 12.3% air pollution control residue (fly ash).</t>
      </text>
    </comment>
    <comment ref="K195" authorId="12" shapeId="0" xr:uid="{BDAD1BB0-1219-4A88-B0A1-980A3A41D86F}">
      <text>
        <t>[Threaded comment]
Your version of Excel allows you to read this threaded comment; however, any edits to it will get removed if the file is opened in a newer version of Excel. Learn more: https://go.microsoft.com/fwlink/?linkid=870924
Comment:
    $9.4 million cost (annual) reported for operation. It is possible to back calculate for the actual energy used based on the cost of electricity at the time ($35/MWh). The incineration plant ran for 7500 hrs in a year. 
Haukohl, J., Rand, T., Marxen of Rambøll, U., 1999. Municipal Solid Waste Incineration, World Bank Technical Guidance Report. The World Bank, Washington D.C.</t>
      </text>
    </comment>
    <comment ref="M195" authorId="13" shapeId="0" xr:uid="{B49E97A0-DE4D-43CC-9B59-DF65A1493490}">
      <text>
        <t>[Threaded comment]
Your version of Excel allows you to read this threaded comment; however, any edits to it will get removed if the file is opened in a newer version of Excel. Learn more: https://go.microsoft.com/fwlink/?linkid=870924
Comment:
    Scaled from 1999 data of 22.4 million USD. This cost includes administration, salaries, electricity, utility, disposal of residue, disposal of bottom ash, and maintenance.
Note (1999 data)
Disposal of residue = $100/metric ton
Disp/re-use of bottom ash: $5/metric ton 
Reply:
    $9.4 million is from energy</t>
      </text>
    </comment>
    <comment ref="E199" authorId="14" shapeId="0" xr:uid="{BE190349-460C-48BC-ADC3-82A152ED9DA5}">
      <text>
        <t>[Threaded comment]
Your version of Excel allows you to read this threaded comment; however, any edits to it will get removed if the file is opened in a newer version of Excel. Learn more: https://go.microsoft.com/fwlink/?linkid=870924
Comment:
    Steam
Reply:
    15000 lbs/hr</t>
      </text>
    </comment>
    <comment ref="N199" authorId="15" shapeId="0" xr:uid="{42BC632E-E8FB-4CB8-8993-11883ABECDE5}">
      <text>
        <t>[Threaded comment]
Your version of Excel allows you to read this threaded comment; however, any edits to it will get removed if the file is opened in a newer version of Excel. Learn more: https://go.microsoft.com/fwlink/?linkid=870924
Comment:
    Steam generated</t>
      </text>
    </comment>
    <comment ref="D203" authorId="16" shapeId="0" xr:uid="{D81D230D-C5F8-41FC-BB5E-65E520F7A766}">
      <text>
        <t>[Threaded comment]
Your version of Excel allows you to read this threaded comment; however, any edits to it will get removed if the file is opened in a newer version of Excel. Learn more: https://go.microsoft.com/fwlink/?linkid=870924
Comment:
    EPA 2018 - 292 million tons of MSW were generated with 146.1 million tons (132,540,000,000 kg/yr) landfilled with a minimum of 2635 landfills. 
Assuming 365 days (8760 hrs) of operation/yr, then the hourly rate of feed to landfills include 
https://www.epa.gov/lmop/project-and-landfill-data-state#:~:text=The%20LMOP%20Landfill%20and%20Landfill,more%20than%202%2C600%20MSW%20landfills.
Reply:
    In the US, the incineration facility can range between &gt;0 - 3000 tons/day. The majority of the sites, however, fall between &gt;0 - 2000 tons/day. 
Table 2-1
https://kingcounty.gov/~/media/Lambert/documents/waste-to-energy-options-considerations.ashx?la=en</t>
      </text>
    </comment>
    <comment ref="H203" authorId="17" shapeId="0" xr:uid="{CAF839AA-BC94-4B49-81F9-DC17E336FDDE}">
      <text>
        <t xml:space="preserve">[Threaded comment]
Your version of Excel allows you to read this threaded comment; however, any edits to it will get removed if the file is opened in a newer version of Excel. Learn more: https://go.microsoft.com/fwlink/?linkid=870924
Comment:
    15 billion kWh of electricity with 100 billion cubic feet of landfill gas for use annually. Specific gravity of landfill gas is 1.02 - 1.06 (selected 1.04). Density of air is 1.293 kg/m^3. Thus, density of landfill gas is 1.345 kg/m^3 or 0.038 kg/ft^3. There is 3.6 MJ/kWh.
Reply:
    Pierson, R., 2013. Fact Sheet - Landfill Metahne.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tc={DFEAFDE3-11B5-4263-A608-938BD988D62C}</author>
    <author>tc={06AD7D9F-E564-481D-A25E-6981A9A2A7EB}</author>
    <author>tc={BF858C54-CDB8-4A2B-9F11-F94FBA379418}</author>
    <author>tc={5B5FE7A1-52C7-49BB-8A45-2A522F618399}</author>
    <author>tc={BECAFF9C-ACB0-4E43-B33E-06186B324BF2}</author>
    <author>tc={BA1CD3FA-5FA5-4528-A1A0-C3817411ED36}</author>
    <author>tc={8E3479AA-05FB-4FC3-8A97-3F9DE303CEDB}</author>
    <author>tc={1A3B3819-FDBA-4497-98D5-DAF861BE3477}</author>
    <author>tc={75B0A408-D3A7-4ED0-9F6B-2555B56678EF}</author>
    <author>tc={037F962A-FC28-4B44-90D7-255D0B1D9733}</author>
    <author>tc={AAD43836-02ED-441A-B173-37DCAEB6ECC8}</author>
    <author>tc={A1A84BE6-7059-4405-AEEF-3CD1A09C74EA}</author>
    <author>tc={E7DC111B-8FFA-4A13-A909-B24E91B5CAD8}</author>
    <author>tc={54A2E950-C91C-41FD-8C3C-BA0B2C10C700}</author>
    <author>tc={EBE236F3-785D-4D5D-99AC-A06F697CB81B}</author>
    <author>tc={142DEB0F-C0E4-4240-B4EB-E5411BFEA27D}</author>
    <author>tc={FF4F81C6-EF88-44A0-AB17-BF6CB5BDC4ED}</author>
    <author>tc={1D96993E-0CD0-4078-A1A1-2B624C5C61AF}</author>
  </authors>
  <commentList>
    <comment ref="B1" authorId="0" shapeId="0" xr:uid="{DFEAFDE3-11B5-4263-A608-938BD988D62C}">
      <text>
        <t>[Threaded comment]
Your version of Excel allows you to read this threaded comment; however, any edits to it will get removed if the file is opened in a newer version of Excel. Learn more: https://go.microsoft.com/fwlink/?linkid=870924
Comment:
    Only enter stream directly sent to the processes throughout the additive manufacturing industry. Transportation are handled separately.</t>
      </text>
    </comment>
    <comment ref="G1" authorId="1" shapeId="0" xr:uid="{06AD7D9F-E564-481D-A25E-6981A9A2A7EB}">
      <text>
        <t xml:space="preserve">[Threaded comment]
Your version of Excel allows you to read this threaded comment; however, any edits to it will get removed if the file is opened in a newer version of Excel. Learn more: https://go.microsoft.com/fwlink/?linkid=870924
Comment:
    We must consider the allocation of industrial vs residential vs commercial. What is the allocation?  
Reply:
    According to NIST in 2011, Consumer AM products make up 33.6% of the market. We will assume it falls in the "residential electricity category" and the remainder, 10.8%, and 55% commercial use. 
Reply:
    This review was conducted in 2011 and the number has likely changed since then, promoting to uncertainty. </t>
      </text>
    </comment>
    <comment ref="H1" authorId="2" shapeId="0" xr:uid="{BF858C54-CDB8-4A2B-9F11-F94FBA379418}">
      <text>
        <t>[Threaded comment]
Your version of Excel allows you to read this threaded comment; however, any edits to it will get removed if the file is opened in a newer version of Excel. Learn more: https://go.microsoft.com/fwlink/?linkid=870924
Comment:
    The user should specify what fraction of operation requires electrical power vs heating/cooling. These fractions can allow utility costs to be determined.</t>
      </text>
    </comment>
    <comment ref="G3" authorId="3" shapeId="0" xr:uid="{5B5FE7A1-52C7-49BB-8A45-2A522F618399}">
      <text>
        <t>[Threaded comment]
Your version of Excel allows you to read this threaded comment; however, any edits to it will get removed if the file is opened in a newer version of Excel. Learn more: https://go.microsoft.com/fwlink/?linkid=870924
Comment:
    76% industrial, 24% desktop/residential
https://www.globenewswire.com/en/news-release/2023/03/28/2635882/0/en/3D-Printing-Market-Size-to-Worth-Around-USD-98-31-BN-by-2032.html</t>
      </text>
    </comment>
    <comment ref="G5" authorId="4" shapeId="0" xr:uid="{BECAFF9C-ACB0-4E43-B33E-06186B324BF2}">
      <text>
        <t>[Threaded comment]
Your version of Excel allows you to read this threaded comment; however, any edits to it will get removed if the file is opened in a newer version of Excel. Learn more: https://go.microsoft.com/fwlink/?linkid=870924
Comment:
    0.25% of this value came from renewable source (Polylactic acid - PLA)</t>
      </text>
    </comment>
    <comment ref="D7" authorId="5" shapeId="0" xr:uid="{BA1CD3FA-5FA5-4528-A1A0-C3817411ED36}">
      <text>
        <t>[Threaded comment]
Your version of Excel allows you to read this threaded comment; however, any edits to it will get removed if the file is opened in a newer version of Excel. Learn more: https://go.microsoft.com/fwlink/?linkid=870924
Comment:
    Beyond the scope of our study. There are far too many uncertainty regarding how the material is used after printing.</t>
      </text>
    </comment>
    <comment ref="H11" authorId="6" shapeId="0" xr:uid="{8E3479AA-05FB-4FC3-8A97-3F9DE303CEDB}">
      <text>
        <t>[Threaded comment]
Your version of Excel allows you to read this threaded comment; however, any edits to it will get removed if the file is opened in a newer version of Excel. Learn more: https://go.microsoft.com/fwlink/?linkid=870924
Comment:
    Purchased electricity</t>
      </text>
    </comment>
    <comment ref="C12" authorId="7" shapeId="0" xr:uid="{1A3B3819-FDBA-4497-98D5-DAF861BE3477}">
      <text>
        <t>[Threaded comment]
Your version of Excel allows you to read this threaded comment; however, any edits to it will get removed if the file is opened in a newer version of Excel. Learn more: https://go.microsoft.com/fwlink/?linkid=870924
Comment:
    Plastics make up 20.9% of the additive manufacturing End-of-Life materials after normalizing from the municipal solid waste "recycled" from 2018. Metal = 58.6% and Glass = 20.5%</t>
      </text>
    </comment>
    <comment ref="C60" authorId="8" shapeId="0" xr:uid="{75B0A408-D3A7-4ED0-9F6B-2555B56678EF}">
      <text>
        <t>[Threaded comment]
Your version of Excel allows you to read this threaded comment; however, any edits to it will get removed if the file is opened in a newer version of Excel. Learn more: https://go.microsoft.com/fwlink/?linkid=870924
Comment:
    High uncertainty because there is no specific correlation that relates landfill gas generation to the amount of AM EoL material feed into landfill</t>
      </text>
    </comment>
    <comment ref="P102" authorId="9" shapeId="0" xr:uid="{037F962A-FC28-4B44-90D7-255D0B1D9733}">
      <text>
        <t>[Threaded comment]
Your version of Excel allows you to read this threaded comment; however, any edits to it will get removed if the file is opened in a newer version of Excel. Learn more: https://go.microsoft.com/fwlink/?linkid=870924
Comment:
    It is possible to backcalculate for mass, based on Hopkins et al 2021 data. 2.2 kJ/kg was approximated to be the energy required for curing. This specific energy can help us calculate the mass throughput
Hopkins, N., Jiang, L., Brooks, H., 2021. 
Energy consumption of common desktop additive manufacturing technologies. Cleaner Engineering and Technology 2, 100068. https://doi.org/10.1016/j.clet.2021.100068
Reply:
    It is still important to note, however, that the mass throughput greatly varies between processes. We can expect uncertainties with these calculated values.</t>
      </text>
    </comment>
    <comment ref="D196" authorId="10" shapeId="0" xr:uid="{AAD43836-02ED-441A-B173-37DCAEB6ECC8}">
      <text>
        <t>[Threaded comment]
Your version of Excel allows you to read this threaded comment; however, any edits to it will get removed if the file is opened in a newer version of Excel. Learn more: https://go.microsoft.com/fwlink/?linkid=870924
Comment:
    Based on 960 tons/day flow rate.
Source: Haukohl, J., Rand, T., Marxen of Rambøll, U., 1999. Municipal Solid Waste Incineration, World Bank Technical Guidance Report. The World Bank, Washington D.C.</t>
      </text>
    </comment>
    <comment ref="E196" authorId="11" shapeId="0" xr:uid="{A1A84BE6-7059-4405-AEEF-3CD1A09C74EA}">
      <text>
        <t>[Threaded comment]
Your version of Excel allows you to read this threaded comment; however, any edits to it will get removed if the file is opened in a newer version of Excel. Learn more: https://go.microsoft.com/fwlink/?linkid=870924
Comment:
    87.7% bottom ash, 12.3% air pollution control residue (fly ash).</t>
      </text>
    </comment>
    <comment ref="K196" authorId="12" shapeId="0" xr:uid="{E7DC111B-8FFA-4A13-A909-B24E91B5CAD8}">
      <text>
        <t>[Threaded comment]
Your version of Excel allows you to read this threaded comment; however, any edits to it will get removed if the file is opened in a newer version of Excel. Learn more: https://go.microsoft.com/fwlink/?linkid=870924
Comment:
    $9.4 million cost (annual) reported for operation. It is possible to back calculate for the actual energy used based on the cost of electricity at the time ($35/MWh). The incineration plant ran for 7500 hrs in a year. 
Haukohl, J., Rand, T., Marxen of Rambøll, U., 1999. Municipal Solid Waste Incineration, World Bank Technical Guidance Report. The World Bank, Washington D.C.</t>
      </text>
    </comment>
    <comment ref="M196" authorId="13" shapeId="0" xr:uid="{54A2E950-C91C-41FD-8C3C-BA0B2C10C700}">
      <text>
        <t>[Threaded comment]
Your version of Excel allows you to read this threaded comment; however, any edits to it will get removed if the file is opened in a newer version of Excel. Learn more: https://go.microsoft.com/fwlink/?linkid=870924
Comment:
    Scaled from 1999 data of 22.4 million USD. This cost includes administration, salaries, electricity, utility, disposal of residue, disposal of bottom ash, and maintenance.
Note (1999 data)
Disposal of residue = $100/metric ton
Disp/re-use of bottom ash: $5/metric ton 
Reply:
    $9.4 million is from energy</t>
      </text>
    </comment>
    <comment ref="E200" authorId="14" shapeId="0" xr:uid="{EBE236F3-785D-4D5D-99AC-A06F697CB81B}">
      <text>
        <t>[Threaded comment]
Your version of Excel allows you to read this threaded comment; however, any edits to it will get removed if the file is opened in a newer version of Excel. Learn more: https://go.microsoft.com/fwlink/?linkid=870924
Comment:
    Steam
Reply:
    15000 lbs/hr</t>
      </text>
    </comment>
    <comment ref="N200" authorId="15" shapeId="0" xr:uid="{142DEB0F-C0E4-4240-B4EB-E5411BFEA27D}">
      <text>
        <t>[Threaded comment]
Your version of Excel allows you to read this threaded comment; however, any edits to it will get removed if the file is opened in a newer version of Excel. Learn more: https://go.microsoft.com/fwlink/?linkid=870924
Comment:
    Steam generated</t>
      </text>
    </comment>
    <comment ref="D204" authorId="16" shapeId="0" xr:uid="{FF4F81C6-EF88-44A0-AB17-BF6CB5BDC4ED}">
      <text>
        <t>[Threaded comment]
Your version of Excel allows you to read this threaded comment; however, any edits to it will get removed if the file is opened in a newer version of Excel. Learn more: https://go.microsoft.com/fwlink/?linkid=870924
Comment:
    EPA 2018 - 292 million tons of MSW were generated with 146.1 million tons (132,540,000,000 kg/yr) landfilled with a minimum of 2635 landfills. 
Assuming 365 days (8760 hrs) of operation/yr, then the hourly rate of feed to landfills include 
https://www.epa.gov/lmop/project-and-landfill-data-state#:~:text=The%20LMOP%20Landfill%20and%20Landfill,more%20than%202%2C600%20MSW%20landfills.
Reply:
    In the US, the incineration facility can range between &gt;0 - 3000 tons/day. The majority of the sites, however, fall between &gt;0 - 2000 tons/day. 
Table 2-1
https://kingcounty.gov/~/media/Lambert/documents/waste-to-energy-options-considerations.ashx?la=en</t>
      </text>
    </comment>
    <comment ref="H204" authorId="17" shapeId="0" xr:uid="{1D96993E-0CD0-4078-A1A1-2B624C5C61AF}">
      <text>
        <t xml:space="preserve">[Threaded comment]
Your version of Excel allows you to read this threaded comment; however, any edits to it will get removed if the file is opened in a newer version of Excel. Learn more: https://go.microsoft.com/fwlink/?linkid=870924
Comment:
    15 billion kWh of electricity with 100 billion cubic feet of landfill gas for use annually. Specific gravity of landfill gas is 1.02 - 1.06 (selected 1.04). Density of air is 1.293 kg/m^3. Thus, density of landfill gas is 1.345 kg/m^3 or 0.038 kg/ft^3. There is 3.6 MJ/kWh.
Reply:
    Pierson, R., 2013. Fact Sheet - Landfill Metahne.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tc={A297B1FC-C7FB-466A-963B-B9039AAB1F5D}</author>
  </authors>
  <commentList>
    <comment ref="D1" authorId="0" shapeId="0" xr:uid="{A297B1FC-C7FB-466A-963B-B9039AAB1F5D}">
      <text>
        <t>[Threaded comment]
Your version of Excel allows you to read this threaded comment; however, any edits to it will get removed if the file is opened in a newer version of Excel. Learn more: https://go.microsoft.com/fwlink/?linkid=870924
Comment:
    Energy analysis suggested that the specific energy for transportation for diesel and CNG trucks for refuse collection ranges between 828 - 1044 kJ/kg (0.828 - 1.044 MJ/kg)</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tc={32CB0F00-6506-4267-B355-C7729ACC3346}</author>
  </authors>
  <commentList>
    <comment ref="D1" authorId="0" shapeId="0" xr:uid="{32CB0F00-6506-4267-B355-C7729ACC3346}">
      <text>
        <t>[Threaded comment]
Your version of Excel allows you to read this threaded comment; however, any edits to it will get removed if the file is opened in a newer version of Excel. Learn more: https://go.microsoft.com/fwlink/?linkid=870924
Comment:
    Energy analysis suggested that the specific energy for transportation for diesel and CNG trucks for refuse collection ranges between 828 - 1044 kJ/kg (0.828 - 1.044 MJ/kg)</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gruizmer</author>
  </authors>
  <commentList>
    <comment ref="I23" authorId="0" shapeId="0" xr:uid="{94C97AC2-7F16-4AB4-8BA0-3BC7EBB51951}">
      <text>
        <r>
          <rPr>
            <sz val="12"/>
            <color indexed="81"/>
            <rFont val="Tahoma"/>
            <family val="2"/>
          </rPr>
          <t xml:space="preserve">This is assuming that all the solid waste is released.
</t>
        </r>
      </text>
    </comment>
  </commentList>
</comments>
</file>

<file path=xl/sharedStrings.xml><?xml version="1.0" encoding="utf-8"?>
<sst xmlns="http://schemas.openxmlformats.org/spreadsheetml/2006/main" count="16542" uniqueCount="1786">
  <si>
    <t>Types of Additive Manufacturing</t>
  </si>
  <si>
    <t>Acronym</t>
  </si>
  <si>
    <t>Category</t>
  </si>
  <si>
    <t>Raw Material Type (Solid/Liquid)</t>
  </si>
  <si>
    <t>Material List</t>
  </si>
  <si>
    <t>Efficiency (%)</t>
  </si>
  <si>
    <t>Post-Processing</t>
  </si>
  <si>
    <t>Ref 1</t>
  </si>
  <si>
    <t>Ref 2</t>
  </si>
  <si>
    <t>Ref 3</t>
  </si>
  <si>
    <t>Stereolithography</t>
  </si>
  <si>
    <t>SLA</t>
  </si>
  <si>
    <t>VAT Polymerization</t>
  </si>
  <si>
    <t>Liquid</t>
  </si>
  <si>
    <t>UV-curable photopolymer resin</t>
  </si>
  <si>
    <t>50 - 90</t>
  </si>
  <si>
    <t>Isopropyl alcohol (IPA), Ethanol</t>
  </si>
  <si>
    <t>Digital Light Process</t>
  </si>
  <si>
    <t>DLP</t>
  </si>
  <si>
    <t>https://www.sciencedirect.com/topics/engineering/digital-light-processing</t>
  </si>
  <si>
    <t>Carbon® Digital Light Synthesis</t>
  </si>
  <si>
    <t>DLS</t>
  </si>
  <si>
    <t xml:space="preserve">Liquid-Crystal Display (Masked SLA) </t>
  </si>
  <si>
    <t>LCD</t>
  </si>
  <si>
    <t>Lithography-Based Ceramic Manufacturing</t>
  </si>
  <si>
    <t>LCM</t>
  </si>
  <si>
    <t>Solid</t>
  </si>
  <si>
    <t>Ceramics (Zirconia, Alumina, Silicon Nitride, Fused Silica, Hydroxyapatite)</t>
  </si>
  <si>
    <t>https://www.3dprintingmedia.network/additive-manufacturing/am-technologies/what-is-lcm-technology/</t>
  </si>
  <si>
    <t>https://admateceurope.com/admaflex300</t>
  </si>
  <si>
    <t>Lithography-Based Metal Manufacturing</t>
  </si>
  <si>
    <t>LMM</t>
  </si>
  <si>
    <t>Metal (Stainless Steel 316L, Stainless Steel 17-4 PH, Inconel 625, Copper)</t>
  </si>
  <si>
    <t>Selective Laser Sintering</t>
  </si>
  <si>
    <t>SLS</t>
  </si>
  <si>
    <t>Powder Bed Fusion</t>
  </si>
  <si>
    <t>Plastic (Nylon)</t>
  </si>
  <si>
    <t>44 - 50</t>
  </si>
  <si>
    <t>Duster, sand blasting, compressed air</t>
  </si>
  <si>
    <t>https://www.twi-global.com/technical-knowledge/faqs/what-is-powder-bed-fusion</t>
  </si>
  <si>
    <t>Kellens, K., Renaldi, R., Dewulf, W., Kruth, J., &amp; Duflou, J. R. (2014). Environmental impact modeling of selective laser sintering processes. Rapid Prototyping Journal, 20(6), 459–470. doi:10.1108/rpj-02-2013-0018 </t>
  </si>
  <si>
    <t>https://doi.org/10.1016/j.procir.2016.11.153</t>
  </si>
  <si>
    <t>Direct Metal Laser Sintering</t>
  </si>
  <si>
    <t>DMLS</t>
  </si>
  <si>
    <t>Metal (Stainless Steel, Titanium, Aluminum, Cobalt Chrome, Steel)</t>
  </si>
  <si>
    <t>Laser Metal Fusion</t>
  </si>
  <si>
    <t>LMF</t>
  </si>
  <si>
    <t>Metal (Copper, Stainless Steel, Titanium, Aluminum, Cobalt Chrome, Steel)</t>
  </si>
  <si>
    <t>https://www.3deo.co/manufacturing/intro-to-metal-3d-printing-processes-powder-bed-fusion-dmls-sls-slm-lmf-dmp-ebm/</t>
  </si>
  <si>
    <t>https://www.trumpf.com/en_US/solutions/applications/additive-manufacturing/laser-metal-fusion/</t>
  </si>
  <si>
    <t>https://www.researchgate.net/publication/336119138_Powder_based_additive_manufacturing_methods_LMFLMD_-_requirements_comparison_and_applications</t>
  </si>
  <si>
    <t>Laser Powder Bed Fusion</t>
  </si>
  <si>
    <t>LPBF</t>
  </si>
  <si>
    <t>Metal (Aluminum, Cobalt chrome, Copper, Nickel, Stainless Steel, Titanium, Precious Metals)</t>
  </si>
  <si>
    <t>https://all3dp.com/1/selective-laser-melting-guide/</t>
  </si>
  <si>
    <t>Laser Beam Melting</t>
  </si>
  <si>
    <t>LBM</t>
  </si>
  <si>
    <t>Metal (Steels, Coppy, Magnesium, Nickel, Titanium, Aluminum, Gold, Silver, Platinum based alloys)</t>
  </si>
  <si>
    <t>https://ris.utwente.nl/ws/portalfiles/portal/13070547/Powder_Characterization_conference_paper.pdf</t>
  </si>
  <si>
    <t>Selective Laser Melting</t>
  </si>
  <si>
    <t>SLM</t>
  </si>
  <si>
    <t>2 - 20%</t>
  </si>
  <si>
    <t>https://doi.org/10.1108/EC-03-2019-0106</t>
  </si>
  <si>
    <t>https://doi.org/10.2351/1.5040603</t>
  </si>
  <si>
    <t>Selective Heat Sintering</t>
  </si>
  <si>
    <t>SHS</t>
  </si>
  <si>
    <t>Selective Absorption Fusion</t>
  </si>
  <si>
    <t>SAF</t>
  </si>
  <si>
    <t>Plastic (powder)</t>
  </si>
  <si>
    <t>https://trimech.com/blog/benefits-of-saf-powder-bed-fusion-technology</t>
  </si>
  <si>
    <t>Electron Beam Melting</t>
  </si>
  <si>
    <t>EBM</t>
  </si>
  <si>
    <t>Metal (Titanium, Cobalt Chrome, Stainless Steel, Aluminum, and Copper)</t>
  </si>
  <si>
    <t>13 - 46</t>
  </si>
  <si>
    <t>Other Powder Bed Fusion</t>
  </si>
  <si>
    <t>Metal, Plastic</t>
  </si>
  <si>
    <t>Ambient Reactive Extrusion</t>
  </si>
  <si>
    <t>ARE</t>
  </si>
  <si>
    <t>Material Extrusion</t>
  </si>
  <si>
    <t>Plastic (liquid reactive polymer)</t>
  </si>
  <si>
    <t>https://www.osti.gov/pages/servlets/purl/1456817</t>
  </si>
  <si>
    <t>Amburg Plastic Freeforming</t>
  </si>
  <si>
    <t>APF</t>
  </si>
  <si>
    <t>Plastic granules, PE, PLA, PP, ABS, PMMA, PC/ABS, TPA, TPC, TPU, TPV, PEEK, PPS, PEEK, PEAK, PAI, PEI, etc.</t>
  </si>
  <si>
    <t>https://www.arburg.com/en/products-and-services/additive-manufacturing/the-apf-process/</t>
  </si>
  <si>
    <t>Fused Deposition Modeling</t>
  </si>
  <si>
    <t>FDM</t>
  </si>
  <si>
    <t>Plastic (ABS, Nylon, PC, AB)</t>
  </si>
  <si>
    <t>Liquid Deposition Modeling</t>
  </si>
  <si>
    <t>LDM</t>
  </si>
  <si>
    <t>Ceramics (Alumina, Zirconium, porcelain, Clay), Wood</t>
  </si>
  <si>
    <t>https://www.3dwasp.com/en/delta-3d-printer-delta-wasp-2040-pro/</t>
  </si>
  <si>
    <t>https://www.3dprintingmedia.network/additive-manufacturing/am-technologies/what-is-liquid-deposition-modeling/#:~:text=What%20is%20Liquid%20Deposition%20Modeling,printers%20on%20the%20market%20today.</t>
  </si>
  <si>
    <t>https://www.researchgate.net/publication/321657349_Liquid_Deposition_Modeling_a_promising_approach_for_3D_printing_of_wood</t>
  </si>
  <si>
    <t>Fused Filament Fabrication</t>
  </si>
  <si>
    <t>FFF</t>
  </si>
  <si>
    <t>Plastic (ABS, Nylon, PC, AB), Ceramics (silicon carbide, alumina, zirconia), Metals (Copper, Titanium, SS)</t>
  </si>
  <si>
    <t>https://3dceram.com/fff-by-3dceram/</t>
  </si>
  <si>
    <t>Fused Granulate Fabrication</t>
  </si>
  <si>
    <t>FGF</t>
  </si>
  <si>
    <t>Plastic (Pellets)</t>
  </si>
  <si>
    <t>https://juggerbot3d.com/fused-granulate-fabrication/#:~:text=Fused%20granulate%20fabrication%20(FGF)%20is,or%20%E2%80%9CPellet%203D%20Printing%E2%80%9D.</t>
  </si>
  <si>
    <t>Pellet Additive Manufacturing</t>
  </si>
  <si>
    <t>PAM</t>
  </si>
  <si>
    <t>Plastic Pellets</t>
  </si>
  <si>
    <t>https://www.aniwaa.com/guide/3d-printers/guide-to-pellet-additive-manufacturing/#:~:text=Pellet%20additive%20manufacturing%20or%20pellet,as%20feedstock%20instead%20of%20filament.</t>
  </si>
  <si>
    <t>https://www.pollen.am/pam_series_mc/#specifications</t>
  </si>
  <si>
    <t>Direct Ink Writing</t>
  </si>
  <si>
    <t>DIW</t>
  </si>
  <si>
    <t>Ceramic (monolithic and composites), plastic, metal</t>
  </si>
  <si>
    <t>https://doi.org/10.1016/j.compositesb.2021.109249</t>
  </si>
  <si>
    <t>MELD®</t>
  </si>
  <si>
    <t>MELD</t>
  </si>
  <si>
    <t>Metal (Al-SiC, Al-Fe, Al-W, Al-Mo, Cu-Tungsten, Cu-Tantalum, metal solid/powder)</t>
  </si>
  <si>
    <t>https://www.meldmanufacturing.com/technology-overview/</t>
  </si>
  <si>
    <t>Other Material Extrusion</t>
  </si>
  <si>
    <t>72 - 96</t>
  </si>
  <si>
    <t>https://www.lpfrg.com/wp-content/uploads/2019/10/Bolt-Pro-2019-Brochure.pdf</t>
  </si>
  <si>
    <t>Metal Binder Jetting</t>
  </si>
  <si>
    <t>MBJ</t>
  </si>
  <si>
    <t>Binder Jetting</t>
  </si>
  <si>
    <t>Metals: Copper, Stainless Steel, Plastics: ABS, PA, PC, Ceramics: Glass</t>
  </si>
  <si>
    <t>https://www.poral.org/en/content/44-explanation-of-metal-binder-jetting-mbj</t>
  </si>
  <si>
    <t>https://digitalmetal.tech/digital-metal-first-in-the-world-to-offer-pure-copper-as-printing-material-to-its-market-leading-high-precision-metal-binder-jetting-system/</t>
  </si>
  <si>
    <t>Multi-Jet Fusion</t>
  </si>
  <si>
    <t>MJF</t>
  </si>
  <si>
    <t>Metals: Stainless Steel, Plastics: ABS, PA, PC, Ceramics: Glass</t>
  </si>
  <si>
    <t>50 - 86</t>
  </si>
  <si>
    <t>https://xometry.eu/en/multi-jet-fusion-mjf-3d-printing-technology-overview/</t>
  </si>
  <si>
    <t>NanoParticle Jetting</t>
  </si>
  <si>
    <t>NPJ</t>
  </si>
  <si>
    <t>Material Jetting</t>
  </si>
  <si>
    <t>Metal (316L Stainless steel), Ceramic (Zirconia, alumina)</t>
  </si>
  <si>
    <t>Waterbath, Sintering in oven</t>
  </si>
  <si>
    <t>https://www.additivemanufacturing.media/articles/am-101-nanoparticle-jetting-npj</t>
  </si>
  <si>
    <t>https://www.xjet3d.com/wp-content/uploads/2022/04/Xjet_Marketing_brochure-2022-3.pdf</t>
  </si>
  <si>
    <t>Thermal Inkjet Printing</t>
  </si>
  <si>
    <t>TIP</t>
  </si>
  <si>
    <t>Photopolymers, Inks (food, cultured meat, binding agents, fusing agents)</t>
  </si>
  <si>
    <t>50 - 60</t>
  </si>
  <si>
    <t>https://abcnews.go.com/Technology/PCWorld/story?id=3283941#:~:text=%E2%80%94%20%2D%2D%20As%20much,to%20research%20commissioned%20by%20Epson.</t>
  </si>
  <si>
    <t>Polyjet</t>
  </si>
  <si>
    <t>PolyJet</t>
  </si>
  <si>
    <t>Plastics: PP, HDPE, PS, PMMA, PC, ABS, HIPS, EDP</t>
  </si>
  <si>
    <t>Other Material Jetting</t>
  </si>
  <si>
    <t>Solid/Liquid</t>
  </si>
  <si>
    <t>Metal, Plastic, Composite</t>
  </si>
  <si>
    <t>Composite-Based Additive Manufacturing</t>
  </si>
  <si>
    <t>CBAM</t>
  </si>
  <si>
    <t>Sheet Lamination</t>
  </si>
  <si>
    <t>Plastic (Thermoplastics: Standard, Engineering, High-performance),Fibers (Carbon, Glass)</t>
  </si>
  <si>
    <t>https://www.aniwaa.com/product/3d-printers/impossible-objects-cbam-2/</t>
  </si>
  <si>
    <t>https://www.impossible-objects.com/cbam-printer</t>
  </si>
  <si>
    <t>Ultrasonic Additive Manufacturing</t>
  </si>
  <si>
    <t>UAM</t>
  </si>
  <si>
    <t>Paper, plastic, sheet metals</t>
  </si>
  <si>
    <t>Heat treatment (hot isostatic pressing)</t>
  </si>
  <si>
    <t>https://accelconf.web.cern.ch/medsi2020/papers/tupc06.pdf</t>
  </si>
  <si>
    <t>Selective Lamination Composite Object Manufacturing</t>
  </si>
  <si>
    <t>SLCOM</t>
  </si>
  <si>
    <t>Plastic (Nylon, PEEK, PEKK, PC), Fiber (Glass, Carbon, women aramid)</t>
  </si>
  <si>
    <t>https://www.makepartsfast.com/selective-deposition-lamination/#:~:text=Selective%20Lamination%20Composite%20Object%20Manufacturing,fabric%20sheets%20from%20a%20roll.</t>
  </si>
  <si>
    <t>Selective Deposition Lamination</t>
  </si>
  <si>
    <t>SDL</t>
  </si>
  <si>
    <t>Paper</t>
  </si>
  <si>
    <t>https://engineeringproductdesign.com/knowledge-base/sheet-lamination/</t>
  </si>
  <si>
    <t>http://www.ijasret.com/VolumeArticles/FullTextPDF/371_ijasret85854.pdf</t>
  </si>
  <si>
    <t>Laminated Object Manufacturing</t>
  </si>
  <si>
    <t>LOM</t>
  </si>
  <si>
    <t>Densification</t>
  </si>
  <si>
    <t>https://doi.org/10.1016/S1359-835X(98)00088-8</t>
  </si>
  <si>
    <t>https://doi.org/10.1016/S0924-0136(03)00690-3</t>
  </si>
  <si>
    <t>Electrophoretic Deposition</t>
  </si>
  <si>
    <t>EPD</t>
  </si>
  <si>
    <t>Metal, Carbon nanotubes (CNT), Ceramics</t>
  </si>
  <si>
    <t>https://www.sciencedirect.com/science/article/pii/B9780444531223500076</t>
  </si>
  <si>
    <t>https://www.sciencedirect.com/topics/chemistry/electrophoretic-deposition</t>
  </si>
  <si>
    <t>Other Sheet Lamination</t>
  </si>
  <si>
    <t>4 - 10%</t>
  </si>
  <si>
    <t xml:space="preserve">Other Direct Energy Deposition </t>
  </si>
  <si>
    <t>Direct Energy Deposition (DED)</t>
  </si>
  <si>
    <t>Metal</t>
  </si>
  <si>
    <t>Direct Metal Deposition</t>
  </si>
  <si>
    <t>DMD</t>
  </si>
  <si>
    <t>Metal (Cobalt Chrome, Titanium)</t>
  </si>
  <si>
    <t>Laser-Engineered Net Shaping</t>
  </si>
  <si>
    <t>LENS</t>
  </si>
  <si>
    <t>Laser Cladding</t>
  </si>
  <si>
    <t>Laser Metal Deposition</t>
  </si>
  <si>
    <t>LMD</t>
  </si>
  <si>
    <t>Cold Spray Additive Manufacturing</t>
  </si>
  <si>
    <t>CSAM</t>
  </si>
  <si>
    <t>2 - 95%</t>
  </si>
  <si>
    <t>https://scholar.google.com/citations?user=uXBIwDsAAAAJ&amp;hl=en</t>
  </si>
  <si>
    <t>https://digital.library.unt.edu/ark:/67531/metadc663892/m2/1/high_res_d/1951.pdf</t>
  </si>
  <si>
    <t xml:space="preserve">Direct Metal Tooling® </t>
  </si>
  <si>
    <t>DMT</t>
  </si>
  <si>
    <t>Metal (Fe, Ti, Ni, Co, Cu-based Alloys)</t>
  </si>
  <si>
    <t>http://www.insstek.com/content/dmt_tech</t>
  </si>
  <si>
    <t>Electron Beam Additive Manufacturing</t>
  </si>
  <si>
    <t xml:space="preserve">EBAM® </t>
  </si>
  <si>
    <t>Metal (Titanium, Inconel 600, 625, 718, Nickel and Copper Nickel Alloys, Stainless Steel)</t>
  </si>
  <si>
    <t>Heat treatment, machining, inspection</t>
  </si>
  <si>
    <t>https://www.sciaky.com/additive-manufacturing/what-is-ded-3d-printing</t>
  </si>
  <si>
    <t>Rapid Plasma Deposition</t>
  </si>
  <si>
    <t>RPD</t>
  </si>
  <si>
    <t>Metal (Titanium wire)</t>
  </si>
  <si>
    <t>https://www.businesswire.com/news/home/20190617005184/en/Norsk-Titanium-Announces-Larger-Capacity-Rapid-Plasma-Deposition%E2%84%A2-RPD%E2%84%A2-Machine</t>
  </si>
  <si>
    <t>https://www.norsktitanium.com/technology#process</t>
  </si>
  <si>
    <t>Wire Arc Additive Manufacturing</t>
  </si>
  <si>
    <t>WAAM</t>
  </si>
  <si>
    <t>&gt;99%</t>
  </si>
  <si>
    <t>Heat treatment, polishing, painting</t>
  </si>
  <si>
    <t>https://www.ramlab.com/resources/waam-101/</t>
  </si>
  <si>
    <t>Categories</t>
  </si>
  <si>
    <t>Details</t>
  </si>
  <si>
    <t>Material</t>
  </si>
  <si>
    <t>Applications</t>
  </si>
  <si>
    <t>Source</t>
  </si>
  <si>
    <t>Reference ID</t>
  </si>
  <si>
    <t>Vat Polymerization</t>
  </si>
  <si>
    <t>uses a vat of liquid photopolymer resin to construct materials layer by layer by UV light. Structural support is often added, which are discarded in post-processing</t>
  </si>
  <si>
    <t>Photocurable Resins</t>
  </si>
  <si>
    <t>Tissue engineering, dental products, electronic insulators</t>
  </si>
  <si>
    <t>https://www.lboro.ac.uk/research/amrg/about/the7categoriesofadditivemanufacturing/</t>
  </si>
  <si>
    <t xml:space="preserve">Materials (PP, HDPE, PS, PMMA, PC, ABS, HIPS, EDP) are jetted onto a build platform using continuous or Drop on Demand approach. Droplets of materials are deposited onto surface where required using thermal or piezoelectric method. UV light can be used to cure and solidfy the materials. Post-processing uses sodium hydroxide solution or water jet. </t>
  </si>
  <si>
    <t>Photocurable Polymers</t>
  </si>
  <si>
    <t>Rapid prototyping, casting patterns</t>
  </si>
  <si>
    <t>https://engineeringproductdesign.com/knowledge-base/additive-manufacturing-processes/</t>
  </si>
  <si>
    <t xml:space="preserve">Uses multiple materials to create a range of colors (powder based material and a binder). The powder can either be metal [Stainless Steel], polymers [ABS, PA, PC], or ceramic materials [Glass]. The binder (liquid) serves as adhesives between powder layers. The printing process alternates between powder and binder. No support is required because the product is self-supported by being in an unbound powder bed. </t>
  </si>
  <si>
    <t>Ceramics, Metals, Biomaterials</t>
  </si>
  <si>
    <t>Prototypes, casting patterns</t>
  </si>
  <si>
    <t>https://make.3dexperience.3ds.com/processes/photopolymerization</t>
  </si>
  <si>
    <t>Material (ABS, Nylon, PC, AB) is drawn through a nozzle (as a spool), heated, and deposited layer by layer. The materials are bonded by temperature control or chemical agents. Post-processing is generally done by improving the material transmissivity through increased temperature and use of resin.</t>
  </si>
  <si>
    <t>Thermoplastic Polymers</t>
  </si>
  <si>
    <t>Rapid prototyping, soft robotics, tissue engineering</t>
  </si>
  <si>
    <t xml:space="preserve">Uses either a laser or electron beam to melt and fuse material powder together. Powder materials are spread all over the previous layers through a roller or blade. Support structure is not needed. Post processing requires removal of excess powder and CNC work. </t>
  </si>
  <si>
    <t>Metals, Polymers</t>
  </si>
  <si>
    <t>Electronics, aerospace, biomedical engineering</t>
  </si>
  <si>
    <t>Materials (paper, plastic, sheet metals) is positioned in place on a cutting bed, then bonded in place through adhesive. Laser or knife is used to cut the requires shape. Post processing extracts parts from the surrounding sheet material. Sanding, machining, and painting can be used as needed.</t>
  </si>
  <si>
    <t>Polymers, Metals, Ceramics</t>
  </si>
  <si>
    <t>Electronics, paper production</t>
  </si>
  <si>
    <t>https://issuu.com/petersonpublications/docs/cq212_web/s/11194753</t>
  </si>
  <si>
    <t>Moritz, T., &amp; Maleksaeedi, S. (2018). Additive manufacturing of ceramic components. Additive Manufacturing, 105–161. doi:10.1016/b978-0-12-812155-9.00004-9</t>
  </si>
  <si>
    <t>Material (Metal) is deposited from a nozzle onto a surface, then laser/electron beam/ or plasma arc is used to melt the materials. This is also a layer by layer approach that can be used to create a new object or repair the existing one.</t>
  </si>
  <si>
    <t>Metal Powder, Polymer Composite</t>
  </si>
  <si>
    <t>Aerospace, manufacturing</t>
  </si>
  <si>
    <t>Settings</t>
  </si>
  <si>
    <t>Value</t>
  </si>
  <si>
    <t>Unit</t>
  </si>
  <si>
    <t>Ref</t>
  </si>
  <si>
    <t>Total 3D Printers</t>
  </si>
  <si>
    <t>units</t>
  </si>
  <si>
    <t>Wohlers Associate</t>
  </si>
  <si>
    <t>Typical Material Consumption</t>
  </si>
  <si>
    <t>kg/operator/yr</t>
  </si>
  <si>
    <t>Filamentive</t>
  </si>
  <si>
    <t>Waste Rate (1-40%)</t>
  </si>
  <si>
    <t>%</t>
  </si>
  <si>
    <t>Liquid Resin Process Use Rate (1 - 100%)</t>
  </si>
  <si>
    <t>Additive manufacturing landscape</t>
  </si>
  <si>
    <t>Solid Resin Process Use Rate (100 - B5)</t>
  </si>
  <si>
    <t>Failed Parts Waste Rate (Solid/Liquid)</t>
  </si>
  <si>
    <t>https://3dprinterly.com/3d-print-failures-why-do-they-fail-how-often/</t>
  </si>
  <si>
    <t>Failed Parts Liquid Resin Contamination</t>
  </si>
  <si>
    <t>Estimation based on average (https://3dprinterly.com/3d-print-failures-why-do-they-fail-how-often/#:~:text=When%20your%203D%20printer%20is,printing%20filaments%20you%20are%20using.)</t>
  </si>
  <si>
    <t>Inorganic Filler in Liq Resins (0 - 15%)</t>
  </si>
  <si>
    <t>Inorganic Filler Paper</t>
  </si>
  <si>
    <t>Wash Solvent Consumption Rate (kg/2 weeks/operator)</t>
  </si>
  <si>
    <t>kg/2 weeks/operator)</t>
  </si>
  <si>
    <t>https://support.formlabs.com/s/article/Washing-Prints?language=en_US</t>
  </si>
  <si>
    <t>https://www.linkedin.com/pulse/my-eco-friendly-system-recycling-99-ipa-resin-3d-printing-robles/</t>
  </si>
  <si>
    <t>Wash Solvent Consumed Ratio to Materials Used</t>
  </si>
  <si>
    <t>Calculated</t>
  </si>
  <si>
    <t>Resin and Filler waste in Liq/Solid Resin Process</t>
  </si>
  <si>
    <t>UV Treatment VOC post-cure Releases (1 - 360 μg/day)</t>
  </si>
  <si>
    <t>μg/day</t>
  </si>
  <si>
    <t>Krechmer et al. 2021</t>
  </si>
  <si>
    <t>Wastewater Treatments Plants Inorganic Removal Efficiency</t>
  </si>
  <si>
    <t>Cristaldi et al 2020</t>
  </si>
  <si>
    <t>Composition of Recycled Materials (Plastics)</t>
  </si>
  <si>
    <t>US EPA, “Advancing Sustainable Materials Management: 2018 Tables and Figures - Assessing Trends in Materials Generation and Management in the United States,” United States Environmental Protection Agency, 2020</t>
  </si>
  <si>
    <t>Composition of Recycled Materials (Metals)</t>
  </si>
  <si>
    <t>Composition of Recycled Materials (Glass)</t>
  </si>
  <si>
    <t>Litter Rate of Materials Discarded to MSW</t>
  </si>
  <si>
    <t>Jambeck et al. 2015</t>
  </si>
  <si>
    <t>MSW Recycled (Of total MSW)</t>
  </si>
  <si>
    <t>https://www.epa.gov/sites/default/files/2021-01/documents/2018_ff_fact_sheet_dec_2020_fnl_508.pdf</t>
  </si>
  <si>
    <t>MSW Incinerated (Of total MSW)</t>
  </si>
  <si>
    <t>MSW Landfilled (Of total MSW)</t>
  </si>
  <si>
    <t>MSW Recycled Normalized %</t>
  </si>
  <si>
    <t>MSW Incinerated Normalized %</t>
  </si>
  <si>
    <t>MSW Landfilled Normalized %</t>
  </si>
  <si>
    <t>MSW Recycling/Transportation Spill Rate</t>
  </si>
  <si>
    <t>Chea et al. 2022</t>
  </si>
  <si>
    <t>Ash Generated (15 - 25% wt of MSW)</t>
  </si>
  <si>
    <t>https://www.epa.gov/smm/energy-recovery-combustion-municipal-solid-waste-msw#:~:text=The%20amount%20of%20ash%20generated,fly%20ash%20and%20bottom%20ash.</t>
  </si>
  <si>
    <t>Fly Ash Generated (10 - 20% wt of ash)</t>
  </si>
  <si>
    <t>&gt; Pollution Control - Fly Ash Removed (95 - 99.5% efficiency)</t>
  </si>
  <si>
    <t>Meikap and Biswas 2004, Kurella and Meikap 2016.</t>
  </si>
  <si>
    <t>Bottom Ash Generated (80 - 90% wt of ash)</t>
  </si>
  <si>
    <t>MSW Landfilling Mass Release</t>
  </si>
  <si>
    <t>MSW Leachate Release (0.1 - 2%)</t>
  </si>
  <si>
    <t>Kim et al 2011</t>
  </si>
  <si>
    <t>MSW Landfill Gas Release (8 - 54%)</t>
  </si>
  <si>
    <t>Smith et al. 2015</t>
  </si>
  <si>
    <t>Chidambarampadmavathy et al. 2017</t>
  </si>
  <si>
    <t>Air Release</t>
  </si>
  <si>
    <t>From transportation</t>
  </si>
  <si>
    <t>Clifford et al 1986, Golub and Piekutin 2020</t>
  </si>
  <si>
    <t>Negligible</t>
  </si>
  <si>
    <t>Solid mass spill</t>
  </si>
  <si>
    <t>Air/Land (Spill) Release</t>
  </si>
  <si>
    <t>Land/Water Release</t>
  </si>
  <si>
    <t>Stream</t>
  </si>
  <si>
    <t>kg/yr</t>
  </si>
  <si>
    <t>UV Curable Resins (liquid)</t>
  </si>
  <si>
    <t>Inorganic Fillers</t>
  </si>
  <si>
    <t>Solvents (IPA, Dimethyl Ester)</t>
  </si>
  <si>
    <t>Solid Feedstocks (Metals, Plastics, Wood, Glasses, Papers, Ceramics)</t>
  </si>
  <si>
    <t>Printed Products</t>
  </si>
  <si>
    <t>Scraps/Failed Prototypes/Supports</t>
  </si>
  <si>
    <t>Fly Ash</t>
  </si>
  <si>
    <t>Bottom Ash</t>
  </si>
  <si>
    <t>Leachate</t>
  </si>
  <si>
    <t>Landfill Gas</t>
  </si>
  <si>
    <t>Total (kg/yr)</t>
  </si>
  <si>
    <t>Assumptions</t>
  </si>
  <si>
    <t>1. Mass flow looks strictly at end-of-life stage and we assume that there is no true accumulation; thus Eventually, all products made get discarded.</t>
  </si>
  <si>
    <t>2. Products produced from additive manufacturing are considered non-hazardous and do not contribute toward releases once fully cured</t>
  </si>
  <si>
    <t>3. The recycling of Solid Resins/Filaments are handled by specialist recycling center rather than through MSW and these materials are handled by a filament extruder. Byrley et al. 2020 estimated that 1.7E9 - 3.5E11 particles are released/min of extrusion use (ABS and PLA)</t>
  </si>
  <si>
    <t>Byrley, P., Geer Wallace, M.A., Boyes, W.K., Rogers, K., 2020. Particle and volatile organic compound emissions from a 3D printer filament extruder. Science of The Total Environment 736, 139604. https://doi.org/10.1016/j.scitotenv.2020.139604</t>
  </si>
  <si>
    <t>4. While it is possible to recycle filaments and failed parts through filament extruder, there is no established infrastructure to handle EoL recycling of these materials. Additionally, material management program vary from region to region. It is possible to throw scraps into filament machines to recycle. However, solo AM users do not justify purchasing a filament extruder solely for this purpose. Therefore, recycling is assumed negligible</t>
  </si>
  <si>
    <t>https://all3dp.com/2/3d-printer-recycled-plastic-tips-for-your-waste-plastic/</t>
  </si>
  <si>
    <t>https://3dprinterly.com/can-you-recycled-failed-3d-prints/</t>
  </si>
  <si>
    <t xml:space="preserve">5. Solvents used during post-processing of liquid-based AM processes are recyclable (up to 99%), but it is often not recycled in-house due to the processing costs. </t>
  </si>
  <si>
    <t>https://formlabs.com/blog/alternate-wash-solutions/</t>
  </si>
  <si>
    <t>https://learndentistry.com/isopropyl-vs-ethyl-alcohol/</t>
  </si>
  <si>
    <t>https://www.cbgbiotech.com/news/recycling-ipa-for-3d-printing</t>
  </si>
  <si>
    <t>6. Solvent washes post-processing for liquid-based AM processes are done twice to ensure sufficient uncured resin removal</t>
  </si>
  <si>
    <t>https://hackaday.com/2020/10/06/3d-printering-wash-parts-better-and-make-solvent-last-longer/</t>
  </si>
  <si>
    <t>https://support.formlabs.com/s/article/Form-Wash-Time-Settings?language=en_US</t>
  </si>
  <si>
    <t>7. Washing agent consumption may last up to 2 weeks per gallon (Frequency of replacement changes based on needs)</t>
  </si>
  <si>
    <t>8. Packaging waste are excluded from analysis</t>
  </si>
  <si>
    <t>9. AM products and scraps are reycled, incinerated, and landfilled; liquid resins and solvent are not recycled in the final processing</t>
  </si>
  <si>
    <t>Zhu, C., Li, T., Mohideen, M.M., Hu, P., Gupta, R., Ramakrishna, S., Liu, Y., 2021. Realization of Circular Economy of 3D Printed Plastics: A Review. Polymers 13, 744. https://doi.org/10.3390/polym13050744</t>
  </si>
  <si>
    <t>10. Incineration of plastic waste results in ash content equal to 1% of the original volume</t>
  </si>
  <si>
    <t>https://www.nap.edu/read/9190/chapter/6</t>
  </si>
  <si>
    <t>11. Incinerator ash generated ranges between 15 - 25% wt (20% avg) for MSW, with 15% of the total ash being fly ash and 85% being bottom ash</t>
  </si>
  <si>
    <t>12. All UV Curable Resins are fully cured post-UV Treatment</t>
  </si>
  <si>
    <t>13. 10% of materials sent to landfill ends up in the environment/ocean either through mismanagement or littering</t>
  </si>
  <si>
    <t>https://plastic-pollution.org/#:~:text=Of%20the%20260%20million%20tons,damaging%20life%20on%20the%20seabed.</t>
  </si>
  <si>
    <t>15. Hazardous waste treatment may have overlaps with MSW EoL management. Stream 12 release is related to loss from transportation rather than the actual hazardous waste treatment</t>
  </si>
  <si>
    <t>https://www.epa.gov/hw/learn-basics-hazardous-waste</t>
  </si>
  <si>
    <t>Components</t>
  </si>
  <si>
    <t>Economic Value [VIRGIN] ($/kg)</t>
  </si>
  <si>
    <t>Note</t>
  </si>
  <si>
    <t>Average of range</t>
  </si>
  <si>
    <t>Average Metal powder, carbon fiber, glass fiber (High uncertainty because material usage varies based on the intended application)</t>
  </si>
  <si>
    <t>Average Isopropanol bulk price</t>
  </si>
  <si>
    <t>Solid Feedstocks (Metals, Plastics, Wood, Glass, Papers, Ceramics)</t>
  </si>
  <si>
    <t>Average of Powders and Filaments Range (15 - 600), depending on materials</t>
  </si>
  <si>
    <t>Varies depending on the choice of materials. This amount needs to be determined based what fraction of product was created from Liquid-based vs solid-based. In this case, 35% is liquid-based, 65% is solid-based</t>
  </si>
  <si>
    <t>Average (fly ash used for construction)</t>
  </si>
  <si>
    <t>500 Btu/scf = 5.17 kWh/m3, with landfill gas specific gravity = 1.02 - 1.06 (1.04 selected for calculation). Density of air = 1.293 kg/m3. Source:  https://www.epa.gov/sites/default/files/2016-07/documents/pdh_chapter1.pdf and https://www.earthdata.nasa.gov/topics/atmosphere/atmospheric-pressure/air-mass-density#:~:text=Pure%2C%20dry%20air%20has%20a,of%20at%20least%2050%20km.</t>
  </si>
  <si>
    <t>Recycled Feedstocks</t>
  </si>
  <si>
    <t>Cost ranges 50 -100% more than virgin counterpart (Assume 75% for calculation); https://ecommons.udayton.edu/cgi/viewcontent.cgi?article=1340&amp;context=uhp_theses#:~:text=The%20price%20differences%20between%20virgin,%2428%20%5B9%2C11%5D.</t>
  </si>
  <si>
    <t>*Disclaimer: Prices may change over time and vary by location and supplier</t>
  </si>
  <si>
    <t>Materials</t>
  </si>
  <si>
    <t>Cost ($/kg)</t>
  </si>
  <si>
    <t>Manufacturer</t>
  </si>
  <si>
    <t>Reference</t>
  </si>
  <si>
    <t>Siraya Tech Tenacious Resin Flexible 405nm UV-Curing with High Impact Resistance for LCD DLP 3D Printing, 1000g</t>
  </si>
  <si>
    <t>Siraya Tech</t>
  </si>
  <si>
    <t>https://www.aliexpress.us/item/3256804875848246.html?spm=a2g0o.productlist.main.1.292675f38qqXqb&amp;algo_pvid=795b2f6d-1674-4dd2-af4b-3948fb683011&amp;aem_p4p_detail=20230413171836641489076096030001589699&amp;algo_exp_id=795b2f6d-1674-4dd2-af4b-3948fb683011-0&amp;pdp_npi=3%40dis%21USD%2165.0%2158.5%21%21%21%21%21%40211bea0816814315163158743d0760%2112000032848750899%21sea%21US%210&amp;curPageLogUid=KZVImiHiLcub&amp;ad_pvid=20230413171836641489076096030001589699_1&amp;ad_pvid=20230413171836641489076096030001589699_1</t>
  </si>
  <si>
    <t>Siraya Tech Cast 3D Printer Resin LCD UV-Curing Resin Burn High Resolution Resin for Making Jewelry and Metal Parts (1kg/500g)</t>
  </si>
  <si>
    <t>https://www.aliexpress.us/item/3256804709863315.html?spm=a2g0o.detail.1000060.1.30646c69jnDCXy&amp;gps-id=pcDetailBottomMoreThisSeller&amp;scm=1007.13339.291025.0&amp;scm_id=1007.13339.291025.0&amp;scm-url=1007.13339.291025.0&amp;pvid=5c8dc607-3856-47e4-a1dc-c35876fdf97a&amp;_t=gps-id%3ApcDetailBottomMoreThisSeller%2Cscm-url%3A1007.13339.291025.0%2Cpvid%3A5c8dc607-3856-47e4-a1dc-c35876fdf97a%2Ctpp_buckets%3A668%232846%238108%231977&amp;isseo=y&amp;pdp_npi=3%40dis%21USD%2189.99%2185.49%21%21%21%21%21%402101c80016814315226274660e4bdc%2112000032851621195%21rec%21US%21&amp;gatewayAdapt=glo2usa&amp;_randl_shipto=US</t>
  </si>
  <si>
    <t>Resione Elastic Model Dental resin Casting 3D Printer Resin For Elegoo Anycubic Resin 405nm UV Resin 3D Printer</t>
  </si>
  <si>
    <t>Resoine</t>
  </si>
  <si>
    <t>https://www.aliexpress.us/item/3256802974016997.html?spm=a2g0o.productlist.main.3.292675f38qqXqb&amp;algo_pvid=795b2f6d-1674-4dd2-af4b-3948fb683011&amp;aem_p4p_detail=20230413171836641489076096030001589699&amp;algo_exp_id=795b2f6d-1674-4dd2-af4b-3948fb683011-1&amp;pdp_npi=3%40dis%21USD%2185.0%2166.3%21%21%21%21%21%40211bea0816814315163158743d0760%2112000024478917706%21sea%21US%210&amp;curPageLogUid=O10jOrG8x45g&amp;ad_pvid=20230413171836641489076096030001589699_2&amp;ad_pvid=20230413171836641489076096030001589699_2</t>
  </si>
  <si>
    <t>Siraya Tech ABS-Like Fast Navy Grey 405nm UV-Curing Non-Brittle High Precision 3D Printing Liquid Resin (1kg)</t>
  </si>
  <si>
    <t>https://www.aliexpress.us/item/3256804875856139.html?spm=a2g0o.productlist.main.11.292675f38qqXqb&amp;algo_pvid=795b2f6d-1674-4dd2-af4b-3948fb683011&amp;aem_p4p_detail=20230413171836641489076096030001589699&amp;algo_exp_id=795b2f6d-1674-4dd2-af4b-3948fb683011-5&amp;pdp_npi=3%40dis%21USD%2141.99%2137.79%21%21%21%21%21%40211bea0816814315163158743d0760%2112000032850171212%21sea%21US%210&amp;curPageLogUid=1LjU8Bpjcoh6&amp;ad_pvid=20230413171836641489076096030001589699_6&amp;ad_pvid=20230413171836641489076096030001589699_6</t>
  </si>
  <si>
    <t>PhotoCentric 3D UV DLP Hard Resin - Black (1kg)</t>
  </si>
  <si>
    <t>PhotoCentric</t>
  </si>
  <si>
    <t>https://www.matterhackers.com/store/l/photocentric-3d-uv-dlp-hard-resin-black-1kg/sk/M3WWYZXH</t>
  </si>
  <si>
    <t>PhotoCentric 3D UV DLP High Tensile Resin - Grey (1kg)</t>
  </si>
  <si>
    <t>https://www.matterhackers.com/store/l/photocentric-3d-high-tensile-uv-resin-for-dlp-3d-printers-grey-1kg/sk/MHEKAN3R?rcode=PMAX_PMax1&amp;gclid=CjwKCAjw0N6hBhAUEiwAXab-TRC6QnE2JZZan0-yPDUk-nhhQeUMkIvyReCmNK1WAQMzfGiDTWv8xBoC3AoQAvD_BwE</t>
  </si>
  <si>
    <t>Liqcreate Resin for SLA &amp; DLP 3D Printers - Strong-X (1kg)</t>
  </si>
  <si>
    <t>LiqCreate</t>
  </si>
  <si>
    <t>https://www.matterhackers.com/store/l/liqcreate-resin-for-sla-dlp-3d-printers-strong-x/sk/M23UZPK1?rcode=PMAX_PMax1&amp;gclid=CjwKCAjw0N6hBhAUEiwAXab-TbvDcwyrUsxHouRjbninLWhczKEJH0jhtbwmMk_ZQSglrvpILvowNhoCQwwQAvD_BwE</t>
  </si>
  <si>
    <t>BASF Clear Ultracur3D Rigid RG35 Photopolymer Resin (10kg)</t>
  </si>
  <si>
    <t>BASF</t>
  </si>
  <si>
    <t>https://www.matterhackers.com/store/l/basf-ultracur3d-rg35-photopolymer-resin/sk/MCW14J9H?rcode=PMAX_PMax1&amp;gclid=CjwKCAjw0N6hBhAUEiwAXab-TYcYBNBDvdn-qh9z6k8apb6pTYH8pPQyo57lc1Yqh5wGzHZ6jwl3ShoCXEUQAvD_BwE</t>
  </si>
  <si>
    <t>Nexa3D Black xModel15 UV Resin (1kg)</t>
  </si>
  <si>
    <t>Nexa3D</t>
  </si>
  <si>
    <t>https://www.matterhackers.com/store/l/nexa3d-xmodel15-resin-1kg/sk/MCKV38YJ?rcode=PMAX_PMax1&amp;gclid=CjwKCAjw0N6hBhAUEiwAXab-TWPu_VicvXppNM-IVn3gzeNX5wCInqld-CFP4eHIjWUqivaO7oOMexoCBBMQAvD_BwE</t>
  </si>
  <si>
    <t>Black PRO Series High Precision Resin (1kg)</t>
  </si>
  <si>
    <t>MatterHackers</t>
  </si>
  <si>
    <t>https://www.matterhackers.com/store/l/pro-series-high-precision-resin/sk/M9SWQVKV</t>
  </si>
  <si>
    <t>ANYCUBIC 3D Printer Resin, 405nm SLA UV-Curing Resin, High Precision &amp; Rapid Photopolymer for LCD/DLP/SLA 3D Printing(Clear, 1kg)</t>
  </si>
  <si>
    <t>ANYCUBIC</t>
  </si>
  <si>
    <t>https://www.amazon.com/ANYCUBIC-UV-Curing-Precision-Photopolymer-Printing/dp/B07G363TQ8?th=1</t>
  </si>
  <si>
    <t>Formlabs Grey Resin 1L</t>
  </si>
  <si>
    <t>Formlabs</t>
  </si>
  <si>
    <t>https://formlabs.com/store/materials/grey-resin/?&amp;utm_source=google&amp;utm_medium=cpc&amp;utm_campaign=GP_US-NA-Purchase-Shopping-Store-Materials-Generic-EN-Paid-Adwords&amp;utm_term=&amp;utm_content=Materials&amp;utm_device=c&amp;_bt=512794852549&amp;_bk=&amp;_bm=&amp;_bn=g&amp;_bg=115686595410&amp;gclid=CjwKCAjw0N6hBhAUEiwAXab-TRJlmhmzEDF6kOXE1wuM3_m94EJimAoHLWSkJsJjjQMGJ0dQz_2zxhoChc0QAvD_BwE</t>
  </si>
  <si>
    <t>Castable Wax 40 Resin 1 L</t>
  </si>
  <si>
    <t>https://formlabs.com/store/materials/castable-wax-40-resin/</t>
  </si>
  <si>
    <t>Average 3d Printing resin (Standard)</t>
  </si>
  <si>
    <t>50 - 70</t>
  </si>
  <si>
    <t>All3dp.com</t>
  </si>
  <si>
    <t>https://all3dp.com/2/3d-printer-material-cost-the-real-cost-of-3d-printing-materials/#:~:text=Standard%20Resin,-Standard%20resin%20works&amp;text=Standard%203D%20printing%20resin%20for,costs%20approximately%20%2450%20per%20kg.</t>
  </si>
  <si>
    <t>Average Tough Resin</t>
  </si>
  <si>
    <t>60 - 175</t>
  </si>
  <si>
    <t>Average Flexible Resin</t>
  </si>
  <si>
    <t>65 - 200</t>
  </si>
  <si>
    <t>Average Specialty Resins</t>
  </si>
  <si>
    <t>75 - 250</t>
  </si>
  <si>
    <t>Average Polymers (Powders)</t>
  </si>
  <si>
    <t>150 - 225</t>
  </si>
  <si>
    <t>Average Polymer (PLA, ABS, PETG, HIPS, PVA Filaments)</t>
  </si>
  <si>
    <t>15 - 130</t>
  </si>
  <si>
    <t>Average Metals (Powder)</t>
  </si>
  <si>
    <t>150 - 600</t>
  </si>
  <si>
    <t>Average Composite</t>
  </si>
  <si>
    <t>20 - 600</t>
  </si>
  <si>
    <t>Average carbon fiber (filler)</t>
  </si>
  <si>
    <t>20 - 30</t>
  </si>
  <si>
    <t>Alibaba.com</t>
  </si>
  <si>
    <t>https://www.alibaba.com/showroom/carbon-fiber-price-per-kg.html#:~:text=The%20average%20carbon%20fiber%20per,form%20of%20the%20carbon%20fiber.</t>
  </si>
  <si>
    <t>Average glass fiber (filler)</t>
  </si>
  <si>
    <t>1.30 - 2</t>
  </si>
  <si>
    <t>Joshi et al 2004</t>
  </si>
  <si>
    <t>https://www.sciencedirect.com/science/article/abs/pii/S1359835X03002951#:~:text=Glass%20fibers%20used%20for%20composites,between%20%241.30%20and%20%242.00%2Fkg.</t>
  </si>
  <si>
    <t>Glass fiber reinforced materials</t>
  </si>
  <si>
    <t xml:space="preserve">60 - 700 </t>
  </si>
  <si>
    <t>3DXTECH</t>
  </si>
  <si>
    <t>https://www.3dxtech.com/products/glass-fiber-filaments/</t>
  </si>
  <si>
    <t>Average solvent price</t>
  </si>
  <si>
    <t>0.999 - 1.299</t>
  </si>
  <si>
    <t>https://www.alibaba.com/product-detail/Iso-Propyl-Alcohol-Isopropanol-Isopropanol-Alcohol_1600107634825.html?spm=a2700.7724857.0.0.2d91395awBu4ny</t>
  </si>
  <si>
    <t>Average fly ash</t>
  </si>
  <si>
    <t>0.072 - 0.083</t>
  </si>
  <si>
    <t>https://www.alibaba.com/showroom/fly-ash-price-per-ton.html</t>
  </si>
  <si>
    <t>Virgin PLA</t>
  </si>
  <si>
    <t>20 - 40</t>
  </si>
  <si>
    <t>https://all3dp.com/2/3d-printer-material-cost-the-real-cost-of-3d-printing-materials/</t>
  </si>
  <si>
    <t>Virgin PETG</t>
  </si>
  <si>
    <t>20 - 60</t>
  </si>
  <si>
    <t>SECONDARY MATERIALS PRICING (RAW DATA)</t>
  </si>
  <si>
    <t>Current Price (2023)</t>
  </si>
  <si>
    <t>Current Average</t>
  </si>
  <si>
    <t>Previous Price</t>
  </si>
  <si>
    <t xml:space="preserve">Source: </t>
  </si>
  <si>
    <t>https://recyclingmarkets.net/</t>
  </si>
  <si>
    <t>Plastics</t>
  </si>
  <si>
    <t>CHICAGO (MIDWEST / CENTRAL)</t>
  </si>
  <si>
    <t>PET - Premium (Refers to Deposit / Bottle Bill, Special Sort Baled Grades, ¢/lb, picked up)</t>
  </si>
  <si>
    <t>14 - 21</t>
  </si>
  <si>
    <t>15 - 19.50</t>
  </si>
  <si>
    <t>18 - 22</t>
  </si>
  <si>
    <t>NEW YORK (NE USA/MARITIMES)</t>
  </si>
  <si>
    <t>PET (Baled, ¢/lb, picked up)</t>
  </si>
  <si>
    <t>8.55 - 17</t>
  </si>
  <si>
    <t>9.78  - 16</t>
  </si>
  <si>
    <t>7 - 17.5</t>
  </si>
  <si>
    <t>ONTARIO / WESTERN NY</t>
  </si>
  <si>
    <t>PET - Thermoform (Curbside, Post Consumer, Baled, ¢/lb, picked up) Southwest &amp; Pacific</t>
  </si>
  <si>
    <t>-1 - 10</t>
  </si>
  <si>
    <t>0 - 7.75</t>
  </si>
  <si>
    <t>-1 - 17</t>
  </si>
  <si>
    <t>PACIFIC NORTHWEST</t>
  </si>
  <si>
    <t>PET - Curbside Grade B in CA (Baled, ¢/lb, picked up) VIEW for Historical prior to FEB 2020</t>
  </si>
  <si>
    <t>--</t>
  </si>
  <si>
    <t>QUEBEC</t>
  </si>
  <si>
    <t>Natural HDPE (Baled, ¢/lb, picked up)</t>
  </si>
  <si>
    <t>67-79.5</t>
  </si>
  <si>
    <t>67.50 - 79.25</t>
  </si>
  <si>
    <t>64 - 73</t>
  </si>
  <si>
    <t>ATLANTA (SOUTHEAST USA)</t>
  </si>
  <si>
    <t>Colored HDPE (Baled, ¢/lb, picked up)</t>
  </si>
  <si>
    <t>9 - 20.5</t>
  </si>
  <si>
    <t>9.50 - 19.75</t>
  </si>
  <si>
    <t>8 - 20</t>
  </si>
  <si>
    <t>LOS ANGELES (SOUTHWEST USA)</t>
  </si>
  <si>
    <t>Commingled (#1-7, Baled, ¢/lb, picked up)</t>
  </si>
  <si>
    <t>-3 - 3</t>
  </si>
  <si>
    <t>-1 - 2</t>
  </si>
  <si>
    <t>HOUSTON (SOUTHCENTRAL USA)</t>
  </si>
  <si>
    <t>Commingled (#3-7, Baled, ¢/lb, picked up)</t>
  </si>
  <si>
    <t xml:space="preserve"> -2 - 2</t>
  </si>
  <si>
    <t>-0.50 - 1.5</t>
  </si>
  <si>
    <t>-2 - 2</t>
  </si>
  <si>
    <t>HDPE Rigid (Baled, ¢/lb, picked up)</t>
  </si>
  <si>
    <t xml:space="preserve"> 1 - 3</t>
  </si>
  <si>
    <t>1.5 - 2</t>
  </si>
  <si>
    <t xml:space="preserve"> 1 - 7</t>
  </si>
  <si>
    <t>Mixed Bulky Rigid (Baled, ¢/lb, picked up)</t>
  </si>
  <si>
    <t xml:space="preserve"> -1 - 8</t>
  </si>
  <si>
    <t xml:space="preserve"> 0 - 7</t>
  </si>
  <si>
    <t xml:space="preserve"> 0 - 8</t>
  </si>
  <si>
    <t>FILM - Grade A (Sorted, 800+lb Bales, ¢/lb, picked up)</t>
  </si>
  <si>
    <t>13 - 24</t>
  </si>
  <si>
    <t>14 - 23</t>
  </si>
  <si>
    <t>12 - 23</t>
  </si>
  <si>
    <t>FILM - Grade B (Sorted, 800+lb Bales, ¢/lb, picked up)</t>
  </si>
  <si>
    <t xml:space="preserve"> 5 - 11</t>
  </si>
  <si>
    <t>6.00 - 10.50</t>
  </si>
  <si>
    <t xml:space="preserve"> 6 - 12</t>
  </si>
  <si>
    <t>FILM - Grade C (Sorted, 800+lb Bales, ¢/lb, picked up)</t>
  </si>
  <si>
    <t>-1 - 1</t>
  </si>
  <si>
    <t>LLDPE-Stretch Film - prior to FEB/2016 (Refer to FILM grades A, B, C)</t>
  </si>
  <si>
    <t>PP Post Consumer (Baled, ¢/lb, picked up)</t>
  </si>
  <si>
    <t>6 - 14</t>
  </si>
  <si>
    <t>7 - 13</t>
  </si>
  <si>
    <t>5 - 10</t>
  </si>
  <si>
    <t>Polystyrene EPS (Baled, ¢/lb, picked up)</t>
  </si>
  <si>
    <t xml:space="preserve"> 1 - 4</t>
  </si>
  <si>
    <t>1.50 - 3</t>
  </si>
  <si>
    <t>1 - 4</t>
  </si>
  <si>
    <t>Metals</t>
  </si>
  <si>
    <t>Aluminum Cans (Sorted, Baled, ¢lb, picked up)</t>
  </si>
  <si>
    <t>60-80</t>
  </si>
  <si>
    <t>62.50 - 75</t>
  </si>
  <si>
    <t>65 - 80</t>
  </si>
  <si>
    <t>Aluminum Cans (Loose, ¢/lb, dropped off at RC)</t>
  </si>
  <si>
    <t>50-70</t>
  </si>
  <si>
    <t>52.50 - 67.50</t>
  </si>
  <si>
    <t>55 - 75</t>
  </si>
  <si>
    <t>Steel Cans (Sorted, Baled, $/ton, picked up)</t>
  </si>
  <si>
    <t>160 - 275</t>
  </si>
  <si>
    <t>172.50 - 255</t>
  </si>
  <si>
    <t>170 - 300</t>
  </si>
  <si>
    <t>Steel Cans (Sorted, Densified, $/ton, dropped off at RC)</t>
  </si>
  <si>
    <t xml:space="preserve"> 5 - 35</t>
  </si>
  <si>
    <t xml:space="preserve"> 10 - 30</t>
  </si>
  <si>
    <t>Steel Cans (Sorted, Loose, $/ton, dropped off at RC)</t>
  </si>
  <si>
    <t>0 - 20</t>
  </si>
  <si>
    <t>2.5 - 17.50</t>
  </si>
  <si>
    <t xml:space="preserve">  0 - 20</t>
  </si>
  <si>
    <t>White Goods (Loose, $/ton, picked up)</t>
  </si>
  <si>
    <t>40 - 45</t>
  </si>
  <si>
    <t>Glass</t>
  </si>
  <si>
    <t>Flint ($/ton Delivered)</t>
  </si>
  <si>
    <t>30-60</t>
  </si>
  <si>
    <t>31 - 57.5</t>
  </si>
  <si>
    <t>25-60</t>
  </si>
  <si>
    <t>Amber ($/ton Delivered)</t>
  </si>
  <si>
    <t>15 - 40</t>
  </si>
  <si>
    <t>20 - 37.5</t>
  </si>
  <si>
    <t>Green ($/ton Delivered)</t>
  </si>
  <si>
    <t xml:space="preserve"> 5 - 15</t>
  </si>
  <si>
    <t>10 - 12.50</t>
  </si>
  <si>
    <t xml:space="preserve"> 0 - 15</t>
  </si>
  <si>
    <t>3 Mix ($/ton Del. as Recyclable/Disposable - Incl. Environmental Fees/Battery Surcharge, etc.)</t>
  </si>
  <si>
    <t xml:space="preserve"> -50 - -10</t>
  </si>
  <si>
    <t xml:space="preserve"> -35 - 0</t>
  </si>
  <si>
    <t xml:space="preserve"> -45 - -10</t>
  </si>
  <si>
    <t>SECONDARY MATERIALS PRICING ($/kg) CONVERTED</t>
  </si>
  <si>
    <t>PET - Premium (Refers to Deposit / Bottle Bill, Special Sort Baled Grades, $/kg, picked up)</t>
  </si>
  <si>
    <t>0.309 - 0.463</t>
  </si>
  <si>
    <t>0.331 - 0.430</t>
  </si>
  <si>
    <t>0.397 - 0.485</t>
  </si>
  <si>
    <t>PET (Baled, $/kg, picked up)</t>
  </si>
  <si>
    <t>0.188 - 0.375</t>
  </si>
  <si>
    <t>0.216 - 0.353</t>
  </si>
  <si>
    <t>0.154 - 0.386</t>
  </si>
  <si>
    <t>PET - Thermoform (Curbside, Post Consumer, Baled, $/kg, picked up) Southwest &amp; Pacific</t>
  </si>
  <si>
    <t xml:space="preserve"> -0.022 - 0.22</t>
  </si>
  <si>
    <t xml:space="preserve"> 0 - 0.171</t>
  </si>
  <si>
    <t xml:space="preserve"> -0.022 - 0.375</t>
  </si>
  <si>
    <t>PET - Curbside Grade B in CA (Baled, $/kg, picked up) VIEW for Historical prior to FEB 2020</t>
  </si>
  <si>
    <t>Natural HDPE (Baled, $/kg, picked up)</t>
  </si>
  <si>
    <t>1.477 - 1.753</t>
  </si>
  <si>
    <t>1.488 - 1.747</t>
  </si>
  <si>
    <t>1.411 - 1.609</t>
  </si>
  <si>
    <t>Colored HDPE (Baled,$/kg, picked up)</t>
  </si>
  <si>
    <t>0.198 - 0.452</t>
  </si>
  <si>
    <t>0.209 - 0.435</t>
  </si>
  <si>
    <t>0.176 - 0.441</t>
  </si>
  <si>
    <t>Commingled (#1-7, Baled, $/kg, picked up)</t>
  </si>
  <si>
    <t>-0.066 - 0.066</t>
  </si>
  <si>
    <t>-0.022 - 0.044</t>
  </si>
  <si>
    <t>Commingled (#3-7, Baled, $/kg, picked up)</t>
  </si>
  <si>
    <t>-0.044 - 0.044</t>
  </si>
  <si>
    <t>-0.011 - 0.033</t>
  </si>
  <si>
    <t>HDPE Rigid (Baled,$/kg, picked up)</t>
  </si>
  <si>
    <t>0.022 - 0.066</t>
  </si>
  <si>
    <t>0.033 - 0.044</t>
  </si>
  <si>
    <t>0.022 - 0.154</t>
  </si>
  <si>
    <t>Mixed Bulky Rigid (Baled, $/kg, picked up)</t>
  </si>
  <si>
    <t>-0.022 - 0.176</t>
  </si>
  <si>
    <t>0 - 0.154</t>
  </si>
  <si>
    <t>0 - 0.176</t>
  </si>
  <si>
    <t>FILM - Grade A (Sorted, 800+lb Bales, $/kg, picked up)</t>
  </si>
  <si>
    <t>0.287 - 0.529</t>
  </si>
  <si>
    <t>0.309 - 0.507</t>
  </si>
  <si>
    <t>0.265 - 0.507</t>
  </si>
  <si>
    <t>FILM - Grade B (Sorted, 800+lb Bales, $/kg, picked up)</t>
  </si>
  <si>
    <t>0.110 - 0.243</t>
  </si>
  <si>
    <t>0.132 - 0.231</t>
  </si>
  <si>
    <t>0.132 - 0.265</t>
  </si>
  <si>
    <t>FILM - Grade C (Sorted, 800+lb Bales, $/kg, picked up)</t>
  </si>
  <si>
    <t>-0.022 - 0.022</t>
  </si>
  <si>
    <t>PP Post Consumer (Baled, $/kg, picked up)</t>
  </si>
  <si>
    <t>0.132 - 0.309</t>
  </si>
  <si>
    <t>0.154 - 0.287</t>
  </si>
  <si>
    <t>0.110 - 0.220</t>
  </si>
  <si>
    <t>Polystyrene EPS (Baled, $/kg, picked up)</t>
  </si>
  <si>
    <t>0.022 - 0.088</t>
  </si>
  <si>
    <t>Aluminum Cans (Sorted, Baled, $/kg, picked up)</t>
  </si>
  <si>
    <t>1.323 - 1.764</t>
  </si>
  <si>
    <t>1.378 - 1.653</t>
  </si>
  <si>
    <t>1.433 - 1.764</t>
  </si>
  <si>
    <t>Aluminum Cans (Loose, $/kg, dropped off at RC)</t>
  </si>
  <si>
    <t>1.102 - 1.543</t>
  </si>
  <si>
    <t>1.157 - 1.488</t>
  </si>
  <si>
    <t>1.213 - 1.653</t>
  </si>
  <si>
    <t>Steel Cans (Sorted, Baled, $/kg, picked up)</t>
  </si>
  <si>
    <t>0.176 - 0.303</t>
  </si>
  <si>
    <t>0.190 - 0.248</t>
  </si>
  <si>
    <t>0.187 - 0.331</t>
  </si>
  <si>
    <t>Steel Cans (Sorted, Densified, $/kg, dropped off at RC)</t>
  </si>
  <si>
    <t>0.0055 - 0.0386</t>
  </si>
  <si>
    <t>0.011 - 0.0331</t>
  </si>
  <si>
    <t>Steel Cans (Sorted, Loose, $/kg, dropped off at RC)</t>
  </si>
  <si>
    <t>0 - 0.0220</t>
  </si>
  <si>
    <t>0.00276 - 0.0193</t>
  </si>
  <si>
    <t>White Goods (Loose, $/kg, picked up)</t>
  </si>
  <si>
    <t>0.044 - 0.0496</t>
  </si>
  <si>
    <t>Flint ($/kg Delivered)</t>
  </si>
  <si>
    <t>0.0331 - 0.0661</t>
  </si>
  <si>
    <t>0.0342 - 0.0634</t>
  </si>
  <si>
    <t>0.0276 - 0.0661</t>
  </si>
  <si>
    <t>Amber ($/kg Delivered)</t>
  </si>
  <si>
    <t>0.0165 - 0.0441</t>
  </si>
  <si>
    <t>0.0220 - 0.0413</t>
  </si>
  <si>
    <t>Green ($/kg Delivered)</t>
  </si>
  <si>
    <t>0.00551 - 0.0165</t>
  </si>
  <si>
    <t>0.011 - 0.0138</t>
  </si>
  <si>
    <t>0 - 0.0165</t>
  </si>
  <si>
    <t>3 Mix ($/kg Del. as Recyclable/Disposable - Incl. Environmental Fees/Battery Surcharge, etc.)</t>
  </si>
  <si>
    <t>-0.0551 - -0.0110</t>
  </si>
  <si>
    <t>-0.0386 - 0</t>
  </si>
  <si>
    <t>-0.0496 - -0.0110</t>
  </si>
  <si>
    <t>GREENSCOPE</t>
  </si>
  <si>
    <t>Efficiency Indicator</t>
  </si>
  <si>
    <t>Best Value</t>
  </si>
  <si>
    <t>Worst Value</t>
  </si>
  <si>
    <t>Score</t>
  </si>
  <si>
    <t>Notes</t>
  </si>
  <si>
    <t>Total Material Consumption</t>
  </si>
  <si>
    <t>kg/hr</t>
  </si>
  <si>
    <t>Material input = EoL materials + Solvent used, Best value = product flow, where worst = 40* product flow</t>
  </si>
  <si>
    <t>Mass Intensity</t>
  </si>
  <si>
    <t>kg input/kg product</t>
  </si>
  <si>
    <t>Mass Productivity</t>
  </si>
  <si>
    <t>kg product/kg material input</t>
  </si>
  <si>
    <t>Environmental Factor</t>
  </si>
  <si>
    <t>kg waste/kg product</t>
  </si>
  <si>
    <t>Mass Loss Index</t>
  </si>
  <si>
    <t>kg unconverted/kg valuable products</t>
  </si>
  <si>
    <t>Renewability-material index</t>
  </si>
  <si>
    <t>kg renewable/kg material input</t>
  </si>
  <si>
    <t>https://www.epa.gov/sites/default/files/2021-01/documents/2018_tables_and_figures_dec_2020_fnl_508.pdf</t>
  </si>
  <si>
    <t>Breeding-material factor</t>
  </si>
  <si>
    <t>kg input/kg nonrenewable material mass input</t>
  </si>
  <si>
    <t>Recycled material fraction</t>
  </si>
  <si>
    <t>kg recyclable material/kg material input</t>
  </si>
  <si>
    <t>Solvents are recyclable, but when contaminated with resin, it is unlikely to be recycled</t>
  </si>
  <si>
    <t>Mass fraction of products designed for recycling</t>
  </si>
  <si>
    <t>kg recyclable material/kg product</t>
  </si>
  <si>
    <t>Products = all recycled materials</t>
  </si>
  <si>
    <t>Environmental Indicator</t>
  </si>
  <si>
    <t>Number of hazardous materials input</t>
  </si>
  <si>
    <t>&gt;0</t>
  </si>
  <si>
    <t>&gt; 0</t>
  </si>
  <si>
    <t>Many different materials are available. No exact number was estimated</t>
  </si>
  <si>
    <t>Mass of hazardous materials input</t>
  </si>
  <si>
    <t>Hazardous = all materials that cannot enter MSW, and they are eventually fated to be incinerated/landfilled</t>
  </si>
  <si>
    <t>Specific hazardous raw materials input</t>
  </si>
  <si>
    <t>kg hazardous material/kg product</t>
  </si>
  <si>
    <t>Safety hazard, acute toxicity</t>
  </si>
  <si>
    <t>m3 polluted air/kg product</t>
  </si>
  <si>
    <t>Polluted air source = Stream 9, 29, 31, and 35 (Resin, metal, plastic, glass, fly ash, landfill gas)</t>
  </si>
  <si>
    <t>Vt, air polluted (SUM of PhysVal,i * mass flow,i)</t>
  </si>
  <si>
    <t>m3 polluted air</t>
  </si>
  <si>
    <t>PhysVal (resin)</t>
  </si>
  <si>
    <t>Resin = evaporated materials, If IndVal = 1 if GK = 1, 0.875 if GK = 2, 0.625 if GK = 3, 0.375 if GK = 4, 0.125 if GK = 5</t>
  </si>
  <si>
    <t>IndVal (resin)</t>
  </si>
  <si>
    <t>GK = 5 (2000 - 5000 mg/kg LD50 values), given that 11,200 mg/kg for methacrylated monomer, 1350 - 1830 mg/kg for pentaerythritol triacrylate, 1600 mg/kg for 4-methoxyphenol, 6200 mg/kg for tripropylene glycol, &gt;5000 mg/kg for glycol methacrylate, &gt;2000 mg/kg for phosphine oxide, &gt;5000 mg/kg for diisodecyl phenyl ester, &gt; 2000 mg/kg for unsaturated aliphatic urethane acrylate</t>
  </si>
  <si>
    <t>Sources:</t>
  </si>
  <si>
    <t>https://formlabs-media.formlabs.com/datasheets/Safety_Data_Sheet_EN-EU_-_White.pdf</t>
  </si>
  <si>
    <t>https://downloads.monoprice.com/files/certificates/34598_MSDS_171205.pdf</t>
  </si>
  <si>
    <t>https://c-3d.niceshops.com/upload/file/SDS_PT_V01_UK_03-08-2020.pdf</t>
  </si>
  <si>
    <t>Mass flow (resin) kg/yr</t>
  </si>
  <si>
    <t>PhysVal (Metal)</t>
  </si>
  <si>
    <t>Metal = airborne particles during recycling, incineration,</t>
  </si>
  <si>
    <t>IndVal (Metal)</t>
  </si>
  <si>
    <t>GK = 3, it varies between 1.2 - 450 mg/kg (LD50 for lead = 450 mg/kg, tetraethyl lead and tetramethyl lead = 1.2 -112 mg/kg, mercury 6 - 200 mg/kg, arsenic = 15 mg/kg)</t>
  </si>
  <si>
    <t>https://www.cdc.gov/niosh/idlh/7439921.html</t>
  </si>
  <si>
    <t>https://inchem.org/documents/pims/chemical/organlea.htm</t>
  </si>
  <si>
    <t>https://www.ehs.gatech.edu/sites/default/files/mercury_and_compounds.pdf</t>
  </si>
  <si>
    <t>https://whs.rocklinusd.org/documents/Science/Lethal_Dose_Table.pdf</t>
  </si>
  <si>
    <t>Mass flow (Metal) kg/yr</t>
  </si>
  <si>
    <t>PhysVal (Plastic)</t>
  </si>
  <si>
    <t>IndVal (Plastic)</t>
  </si>
  <si>
    <t>Mass flow (Plastic) kg/yr</t>
  </si>
  <si>
    <t>Negligible mass flow</t>
  </si>
  <si>
    <t>PhysVal (Glass)</t>
  </si>
  <si>
    <t>IndVal (Glass)</t>
  </si>
  <si>
    <t>No toxicity expected with glass. However, it can create breathing problems after long term exposure</t>
  </si>
  <si>
    <t>Mass flow (Glass) kg/yr</t>
  </si>
  <si>
    <t>From air release estimation in generic scenario (Also contains gaseous contaminants such as sulfur oxides, nitrogen oxides, organic matter, and carbon monoxide, not just glass)</t>
  </si>
  <si>
    <t>PhysVal (Fly Ash)</t>
  </si>
  <si>
    <t>IndVal (Fly Ash)</t>
  </si>
  <si>
    <t>GK = 5, fly ash ld50 = &gt;2000 mg/kg</t>
  </si>
  <si>
    <t>Source:</t>
  </si>
  <si>
    <t>https://www.cemexusa.com/documents/27329108/45560536/mrt-fly-ash-sds-2018.pdf</t>
  </si>
  <si>
    <t>Mass flow (Fly Ash) kg/yr</t>
  </si>
  <si>
    <t>From air release estimation in generic scenario, worst case scenario</t>
  </si>
  <si>
    <t>PhysVal (Landfill Gas)</t>
  </si>
  <si>
    <t>IndVal (Landfill Gas)</t>
  </si>
  <si>
    <t>IDLH average for landfill gas = 689 mg/m3 (50% methane at 1377 mg/m3, 50% CO2 at 0 mg/m3) Ammonia IDLH = 300 pm = 208.97 mg/m3, Carbon monoxide = 1200 ppm = 1374.72 mg/m3, methane = 2100 ppm = 1377.67 mg/m3, Assuming landfill gas has 50% methane, almost 50% CO2 (harmless but can cause suffocation), and very small amount of other gases), IDLH will be based on mostly methane (50%)</t>
  </si>
  <si>
    <t>https://www.atsdr.cdc.gov/hac/landfill/html/ch2.html#:~:text=By%20volume%2C%20landfill%20gas%20typically,%2C%20benzene%2C%20and%20vinyl%20chloride.</t>
  </si>
  <si>
    <t>The National Education Center for Agricultural Safety (NECAS)  888-844-6322</t>
  </si>
  <si>
    <t>Mass flow (Landfill Gas) kg/yr</t>
  </si>
  <si>
    <t>From air release estimation in generic scenario, worst case scenario, no landfill gas mitigation</t>
  </si>
  <si>
    <t>Environmental Quotient</t>
  </si>
  <si>
    <t>m3/kg</t>
  </si>
  <si>
    <t>Mass,out,waste,resin</t>
  </si>
  <si>
    <t xml:space="preserve">Q factor, resin </t>
  </si>
  <si>
    <t>Mass,out,waste,fly ash</t>
  </si>
  <si>
    <t>Q factor, incineration, fly ash</t>
  </si>
  <si>
    <t>Mass,out,waste,bottom ash</t>
  </si>
  <si>
    <t>Q factor, incineration, bottom ash</t>
  </si>
  <si>
    <t>Mass,out,waste,recycling release</t>
  </si>
  <si>
    <t>Q factor, recycling release</t>
  </si>
  <si>
    <t>Mass,out,waste,landfill gas</t>
  </si>
  <si>
    <t>Q factor, landfill gas</t>
  </si>
  <si>
    <t>Mass,out,waste,leachate release</t>
  </si>
  <si>
    <t>Q factor, leachate release</t>
  </si>
  <si>
    <t>Environmental hazard, air hazard</t>
  </si>
  <si>
    <t>Resin = evaporated materials, If IndVal = 0.8 if GK = 1, 0.7 if GK = 2, 0.5 if GK = 3, 0.3 if GK = 4, 0.1 if GK = 5</t>
  </si>
  <si>
    <t>MAK-CH (workplace threshold value) ranges from 1 - 1040 mg/m3 for various compounds) - Let MAK-CH = 1 for the most stringent regulation</t>
  </si>
  <si>
    <t>Environmental hazard, water hazard</t>
  </si>
  <si>
    <t>m3 polluted water/kg product</t>
  </si>
  <si>
    <t>Vt, water polluted (SUM of PhysVal,i * mass flow,i)</t>
  </si>
  <si>
    <t>m3 polluted water</t>
  </si>
  <si>
    <t>If LC50 acute is known, then Eqn 71 of GREENSCOPE Manual is recommended. GWK = 1 (low hazard to water), then IndVal = 0.125, GWK = 2 (hazard to water), then IndVal = 0.5, GWK = 3 (severe hazard to water, then IndVal = 0.875</t>
  </si>
  <si>
    <t xml:space="preserve">3D Printing resins are known to be very toxic to aquatic life, thus Rcode 50 = IndVal of 0.875 is used.  </t>
  </si>
  <si>
    <t>LC50 for metals: Cu = 0.006 mg/L, Cd = 0.10 mg/L, Zn = 0.46 mg/L, Pb = 0.63 mg/L, Ni = 0.83 mg/L, Fe = 1.71 mg/L, Al = 1.53 mg/L, Mn = 5.71 mg/L, Thus the range is between 0.006 - 5.71 mg/L</t>
  </si>
  <si>
    <t>10.1177/0748233712472519</t>
  </si>
  <si>
    <t>Mass of metal potentially released to water is scaled based on various points of releases. Example: For materials sent to recycling all solid materials are multiplied by 0.586 (See Table 1 of main text). For all other solid release, the multiplier is set to 0.126 (Based on MSW Data 2018, EPA)</t>
  </si>
  <si>
    <t>Plastics itself is safe. However, the chemicals found in plastics are not. Bisphenol A LC50 values for various fish species were used. LC50 = 1.1 - 10 mg/L</t>
  </si>
  <si>
    <t>https://doi.org/10.1002/etc.5620070104</t>
  </si>
  <si>
    <t>Same logic as metal calculation, but recycling mass loss has a plastic fraction of 0.209, while all other releases take on the composition of MSW 2018 at 0.045</t>
  </si>
  <si>
    <t>No toxicity expected with glass</t>
  </si>
  <si>
    <t>Same logic as metal calculation, but recycling mass loss has a glass fraction of 0.205, while all other releases take on the composition of MSW 2018 at 0.044</t>
  </si>
  <si>
    <t>PhysVal (Bottom + Fly Ash)</t>
  </si>
  <si>
    <t>IndVal (Bottom + Fly Ash)</t>
  </si>
  <si>
    <t>LC50 for bottom ash = 14.6 mg/L</t>
  </si>
  <si>
    <t>https://www.srmaterials.com/files/products/Bottom_Ash_Lightweight_Aggregate_SDS_US_060514_FINAL.pdf</t>
  </si>
  <si>
    <t>Mass flow (Bottom + Fly ash) kg/yr</t>
  </si>
  <si>
    <t>PhysVal (Leachate)</t>
  </si>
  <si>
    <t>IndVal (Leachate)</t>
  </si>
  <si>
    <t>Ammonia, natural came from natural anaerobic degradation of organic compounds: LC50 =  0.068 - 2 mg/L during a 96 hr exposure</t>
  </si>
  <si>
    <t>https://fau.digital.flvc.org/islandora/object/fau%3A32099/datastream/OBJ/download/Safe_Discharge_of_Landfill_Leachate_to_the_Environment.pdf</t>
  </si>
  <si>
    <t>Mass flow (Leachate) kg/yr</t>
  </si>
  <si>
    <t>Environmental hazard, solid waste (inorganic pollutants)</t>
  </si>
  <si>
    <t>kg inorganic solid/kg product</t>
  </si>
  <si>
    <t>Environmental hazard, bioaccumulation (in food chain/soil)</t>
  </si>
  <si>
    <t>kg/kg product</t>
  </si>
  <si>
    <t xml:space="preserve">The correlation for BCF to Kow has been shown in Mackay 1982 to be BCF = 0.048Kow. The approximation of Kow can be done by knowing the structure of the compound. It uses Hansen Solubility Parameter theory. In GREENSCOPE, we can use either Kow or BCF for environmental hazard, bioaccumulation. Alternatively, we can c hoose to use BCF values already available in literature. We chose the highest BCF values for conservative estimation in each category. </t>
  </si>
  <si>
    <t>Mackay, D. (1982). Correlation of bioconcentration factors. Environmental Science &amp; Technology, 16(5), 274–278. doi:10.1021/es00099a008</t>
  </si>
  <si>
    <t>https://www.pirika.com/ENG/TCPE/logP-Theory.html</t>
  </si>
  <si>
    <t>https://www.nist.gov/system/files/documents/srd/jpcrd367.pdf</t>
  </si>
  <si>
    <t>BCF of resin</t>
  </si>
  <si>
    <t>L/kg</t>
  </si>
  <si>
    <t xml:space="preserve">Diphenyl(2,4,6-trimethylbenzoyl) phosphineoxide = 53 - 72, Methacrylate monomers = 3.2, Bisphenol A dimethacrylate = 7.9 L/kg, methacrylic acid, monoester with propane-1,2-diol = 3.2 L/kg, </t>
  </si>
  <si>
    <t>https://formlabs-media.formlabs.com/datasheets/1801037-SDS-ENEU-0.pdf</t>
  </si>
  <si>
    <t>IndVal(resin)</t>
  </si>
  <si>
    <t>log(BCF) &gt; 4</t>
  </si>
  <si>
    <t>Mass flow (resin released) kg/yr</t>
  </si>
  <si>
    <t>BCF of plastic</t>
  </si>
  <si>
    <t>Flame retardants such as PBDE, MeO-BDE, OH-BDE, HBCD, TBBPA have BCF values ranging from 4390 - 7150000 L/kg</t>
  </si>
  <si>
    <t>https://doi.org/10.1016/j.jhazmat.2019.02.106</t>
  </si>
  <si>
    <t>PhysVal (plastic)</t>
  </si>
  <si>
    <t>IndVal(plastic)</t>
  </si>
  <si>
    <t>Mass flow (plastic released) kg/yr</t>
  </si>
  <si>
    <t>BCF of metal</t>
  </si>
  <si>
    <t>Arsenic = 4, cadmium = 366, chromium = 2, lead = 155, mercury = 5000</t>
  </si>
  <si>
    <t>https://oehha.ca.gov/media/downloads/crnr/apenh.pdf</t>
  </si>
  <si>
    <t>PhysVal (metal)</t>
  </si>
  <si>
    <t>IndVal(metal)</t>
  </si>
  <si>
    <t>Mass flow (metal released) kg/yr</t>
  </si>
  <si>
    <t>BCF of glass</t>
  </si>
  <si>
    <t>Silicon dioxide amorphous</t>
  </si>
  <si>
    <t>https://dental-media.formlabs.com/datasheets/2201648-SDS-ENCA-0.pdf</t>
  </si>
  <si>
    <t>PhysVal (glass)</t>
  </si>
  <si>
    <t>IndVal(glass)</t>
  </si>
  <si>
    <t>log(BCF) &lt; 2</t>
  </si>
  <si>
    <t>Mass flow (glass released) kg/yr</t>
  </si>
  <si>
    <t>BCF of (bottom and fly) ash</t>
  </si>
  <si>
    <t>Dioxin and furans = 19000, Mercury = 5000, polychlorinated biphenyls = 99,667</t>
  </si>
  <si>
    <t>PhysVal (ash)</t>
  </si>
  <si>
    <t>IndVal(ash)</t>
  </si>
  <si>
    <t>Mass flow (ash released) kg/yr</t>
  </si>
  <si>
    <t>BCF of leachate</t>
  </si>
  <si>
    <t>DEHP (diethylhexylphthalate) = 483.1</t>
  </si>
  <si>
    <t>PhysVal (leachate)</t>
  </si>
  <si>
    <t>IndVal(leachate)</t>
  </si>
  <si>
    <t>Mass flow (leachate released) kg/yr</t>
  </si>
  <si>
    <t>Total solid waste mass</t>
  </si>
  <si>
    <t>kg solid waste/hr</t>
  </si>
  <si>
    <t>The mass of solid waste generated here has yet to be sorted. They are simply the amount produced.</t>
  </si>
  <si>
    <t>Specific solid waste mass</t>
  </si>
  <si>
    <t>kg solid waste/kg product</t>
  </si>
  <si>
    <t>Solid waste mass for recovery</t>
  </si>
  <si>
    <t>kg solid recoverable waste/hr</t>
  </si>
  <si>
    <t>Best case = all produced solid waste</t>
  </si>
  <si>
    <t>Solid waste mass for disposal</t>
  </si>
  <si>
    <t>kg nonrecoverable solid/hr</t>
  </si>
  <si>
    <t>Recycling mass fraction</t>
  </si>
  <si>
    <t>kg solid recovered/kg solid waste</t>
  </si>
  <si>
    <t>Disposal mass fraction</t>
  </si>
  <si>
    <t>kg nonrecoverable solid/kg solid waste</t>
  </si>
  <si>
    <t>Hazardous solid waste mass fraction</t>
  </si>
  <si>
    <t>kg nonrecoverable hazardous solid/kg nonrecoverable solid waste</t>
  </si>
  <si>
    <t>All hazardous solids are assumed to be treated prior to disposal</t>
  </si>
  <si>
    <t>Total hazardous solid waste disposal</t>
  </si>
  <si>
    <t>kg nonrecoverable hazardous waste/hr</t>
  </si>
  <si>
    <t>Specific hazardous solid waste</t>
  </si>
  <si>
    <t>kg nonrecoverable hazardous waste/kg product</t>
  </si>
  <si>
    <t>Total non-hazardous solid waste disposal</t>
  </si>
  <si>
    <t>kg nonhazardous waste/hr</t>
  </si>
  <si>
    <t>Energy Indicator</t>
  </si>
  <si>
    <t>Total energy consumption</t>
  </si>
  <si>
    <t>MJ/h</t>
  </si>
  <si>
    <t xml:space="preserve">Product energy value = best, while 10x product energy value is the worst case scenario value. In this case, we define product creation steps from disposal to recycling. The total energy consumption is from the entire process. </t>
  </si>
  <si>
    <t>Specific energy intensity</t>
  </si>
  <si>
    <t>MJ/kg</t>
  </si>
  <si>
    <t>Specific Product energy value = best, while 10x specific product energy value is the worst case scenario value</t>
  </si>
  <si>
    <t>Energy intensity</t>
  </si>
  <si>
    <t>MJ/$</t>
  </si>
  <si>
    <t>Waste treatment energy</t>
  </si>
  <si>
    <t>Incineration recovers energy, thus the processed materials return energy</t>
  </si>
  <si>
    <t>Solvent recovery energy</t>
  </si>
  <si>
    <t>Solvent recovery post-disposal is not considered.</t>
  </si>
  <si>
    <t>Resource-energy efficiency</t>
  </si>
  <si>
    <t>MJ product/MJ feedstock</t>
  </si>
  <si>
    <t>Embodied energy of product to the embodied energy of feedstock</t>
  </si>
  <si>
    <t>Renewability-energy index</t>
  </si>
  <si>
    <t>MJ renewable/MJ total supplied</t>
  </si>
  <si>
    <t>Breeding-energy factor</t>
  </si>
  <si>
    <t>MJ total output/MJ nonrenewable input</t>
  </si>
  <si>
    <t>Energy for recycling</t>
  </si>
  <si>
    <t>Includes sorting, transportation, and recycling</t>
  </si>
  <si>
    <t>Economic Indicator</t>
  </si>
  <si>
    <t>Total process cost (end-of-life)</t>
  </si>
  <si>
    <t>$/yr</t>
  </si>
  <si>
    <t xml:space="preserve">COM + GE (General Expenses). General expenses are usually 15 - 25% of the total product cost. Raw material cost is factored in with the collection and disposal cost. </t>
  </si>
  <si>
    <t>Annual operation of EoL Processes (COM)</t>
  </si>
  <si>
    <t>Specific raw material cost</t>
  </si>
  <si>
    <t>$/kg</t>
  </si>
  <si>
    <t xml:space="preserve">Kaza et al. 2018 - Fees charged to institution varies based on tonnage produced. Households in high income are charged $168/yr while commercial are $314/yr on average. Billing types may be flat fee per household, fee per volume of waste, property value. Subsidies are often provided by the government to make up the differences and can range between $4 to $10 per capita (person) per year. Tipping fees, user fees, and sale of recycled materials usually provide stable revenue stream. </t>
  </si>
  <si>
    <t>Total material cost</t>
  </si>
  <si>
    <t>Total energy cost</t>
  </si>
  <si>
    <t>The best case scenario value is when CE, source is equal to the cost from the cheapest source (assumed to be coal) @ $1.72×10-6/kJ and a worst case scenario value is when CE, source is equal to the cost from the most expensive source (assumed to be electricity) @ $1.68×10-5/kJ.</t>
  </si>
  <si>
    <t>Average cost of energy source</t>
  </si>
  <si>
    <t>$/kJ</t>
  </si>
  <si>
    <t>Specific energy cost</t>
  </si>
  <si>
    <t>$ energy cost/$ total</t>
  </si>
  <si>
    <t>Total solid waste cost</t>
  </si>
  <si>
    <t>Collection and disposal cost converted to $/kg, then multiplied by the amount of SOLID waste collected - See economic analysis tab</t>
  </si>
  <si>
    <t>Solid waste cost fraction</t>
  </si>
  <si>
    <t>$ solid waste cost/$ total</t>
  </si>
  <si>
    <t>Total liquid waste cost</t>
  </si>
  <si>
    <t>Liquid waste cost fraction</t>
  </si>
  <si>
    <t>$ liquid waste cost/$ total</t>
  </si>
  <si>
    <t>Revenues from eco-products</t>
  </si>
  <si>
    <t>All materials recovered are arguably eco-products because they can help conserve natural resources. Waste mass is reduced.</t>
  </si>
  <si>
    <t>Revenues fraction of eco-products</t>
  </si>
  <si>
    <t>$/$</t>
  </si>
  <si>
    <t>Data from: Kaza, S., Yao, L.C., Bhada-Tata, P., Van Woerden, F., 2018. What a Waste 2.0: A Global Snapshot of Solid Waste Management to 2050. Washington, DC: World Bank. https://doi.org/10.1596/978-1-4648-1329-0</t>
  </si>
  <si>
    <t>Further information regarding tipping fee can be found from: https://erefdn.org/wp-content/uploads/2017/12/MSWLF-Tipping-Fees-2018-Rev.ed_.2019.pdf</t>
  </si>
  <si>
    <t>End-of-Life Steps</t>
  </si>
  <si>
    <t>Low</t>
  </si>
  <si>
    <t>Median</t>
  </si>
  <si>
    <t>High</t>
  </si>
  <si>
    <t>Mass</t>
  </si>
  <si>
    <t>$/ton</t>
  </si>
  <si>
    <t>Collection and Disposal</t>
  </si>
  <si>
    <t>Tipping Fees + Subsidies from government.</t>
  </si>
  <si>
    <t>Recycling</t>
  </si>
  <si>
    <t>Incineration (Capital) - annual</t>
  </si>
  <si>
    <t>Incineration (Operating)</t>
  </si>
  <si>
    <t>Cost of Collection and Disposal</t>
  </si>
  <si>
    <t>Incineration (Capital)</t>
  </si>
  <si>
    <t>Energy Cost [End-of-Life]</t>
  </si>
  <si>
    <t>Energy cost collection, disposal recycling</t>
  </si>
  <si>
    <t>Energy economic value gained from incineration</t>
  </si>
  <si>
    <t>Total Process Cost (TPC)</t>
  </si>
  <si>
    <t>General Expenses (GE) (15 - 25% of TPC [20% median])</t>
  </si>
  <si>
    <t>Cost of manufacture (COM) without depreciation</t>
  </si>
  <si>
    <t>Fractional savings from Incinerated EoL materials</t>
  </si>
  <si>
    <t>Additional Calculations (Part of Collection and Disposal)</t>
  </si>
  <si>
    <t>Solid Waste Mass Collected (kg/yr)</t>
  </si>
  <si>
    <t>Solid Waste Collection and Disposal Specific Cost ($/kg)</t>
  </si>
  <si>
    <t>Cost of Solid Waste Collection and Disposal ($/yr)</t>
  </si>
  <si>
    <t>Liquid Waste Mass Collected (kg/yr)</t>
  </si>
  <si>
    <t>Liquid Waste Collection and Disposal Specific Cost ($/kg)</t>
  </si>
  <si>
    <t>Cost of Liquid Waste Collection and Disposal ($/yr)</t>
  </si>
  <si>
    <t>Revenue from Recycling</t>
  </si>
  <si>
    <t>Low (Worst Case)</t>
  </si>
  <si>
    <t>High (Best Case)</t>
  </si>
  <si>
    <t>Product Value</t>
  </si>
  <si>
    <t>Recycled Plastics</t>
  </si>
  <si>
    <t>Recycled Glass</t>
  </si>
  <si>
    <t>Recycled Metals</t>
  </si>
  <si>
    <t>Average revenue per unit mass recycled</t>
  </si>
  <si>
    <t>Cost factor can be obtained from a variation in economic value and the median value can be selected</t>
  </si>
  <si>
    <t>Revenue from Eco-product</t>
  </si>
  <si>
    <t>Cost Saved from Incineration Energy Generation</t>
  </si>
  <si>
    <t>Life Cycle Stage</t>
  </si>
  <si>
    <t>Stream ID</t>
  </si>
  <si>
    <t>Mass flow rate</t>
  </si>
  <si>
    <t>Specific Energy Consumption</t>
  </si>
  <si>
    <t>Annual Operation Time</t>
  </si>
  <si>
    <t>Secondary Energy Consumed</t>
  </si>
  <si>
    <t>Primary Energy Consumed</t>
  </si>
  <si>
    <t>Utility Electrical Power Fraction</t>
  </si>
  <si>
    <t>Utility Heating Fraction</t>
  </si>
  <si>
    <t>Utility Cooling Fraction</t>
  </si>
  <si>
    <t>Total Energy Consumed (kJ/yr)</t>
  </si>
  <si>
    <t>Primary Energy Consumed from Coal/Petroleum/Natural Gas</t>
  </si>
  <si>
    <t>Primary Energy Consumed from Electricity</t>
  </si>
  <si>
    <t>hrs/yr</t>
  </si>
  <si>
    <t>MJ/hr</t>
  </si>
  <si>
    <t>User Specified</t>
  </si>
  <si>
    <t>kJ/yr</t>
  </si>
  <si>
    <t>Manufacturing</t>
  </si>
  <si>
    <t>Liquid wash</t>
  </si>
  <si>
    <t>Solid, average values</t>
  </si>
  <si>
    <t>Liu, Z.Y., Li, C., Fang, X.Y., Guo, Y.B., 2018. Energy Consumption in Additive Manufacturing of Metal Parts. Procedia Manufacturing 26, 834–845. https://doi.org/10.1016/j.promfg.2018.07.104</t>
  </si>
  <si>
    <t>Use</t>
  </si>
  <si>
    <t>N/A</t>
  </si>
  <si>
    <t>Sorting</t>
  </si>
  <si>
    <t>Solid, industrial end-use</t>
  </si>
  <si>
    <t>Recycling - Plastics</t>
  </si>
  <si>
    <t>28 - Plastic</t>
  </si>
  <si>
    <t>Solid, 316 days of operation with 8 hrs work day, industrial end-use</t>
  </si>
  <si>
    <t>Recycling - Metal</t>
  </si>
  <si>
    <t>28 - Metal</t>
  </si>
  <si>
    <t>Recycling - Glass</t>
  </si>
  <si>
    <t>28 - Glass</t>
  </si>
  <si>
    <t>https://www.nrel.gov/docs/legosti/old/5703.pdf</t>
  </si>
  <si>
    <t>Incineration - Combustible</t>
  </si>
  <si>
    <t>30 - Combustible</t>
  </si>
  <si>
    <t>3.55 - 5.95</t>
  </si>
  <si>
    <t>Plastic and solvent are the only AM EoL material considered combustible, industrial end-use</t>
  </si>
  <si>
    <t>Landfilling</t>
  </si>
  <si>
    <t>Mixture, industrial end-use</t>
  </si>
  <si>
    <t>Transportation</t>
  </si>
  <si>
    <t>0.828 - 1.044</t>
  </si>
  <si>
    <t>0.828 - 1.045</t>
  </si>
  <si>
    <t>0.828 - 1.046</t>
  </si>
  <si>
    <t>0.828 - 1.047</t>
  </si>
  <si>
    <t>0.828 - 1.048</t>
  </si>
  <si>
    <t>0.828 - 1.049</t>
  </si>
  <si>
    <t>0.828 - 1.050</t>
  </si>
  <si>
    <t>0.828 - 1.051</t>
  </si>
  <si>
    <t>0.828 - 1.052</t>
  </si>
  <si>
    <t>0.828 - 1.053</t>
  </si>
  <si>
    <t>0.828 - 1.054</t>
  </si>
  <si>
    <t>0.828 - 1.055</t>
  </si>
  <si>
    <t>0.828 - 1.056</t>
  </si>
  <si>
    <t>0.828 - 1.057</t>
  </si>
  <si>
    <t>0.828 - 1.058</t>
  </si>
  <si>
    <t>0.828 - 1.059</t>
  </si>
  <si>
    <t>0.828 - 1.060</t>
  </si>
  <si>
    <t>0.828 - 1.061</t>
  </si>
  <si>
    <t>0.828 - 1.062</t>
  </si>
  <si>
    <t>0.828 - 1.063</t>
  </si>
  <si>
    <t>0.828 - 1.064</t>
  </si>
  <si>
    <t>0.828 - 1.065</t>
  </si>
  <si>
    <t>0.828 - 1.066</t>
  </si>
  <si>
    <t>0.828 - 1.067</t>
  </si>
  <si>
    <t>0.828 - 1.068</t>
  </si>
  <si>
    <t>0.828 - 1.069</t>
  </si>
  <si>
    <t>0.828 - 1.070</t>
  </si>
  <si>
    <t>0.828 - 1.071</t>
  </si>
  <si>
    <t>0.828 - 1.072</t>
  </si>
  <si>
    <t>0.828 - 1.073</t>
  </si>
  <si>
    <t>Source: https://nvlpubs.nist.gov/nistpubs/specialpublications/nist.sp.1176.pdf</t>
  </si>
  <si>
    <t>0.828 - 1.074</t>
  </si>
  <si>
    <t>0.828 - 1.075</t>
  </si>
  <si>
    <t>0.828 - 1.076</t>
  </si>
  <si>
    <t>0.828 - 1.077</t>
  </si>
  <si>
    <t>0.828 - 1.078</t>
  </si>
  <si>
    <t>AVERAGE</t>
  </si>
  <si>
    <t>Energy Footprint Summary</t>
  </si>
  <si>
    <t>Primary Energy Consumption (MJ/hr)</t>
  </si>
  <si>
    <t>Secondary Energy Generation (MJ/hr)</t>
  </si>
  <si>
    <t>Incineration</t>
  </si>
  <si>
    <t>0 - 16960 (AM EoL materials are not expected decompose in the same manner and rate as other organics)</t>
  </si>
  <si>
    <t>Total (Entire Life Cycle)</t>
  </si>
  <si>
    <t>Total (End-of-Life Processing)</t>
  </si>
  <si>
    <t>Energy Data</t>
  </si>
  <si>
    <t>Process</t>
  </si>
  <si>
    <t>Sub-Process/Equipment</t>
  </si>
  <si>
    <t>Max throughput (kg/hr)</t>
  </si>
  <si>
    <t>Output (kg/hr)</t>
  </si>
  <si>
    <t>Power Consumption (kW)</t>
  </si>
  <si>
    <t>Power Generated (kW)</t>
  </si>
  <si>
    <t>Energy Generated (MJ/kg)</t>
  </si>
  <si>
    <t>Time (s)</t>
  </si>
  <si>
    <t>Time share (%)</t>
  </si>
  <si>
    <t>Specific Energy Usage (MJ/kg)</t>
  </si>
  <si>
    <t>Investment cost ($)</t>
  </si>
  <si>
    <t>Fixed operation and maintenance cost ($/yr)</t>
  </si>
  <si>
    <t>Revenue Generated ($/kg)</t>
  </si>
  <si>
    <t>Total cost ($/kg)</t>
  </si>
  <si>
    <t>Metal 3D Printing (SLM, EBM, DED, GMAW, Binder Jetting)</t>
  </si>
  <si>
    <t>https://www.addere.com/how-big-can-you-3d-print-in-metal/#:~:text=Most%20systems%20in%20this%20group,6%20and%2030kg%20per%20hour.</t>
  </si>
  <si>
    <t>Preheating + preparing inert atmosphere</t>
  </si>
  <si>
    <t>Liu, Z.Y., Li, C., Fang, X.Y., Guo, Y.B., 2018. Energy Consumption in Additive Manufacturing of Metal Parts. Procedia Manufacturing 26, 834–845. https://doi.org/10.1016/j.promfg.2018.07.105</t>
  </si>
  <si>
    <t>Laser scanning</t>
  </si>
  <si>
    <t>Liu, Z.Y., Li, C., Fang, X.Y., Guo, Y.B., 2018. Energy Consumption in Additive Manufacturing of Metal Parts. Procedia Manufacturing 26, 834–845. https://doi.org/10.1016/j.promfg.2018.07.106</t>
  </si>
  <si>
    <t>Powder Spreading</t>
  </si>
  <si>
    <t>Liu, Z.Y., Li, C., Fang, X.Y., Guo, Y.B., 2018. Energy Consumption in Additive Manufacturing of Metal Parts. Procedia Manufacturing 26, 834–845. https://doi.org/10.1016/j.promfg.2018.07.107</t>
  </si>
  <si>
    <t>Cooling down + cleaning</t>
  </si>
  <si>
    <t>Liu, Z.Y., Li, C., Fang, X.Y., Guo, Y.B., 2018. Energy Consumption in Additive Manufacturing of Metal Parts. Procedia Manufacturing 26, 834–845. https://doi.org/10.1016/j.promfg.2018.07.108</t>
  </si>
  <si>
    <t>Directed Energy Deposition (DED)</t>
  </si>
  <si>
    <t>61.1 - 7708</t>
  </si>
  <si>
    <t>Mass not provided. Raw material  to Product (atomization, melting, fabricating, final processing)</t>
  </si>
  <si>
    <t>Selective Laser Melting (SLM)</t>
  </si>
  <si>
    <t>83 - 588</t>
  </si>
  <si>
    <t>Raw material  to Product (atomization, melting, fabricating, final processing)</t>
  </si>
  <si>
    <t>Air pumping and aerating</t>
  </si>
  <si>
    <t>Printing parameters: print speed = 1500 mm/s, layer thickness = 0.02 mm, overlap distance = 0.018 mm, filling distance = 0.042 mm, laser spot diamter = 0.06 mm, 316L stainless steel (8 g/cm3)</t>
  </si>
  <si>
    <t>Ma, Z., Gao, M., Wang, Q., Wang, N., Li, L., Liu, C., Liu, Z., 2021. Energy consumption distribution and optimization of additive manufacturing. Int J Adv Manuf Technol 116, 3377–3390. https://doi.org/10.1007/s00170-021-07653-9</t>
  </si>
  <si>
    <t>Ma, Z., Gao, M., Wang, Q., Wang, N., Li, L., Liu, C., Liu, Z., 2021. Energy consumption distribution and optimization of additive manufacturing. Int J Adv Manuf Technol 116, 3377–3390. https://doi.org/10.1007/s00170-021-07653-10</t>
  </si>
  <si>
    <t>Galvanometer motor</t>
  </si>
  <si>
    <t>Ma, Z., Gao, M., Wang, Q., Wang, N., Li, L., Liu, C., Liu, Z., 2021. Energy consumption distribution and optimization of additive manufacturing. Int J Adv Manuf Technol 116, 3377–3390. https://doi.org/10.1007/s00170-021-07653-11</t>
  </si>
  <si>
    <t>Scraper motor</t>
  </si>
  <si>
    <t>Ma, Z., Gao, M., Wang, Q., Wang, N., Li, L., Liu, C., Liu, Z., 2021. Energy consumption distribution and optimization of additive manufacturing. Int J Adv Manuf Technol 116, 3377–3390. https://doi.org/10.1007/s00170-021-07653-12</t>
  </si>
  <si>
    <t>Z-motor</t>
  </si>
  <si>
    <t>Ma, Z., Gao, M., Wang, Q., Wang, N., Li, L., Liu, C., Liu, Z., 2021. Energy consumption distribution and optimization of additive manufacturing. Int J Adv Manuf Technol 116, 3377–3390. https://doi.org/10.1007/s00170-021-07653-13</t>
  </si>
  <si>
    <t>Powder bed motor</t>
  </si>
  <si>
    <t>Ma, Z., Gao, M., Wang, Q., Wang, N., Li, L., Liu, C., Liu, Z., 2021. Energy consumption distribution and optimization of additive manufacturing. Int J Adv Manuf Technol 116, 3377–3390. https://doi.org/10.1007/s00170-021-07653-14</t>
  </si>
  <si>
    <t xml:space="preserve">Cooling </t>
  </si>
  <si>
    <t>Ma, Z., Gao, M., Wang, Q., Wang, N., Li, L., Liu, C., Liu, Z., 2021. Energy consumption distribution and optimization of additive manufacturing. Int J Adv Manuf Technol 116, 3377–3390. https://doi.org/10.1007/s00170-021-07653-15</t>
  </si>
  <si>
    <t>Auxiliary system (cooling system, computer, light, etc)</t>
  </si>
  <si>
    <t>Ma, Z., Gao, M., Wang, Q., Wang, N., Li, L., Liu, C., Liu, Z., 2021. Energy consumption distribution and optimization of additive manufacturing. Int J Adv Manuf Technol 116, 3377–3390. https://doi.org/10.1007/s00170-021-07653-16</t>
  </si>
  <si>
    <t>Whole engine</t>
  </si>
  <si>
    <t>Ma, Z., Gao, M., Wang, Q., Wang, N., Li, L., Liu, C., Liu, Z., 2021. Energy consumption distribution and optimization of additive manufacturing. Int J Adv Manuf Technol 116, 3377–3390. https://doi.org/10.1007/s00170-021-07653-17</t>
  </si>
  <si>
    <t>Electron-Beam Melting (EBM)</t>
  </si>
  <si>
    <t>60 - 176.67</t>
  </si>
  <si>
    <t>Gas Metal Arc Welding (GMAW)</t>
  </si>
  <si>
    <t>Direct Metal Laser Sintering (DMLS)</t>
  </si>
  <si>
    <t>240 - 350</t>
  </si>
  <si>
    <t>Post-processing of metallic products (roughing, finishing)</t>
  </si>
  <si>
    <t>16.8 - 600</t>
  </si>
  <si>
    <t>Laser Powder Bed Fusion (LPBF)</t>
  </si>
  <si>
    <t>Mining and primary production to post-processing</t>
  </si>
  <si>
    <t>https://www.digitalalloys.com/blog/energy-consumption-metal-additive-manufacturing/</t>
  </si>
  <si>
    <t>Wire DED</t>
  </si>
  <si>
    <t>Joule Printing</t>
  </si>
  <si>
    <t>Fused Deposition Modeling (FDM)</t>
  </si>
  <si>
    <t>Mass not provided. Process duration data available. Based on 6600s of operation (1.83 hrs): plate warm up, nozzle warm up, support processing, and part processing</t>
  </si>
  <si>
    <t>Ma, Z., Gao, M., Wang, Q., Wang, N., Li, L., Liu, C., Liu, Z., 2021. Energy consumption distribution and optimization of additive manufacturing. Int J Adv Manuf Technol 116, 3377–3390. https://doi.org/10.1007/s00170-021-07653-8</t>
  </si>
  <si>
    <t>http://web.mit.edu/2.810/www/files/lectures/lec10b-fdm-2018.pdf</t>
  </si>
  <si>
    <t>Plate warm-up</t>
  </si>
  <si>
    <t xml:space="preserve">Printing parameters: print speed = 100 mm/s, layer thickness = 0.05 mm, overlap distance = 0.15 mm, filling distance = 0.25 mm, nozzle diameter = 0.4 mm, PLA (1.24 g/cm3). </t>
  </si>
  <si>
    <t>Maintaining the plate temperature</t>
  </si>
  <si>
    <t>Nozzle warm-up</t>
  </si>
  <si>
    <t>Maintaining the nozzle temperature</t>
  </si>
  <si>
    <t>XY-motors</t>
  </si>
  <si>
    <t>Extrusion motor</t>
  </si>
  <si>
    <t>Stereolithography (SLA)</t>
  </si>
  <si>
    <t>Mass not provided. Process duration data available. Based on 5450s of operation (1.51 hrs): workbench preparation, support processing, part processing</t>
  </si>
  <si>
    <t>Hopkins, N., Jiang, L., Brooks, H., 2021. Energy consumption of common desktop additive manufacturing technologies. Cleaner Engineering and Technology 2, 100068. https://doi.org/10.1016/j.clet.2021.100068</t>
  </si>
  <si>
    <t>Printing parameters: print speed = 232 mm/s, layer thickness = 0.1 mm, overlap distance = 0.04 mm, filling distance = 0.08 mm, laser spot diameter = 0.12 mm, Photosensitive resin (1.05 - 1.13 g/cm3).</t>
  </si>
  <si>
    <t>Wash</t>
  </si>
  <si>
    <t>Formwash</t>
  </si>
  <si>
    <t>Material Recycling Facility</t>
  </si>
  <si>
    <t>Pressley, P.N., Levis, J.W., Damgaard, A., Barlaz, M.A., DeCarolis, J.F., 2015. Analysis of material recovery facilities for use in life-cycle assessment. Waste Management 35, 307–317. https://doi.org/10.1016/j.wasman.2014.09.012</t>
  </si>
  <si>
    <t>Conveyor</t>
  </si>
  <si>
    <t>Equipment Data</t>
  </si>
  <si>
    <t>Pressley, P.N., Levis, J.W., Damgaard, A., Barlaz, M.A., DeCarolis, J.F., 2015. Analysis of material recovery facilities for use in life-cycle assessment. Waste Management 35, 307–317. https://doi.org/10.1016/j.wasman.2014.09.013</t>
  </si>
  <si>
    <t>Drum feeder</t>
  </si>
  <si>
    <t>Pressley, P.N., Levis, J.W., Damgaard, A., Barlaz, M.A., DeCarolis, J.F., 2015. Analysis of material recovery facilities for use in life-cycle assessment. Waste Management 35, 307–317. https://doi.org/10.1016/j.wasman.2014.09.014</t>
  </si>
  <si>
    <t>Vacuum</t>
  </si>
  <si>
    <t>Pressley, P.N., Levis, J.W., Damgaard, A., Barlaz, M.A., DeCarolis, J.F., 2015. Analysis of material recovery facilities for use in life-cycle assessment. Waste Management 35, 307–317. https://doi.org/10.1016/j.wasman.2014.09.015</t>
  </si>
  <si>
    <t>Disc Screen 1</t>
  </si>
  <si>
    <t>Pressley, P.N., Levis, J.W., Damgaard, A., Barlaz, M.A., DeCarolis, J.F., 2015. Analysis of material recovery facilities for use in life-cycle assessment. Waste Management 35, 307–317. https://doi.org/10.1016/j.wasman.2014.09.016</t>
  </si>
  <si>
    <t>Disc Screen 2</t>
  </si>
  <si>
    <t>Pressley, P.N., Levis, J.W., Damgaard, A., Barlaz, M.A., DeCarolis, J.F., 2015. Analysis of material recovery facilities for use in life-cycle assessment. Waste Management 35, 307–317. https://doi.org/10.1016/j.wasman.2014.09.017</t>
  </si>
  <si>
    <t>Disc Screen 3</t>
  </si>
  <si>
    <t>Pressley, P.N., Levis, J.W., Damgaard, A., Barlaz, M.A., DeCarolis, J.F., 2015. Analysis of material recovery facilities for use in life-cycle assessment. Waste Management 35, 307–317. https://doi.org/10.1016/j.wasman.2014.09.018</t>
  </si>
  <si>
    <t>1-Way baler</t>
  </si>
  <si>
    <t>Pressley, P.N., Levis, J.W., Damgaard, A., Barlaz, M.A., DeCarolis, J.F., 2015. Analysis of material recovery facilities for use in life-cycle assessment. Waste Management 35, 307–317. https://doi.org/10.1016/j.wasman.2014.09.019</t>
  </si>
  <si>
    <t>Glass breaker screen</t>
  </si>
  <si>
    <t>Pressley, P.N., Levis, J.W., Damgaard, A., Barlaz, M.A., DeCarolis, J.F., 2015. Analysis of material recovery facilities for use in life-cycle assessment. Waste Management 35, 307–317. https://doi.org/10.1016/j.wasman.2014.09.020</t>
  </si>
  <si>
    <t>Air knife</t>
  </si>
  <si>
    <t>Pressley, P.N., Levis, J.W., Damgaard, A., Barlaz, M.A., DeCarolis, J.F., 2015. Analysis of material recovery facilities for use in life-cycle assessment. Waste Management 35, 307–317. https://doi.org/10.1016/j.wasman.2014.09.021</t>
  </si>
  <si>
    <t>Optical glass</t>
  </si>
  <si>
    <t>Pressley, P.N., Levis, J.W., Damgaard, A., Barlaz, M.A., DeCarolis, J.F., 2015. Analysis of material recovery facilities for use in life-cycle assessment. Waste Management 35, 307–317. https://doi.org/10.1016/j.wasman.2014.09.022</t>
  </si>
  <si>
    <t>Optical PET</t>
  </si>
  <si>
    <t>Pressley, P.N., Levis, J.W., Damgaard, A., Barlaz, M.A., DeCarolis, J.F., 2015. Analysis of material recovery facilities for use in life-cycle assessment. Waste Management 35, 307–317. https://doi.org/10.1016/j.wasman.2014.09.023</t>
  </si>
  <si>
    <t>Optical HDPE</t>
  </si>
  <si>
    <t>Pressley, P.N., Levis, J.W., Damgaard, A., Barlaz, M.A., DeCarolis, J.F., 2015. Analysis of material recovery facilities for use in life-cycle assessment. Waste Management 35, 307–317. https://doi.org/10.1016/j.wasman.2014.09.024</t>
  </si>
  <si>
    <t>Magnet</t>
  </si>
  <si>
    <t>Pressley, P.N., Levis, J.W., Damgaard, A., Barlaz, M.A., DeCarolis, J.F., 2015. Analysis of material recovery facilities for use in life-cycle assessment. Waste Management 35, 307–317. https://doi.org/10.1016/j.wasman.2014.09.025</t>
  </si>
  <si>
    <t>Eddy current separator</t>
  </si>
  <si>
    <t>Pressley, P.N., Levis, J.W., Damgaard, A., Barlaz, M.A., DeCarolis, J.F., 2015. Analysis of material recovery facilities for use in life-cycle assessment. Waste Management 35, 307–317. https://doi.org/10.1016/j.wasman.2014.09.026</t>
  </si>
  <si>
    <t>2-Way baler</t>
  </si>
  <si>
    <t>Pressley, P.N., Levis, J.W., Damgaard, A., Barlaz, M.A., DeCarolis, J.F., 2015. Analysis of material recovery facilities for use in life-cycle assessment. Waste Management 35, 307–317. https://doi.org/10.1016/j.wasman.2014.09.027</t>
  </si>
  <si>
    <t>Trommel</t>
  </si>
  <si>
    <t>Pressley, P.N., Levis, J.W., Damgaard, A., Barlaz, M.A., DeCarolis, J.F., 2015. Analysis of material recovery facilities for use in life-cycle assessment. Waste Management 35, 307–317. https://doi.org/10.1016/j.wasman.2014.09.028</t>
  </si>
  <si>
    <t>Single-stream electrical consumption</t>
  </si>
  <si>
    <t>Varies based on composition</t>
  </si>
  <si>
    <t>Total equipment cost, labor, wire cost, fuel and electricity cost, building and land capital costs</t>
  </si>
  <si>
    <t>Pressley, P.N., Levis, J.W., Damgaard, A., Barlaz, M.A., DeCarolis, J.F., 2015. Analysis of material recovery facilities for use in life-cycle assessment. Waste Management 35, 307–317. https://doi.org/10.1016/j.wasman.2014.09.030</t>
  </si>
  <si>
    <t>OCC/Old Corrugated Container</t>
  </si>
  <si>
    <t>Pressley, P.N., Levis, J.W., Damgaard, A., Barlaz, M.A., DeCarolis, J.F., 2015. Analysis of material recovery facilities for use in life-cycle assessment. Waste Management 35, 307–317. https://doi.org/10.1016/j.wasman.2014.09.031</t>
  </si>
  <si>
    <t>Non-OCC fiber</t>
  </si>
  <si>
    <t>Pressley, P.N., Levis, J.W., Damgaard, A., Barlaz, M.A., DeCarolis, J.F., 2015. Analysis of material recovery facilities for use in life-cycle assessment. Waste Management 35, 307–317. https://doi.org/10.1016/j.wasman.2014.09.032</t>
  </si>
  <si>
    <t>Aluminum</t>
  </si>
  <si>
    <t>Pressley, P.N., Levis, J.W., Damgaard, A., Barlaz, M.A., DeCarolis, J.F., 2015. Analysis of material recovery facilities for use in life-cycle assessment. Waste Management 35, 307–317. https://doi.org/10.1016/j.wasman.2014.09.033</t>
  </si>
  <si>
    <t>Ferrous</t>
  </si>
  <si>
    <t>Pressley, P.N., Levis, J.W., Damgaard, A., Barlaz, M.A., DeCarolis, J.F., 2015. Analysis of material recovery facilities for use in life-cycle assessment. Waste Management 35, 307–317. https://doi.org/10.1016/j.wasman.2014.09.034</t>
  </si>
  <si>
    <t>Film</t>
  </si>
  <si>
    <t>Pressley, P.N., Levis, J.W., Damgaard, A., Barlaz, M.A., DeCarolis, J.F., 2015. Analysis of material recovery facilities for use in life-cycle assessment. Waste Management 35, 307–317. https://doi.org/10.1016/j.wasman.2014.09.035</t>
  </si>
  <si>
    <t>HDPE</t>
  </si>
  <si>
    <t>Pressley, P.N., Levis, J.W., Damgaard, A., Barlaz, M.A., DeCarolis, J.F., 2015. Analysis of material recovery facilities for use in life-cycle assessment. Waste Management 35, 307–317. https://doi.org/10.1016/j.wasman.2014.09.036</t>
  </si>
  <si>
    <t>PET</t>
  </si>
  <si>
    <t>Pressley, P.N., Levis, J.W., Damgaard, A., Barlaz, M.A., DeCarolis, J.F., 2015. Analysis of material recovery facilities for use in life-cycle assessment. Waste Management 35, 307–317. https://doi.org/10.1016/j.wasman.2014.09.037</t>
  </si>
  <si>
    <t>Pressley, P.N., Levis, J.W., Damgaard, A., Barlaz, M.A., DeCarolis, J.F., 2015. Analysis of material recovery facilities for use in life-cycle assessment. Waste Management 35, 307–317. https://doi.org/10.1016/j.wasman.2014.09.038</t>
  </si>
  <si>
    <t>Mixed-waste electrical consumption</t>
  </si>
  <si>
    <t>Pressley, P.N., Levis, J.W., Damgaard, A., Barlaz, M.A., DeCarolis, J.F., 2015. Analysis of material recovery facilities for use in life-cycle assessment. Waste Management 35, 307–317. https://doi.org/10.1016/j.wasman.2014.09.039</t>
  </si>
  <si>
    <t>Pressley, P.N., Levis, J.W., Damgaard, A., Barlaz, M.A., DeCarolis, J.F., 2015. Analysis of material recovery facilities for use in life-cycle assessment. Waste Management 35, 307–317. https://doi.org/10.1016/j.wasman.2014.09.040</t>
  </si>
  <si>
    <t>Pressley, P.N., Levis, J.W., Damgaard, A., Barlaz, M.A., DeCarolis, J.F., 2015. Analysis of material recovery facilities for use in life-cycle assessment. Waste Management 35, 307–317. https://doi.org/10.1016/j.wasman.2014.09.041</t>
  </si>
  <si>
    <t>Pressley, P.N., Levis, J.W., Damgaard, A., Barlaz, M.A., DeCarolis, J.F., 2015. Analysis of material recovery facilities for use in life-cycle assessment. Waste Management 35, 307–317. https://doi.org/10.1016/j.wasman.2014.09.042</t>
  </si>
  <si>
    <t>Pressley, P.N., Levis, J.W., Damgaard, A., Barlaz, M.A., DeCarolis, J.F., 2015. Analysis of material recovery facilities for use in life-cycle assessment. Waste Management 35, 307–317. https://doi.org/10.1016/j.wasman.2014.09.043</t>
  </si>
  <si>
    <t>Pressley, P.N., Levis, J.W., Damgaard, A., Barlaz, M.A., DeCarolis, J.F., 2015. Analysis of material recovery facilities for use in life-cycle assessment. Waste Management 35, 307–317. https://doi.org/10.1016/j.wasman.2014.09.044</t>
  </si>
  <si>
    <t>Pressley, P.N., Levis, J.W., Damgaard, A., Barlaz, M.A., DeCarolis, J.F., 2015. Analysis of material recovery facilities for use in life-cycle assessment. Waste Management 35, 307–317. https://doi.org/10.1016/j.wasman.2014.09.045</t>
  </si>
  <si>
    <t>Pressley, P.N., Levis, J.W., Damgaard, A., Barlaz, M.A., DeCarolis, J.F., 2015. Analysis of material recovery facilities for use in life-cycle assessment. Waste Management 35, 307–317. https://doi.org/10.1016/j.wasman.2014.09.046</t>
  </si>
  <si>
    <t>Pressley, P.N., Levis, J.W., Damgaard, A., Barlaz, M.A., DeCarolis, J.F., 2015. Analysis of material recovery facilities for use in life-cycle assessment. Waste Management 35, 307–317. https://doi.org/10.1016/j.wasman.2014.09.047</t>
  </si>
  <si>
    <t>Dual-stream electrical consumption</t>
  </si>
  <si>
    <t>Pressley, P.N., Levis, J.W., Damgaard, A., Barlaz, M.A., DeCarolis, J.F., 2015. Analysis of material recovery facilities for use in life-cycle assessment. Waste Management 35, 307–317. https://doi.org/10.1016/j.wasman.2014.09.048</t>
  </si>
  <si>
    <t>Pressley, P.N., Levis, J.W., Damgaard, A., Barlaz, M.A., DeCarolis, J.F., 2015. Analysis of material recovery facilities for use in life-cycle assessment. Waste Management 35, 307–317. https://doi.org/10.1016/j.wasman.2014.09.049</t>
  </si>
  <si>
    <t>Pressley, P.N., Levis, J.W., Damgaard, A., Barlaz, M.A., DeCarolis, J.F., 2015. Analysis of material recovery facilities for use in life-cycle assessment. Waste Management 35, 307–317. https://doi.org/10.1016/j.wasman.2014.09.050</t>
  </si>
  <si>
    <t>Pressley, P.N., Levis, J.W., Damgaard, A., Barlaz, M.A., DeCarolis, J.F., 2015. Analysis of material recovery facilities for use in life-cycle assessment. Waste Management 35, 307–317. https://doi.org/10.1016/j.wasman.2014.09.051</t>
  </si>
  <si>
    <t>Pressley, P.N., Levis, J.W., Damgaard, A., Barlaz, M.A., DeCarolis, J.F., 2015. Analysis of material recovery facilities for use in life-cycle assessment. Waste Management 35, 307–317. https://doi.org/10.1016/j.wasman.2014.09.052</t>
  </si>
  <si>
    <t>Pressley, P.N., Levis, J.W., Damgaard, A., Barlaz, M.A., DeCarolis, J.F., 2015. Analysis of material recovery facilities for use in life-cycle assessment. Waste Management 35, 307–317. https://doi.org/10.1016/j.wasman.2014.09.053</t>
  </si>
  <si>
    <t>Pressley, P.N., Levis, J.W., Damgaard, A., Barlaz, M.A., DeCarolis, J.F., 2015. Analysis of material recovery facilities for use in life-cycle assessment. Waste Management 35, 307–317. https://doi.org/10.1016/j.wasman.2014.09.054</t>
  </si>
  <si>
    <t>Pressley, P.N., Levis, J.W., Damgaard, A., Barlaz, M.A., DeCarolis, J.F., 2015. Analysis of material recovery facilities for use in life-cycle assessment. Waste Management 35, 307–317. https://doi.org/10.1016/j.wasman.2014.09.055</t>
  </si>
  <si>
    <t>Pressley, P.N., Levis, J.W., Damgaard, A., Barlaz, M.A., DeCarolis, J.F., 2015. Analysis of material recovery facilities for use in life-cycle assessment. Waste Management 35, 307–317. https://doi.org/10.1016/j.wasman.2014.09.056</t>
  </si>
  <si>
    <t>Pre-sorted electrical consumption</t>
  </si>
  <si>
    <t>Pressley, P.N., Levis, J.W., Damgaard, A., Barlaz, M.A., DeCarolis, J.F., 2015. Analysis of material recovery facilities for use in life-cycle assessment. Waste Management 35, 307–317. https://doi.org/10.1016/j.wasman.2014.09.057</t>
  </si>
  <si>
    <t>Pressley, P.N., Levis, J.W., Damgaard, A., Barlaz, M.A., DeCarolis, J.F., 2015. Analysis of material recovery facilities for use in life-cycle assessment. Waste Management 35, 307–317. https://doi.org/10.1016/j.wasman.2014.09.058</t>
  </si>
  <si>
    <t>Pressley, P.N., Levis, J.W., Damgaard, A., Barlaz, M.A., DeCarolis, J.F., 2015. Analysis of material recovery facilities for use in life-cycle assessment. Waste Management 35, 307–317. https://doi.org/10.1016/j.wasman.2014.09.059</t>
  </si>
  <si>
    <t>Pressley, P.N., Levis, J.W., Damgaard, A., Barlaz, M.A., DeCarolis, J.F., 2015. Analysis of material recovery facilities for use in life-cycle assessment. Waste Management 35, 307–317. https://doi.org/10.1016/j.wasman.2014.09.060</t>
  </si>
  <si>
    <t>Pressley, P.N., Levis, J.W., Damgaard, A., Barlaz, M.A., DeCarolis, J.F., 2015. Analysis of material recovery facilities for use in life-cycle assessment. Waste Management 35, 307–317. https://doi.org/10.1016/j.wasman.2014.09.061</t>
  </si>
  <si>
    <t>Pressley, P.N., Levis, J.W., Damgaard, A., Barlaz, M.A., DeCarolis, J.F., 2015. Analysis of material recovery facilities for use in life-cycle assessment. Waste Management 35, 307–317. https://doi.org/10.1016/j.wasman.2014.09.062</t>
  </si>
  <si>
    <t>Pressley, P.N., Levis, J.W., Damgaard, A., Barlaz, M.A., DeCarolis, J.F., 2015. Analysis of material recovery facilities for use in life-cycle assessment. Waste Management 35, 307–317. https://doi.org/10.1016/j.wasman.2014.09.063</t>
  </si>
  <si>
    <t>Pressley, P.N., Levis, J.W., Damgaard, A., Barlaz, M.A., DeCarolis, J.F., 2015. Analysis of material recovery facilities for use in life-cycle assessment. Waste Management 35, 307–317. https://doi.org/10.1016/j.wasman.2014.09.064</t>
  </si>
  <si>
    <t>Pressley, P.N., Levis, J.W., Damgaard, A., Barlaz, M.A., DeCarolis, J.F., 2015. Analysis of material recovery facilities for use in life-cycle assessment. Waste Management 35, 307–317. https://doi.org/10.1016/j.wasman.2014.09.065</t>
  </si>
  <si>
    <t>Plastic Recycling</t>
  </si>
  <si>
    <t>1.8 - 8.313</t>
  </si>
  <si>
    <t>Ghadge, T., Khare, V., Bhosale, S., Giri, P.A., Jadhav, V., 2022. Energy Consumption Analysis in the Plastic Waste Recycling Process: A Case Study of Amazia Vision Enterprise Private Limited, Satara, India. J. Stabil. Environ. Mgt 1, 77–83. https://doi.org/10.3126/josem.v1i2.45338</t>
  </si>
  <si>
    <t>Washing m/c no. 1</t>
  </si>
  <si>
    <t>Assuming an 8 hrs workday, plant processes 30,000 kg materials/day</t>
  </si>
  <si>
    <t>Ghadge, T., Khare, V., Bhosale, S., Giri, P.A., Jadhav, V., 2022. Energy Consumption Analysis in the Plastic Waste Recycling Process: A Case Study of Amazia Vision Enterprise Private Limited, Satara, India. J. Stabil. Environ. Mgt 1, 77–83. https://doi.org/10.3126/josem.v1i2.45339</t>
  </si>
  <si>
    <t>Washing m/c no. 2</t>
  </si>
  <si>
    <t>Ghadge, T., Khare, V., Bhosale, S., Giri, P.A., Jadhav, V., 2022. Energy Consumption Analysis in the Plastic Waste Recycling Process: A Case Study of Amazia Vision Enterprise Private Limited, Satara, India. J. Stabil. Environ. Mgt 1, 77–83. https://doi.org/10.3126/josem.v1i2.45340</t>
  </si>
  <si>
    <t>Washing m/c no. 3</t>
  </si>
  <si>
    <t>Ghadge, T., Khare, V., Bhosale, S., Giri, P.A., Jadhav, V., 2022. Energy Consumption Analysis in the Plastic Waste Recycling Process: A Case Study of Amazia Vision Enterprise Private Limited, Satara, India. J. Stabil. Environ. Mgt 1, 77–83. https://doi.org/10.3126/josem.v1i2.45341</t>
  </si>
  <si>
    <t>Washing m/c no. 4</t>
  </si>
  <si>
    <t>Ghadge, T., Khare, V., Bhosale, S., Giri, P.A., Jadhav, V., 2022. Energy Consumption Analysis in the Plastic Waste Recycling Process: A Case Study of Amazia Vision Enterprise Private Limited, Satara, India. J. Stabil. Environ. Mgt 1, 77–83. https://doi.org/10.3126/josem.v1i2.45342</t>
  </si>
  <si>
    <t>RP 1 Main m/c (Recycling Plastics)</t>
  </si>
  <si>
    <t>Equipment Data, 1500 RPM, 5201.18 N*m torque, 8 hrs work day</t>
  </si>
  <si>
    <t>Ghadge, T., Khare, V., Bhosale, S., Giri, P.A., Jadhav, V., 2022. Energy Consumption Analysis in the Plastic Waste Recycling Process: A Case Study of Amazia Vision Enterprise Private Limited, Satara, India. J. Stabil. Environ. Mgt 1, 77–83. https://doi.org/10.3126/josem.v1i2.45343</t>
  </si>
  <si>
    <t>RP 2 Main m/c (Recycling Plastics)</t>
  </si>
  <si>
    <t>Ghadge, T., Khare, V., Bhosale, S., Giri, P.A., Jadhav, V., 2022. Energy Consumption Analysis in the Plastic Waste Recycling Process: A Case Study of Amazia Vision Enterprise Private Limited, Satara, India. J. Stabil. Environ. Mgt 1, 77–83. https://doi.org/10.3126/josem.v1i2.45344</t>
  </si>
  <si>
    <t>RP 3 Main m/c (Recycling Plastics)</t>
  </si>
  <si>
    <t>Equipment Data, 1000 RPM, 3915.21 N*m torque, 8 hrs work day</t>
  </si>
  <si>
    <t>Ghadge, T., Khare, V., Bhosale, S., Giri, P.A., Jadhav, V., 2022. Energy Consumption Analysis in the Plastic Waste Recycling Process: A Case Study of Amazia Vision Enterprise Private Limited, Satara, India. J. Stabil. Environ. Mgt 1, 77–83. https://doi.org/10.3126/josem.v1i2.45345</t>
  </si>
  <si>
    <t>RP 4 Main m/c (Recycling Plastics)</t>
  </si>
  <si>
    <t>Ghadge, T., Khare, V., Bhosale, S., Giri, P.A., Jadhav, V., 2022. Energy Consumption Analysis in the Plastic Waste Recycling Process: A Case Study of Amazia Vision Enterprise Private Limited, Satara, India. J. Stabil. Environ. Mgt 1, 77–83. https://doi.org/10.3126/josem.v1i2.45346</t>
  </si>
  <si>
    <t>Eglo no. 1</t>
  </si>
  <si>
    <t>Assuming an 8 hrs workday</t>
  </si>
  <si>
    <t>Ghadge, T., Khare, V., Bhosale, S., Giri, P.A., Jadhav, V., 2022. Energy Consumption Analysis in the Plastic Waste Recycling Process: A Case Study of Amazia Vision Enterprise Private Limited, Satara, India. J. Stabil. Environ. Mgt 1, 77–83. https://doi.org/10.3126/josem.v1i2.45347</t>
  </si>
  <si>
    <t>E m/c no.2 (SD)</t>
  </si>
  <si>
    <t>Ghadge, T., Khare, V., Bhosale, S., Giri, P.A., Jadhav, V., 2022. Energy Consumption Analysis in the Plastic Waste Recycling Process: A Case Study of Amazia Vision Enterprise Private Limited, Satara, India. J. Stabil. Environ. Mgt 1, 77–83. https://doi.org/10.3126/josem.v1i2.45348</t>
  </si>
  <si>
    <t>E m/c no.2 (LMP)</t>
  </si>
  <si>
    <t>Ghadge, T., Khare, V., Bhosale, S., Giri, P.A., Jadhav, V., 2022. Energy Consumption Analysis in the Plastic Waste Recycling Process: A Case Study of Amazia Vision Enterprise Private Limited, Satara, India. J. Stabil. Environ. Mgt 1, 77–83. https://doi.org/10.3126/josem.v1i2.45349</t>
  </si>
  <si>
    <t>E m/c no.2 (GM/C)</t>
  </si>
  <si>
    <t>Ghadge, T., Khare, V., Bhosale, S., Giri, P.A., Jadhav, V., 2022. Energy Consumption Analysis in the Plastic Waste Recycling Process: A Case Study of Amazia Vision Enterprise Private Limited, Satara, India. J. Stabil. Environ. Mgt 1, 77–83. https://doi.org/10.3126/josem.v1i2.45350</t>
  </si>
  <si>
    <t>Eglo no.3</t>
  </si>
  <si>
    <t>Ghadge, T., Khare, V., Bhosale, S., Giri, P.A., Jadhav, V., 2022. Energy Consumption Analysis in the Plastic Waste Recycling Process: A Case Study of Amazia Vision Enterprise Private Limited, Satara, India. J. Stabil. Environ. Mgt 1, 77–83. https://doi.org/10.3126/josem.v1i2.45351</t>
  </si>
  <si>
    <t>Tubing m/c no.1</t>
  </si>
  <si>
    <t>Ghadge, T., Khare, V., Bhosale, S., Giri, P.A., Jadhav, V., 2022. Energy Consumption Analysis in the Plastic Waste Recycling Process: A Case Study of Amazia Vision Enterprise Private Limited, Satara, India. J. Stabil. Environ. Mgt 1, 77–83. https://doi.org/10.3126/josem.v1i2.45352</t>
  </si>
  <si>
    <t>Cutter m/c no.1</t>
  </si>
  <si>
    <t>Ghadge, T., Khare, V., Bhosale, S., Giri, P.A., Jadhav, V., 2022. Energy Consumption Analysis in the Plastic Waste Recycling Process: A Case Study of Amazia Vision Enterprise Private Limited, Satara, India. J. Stabil. Environ. Mgt 1, 77–83. https://doi.org/10.3126/josem.v1i2.45353</t>
  </si>
  <si>
    <t>Cutter m/c no.2</t>
  </si>
  <si>
    <t>Ghadge, T., Khare, V., Bhosale, S., Giri, P.A., Jadhav, V., 2022. Energy Consumption Analysis in the Plastic Waste Recycling Process: A Case Study of Amazia Vision Enterprise Private Limited, Satara, India. J. Stabil. Environ. Mgt 1, 77–83. https://doi.org/10.3126/josem.v1i2.45354</t>
  </si>
  <si>
    <t>Effluent Treatment Plant</t>
  </si>
  <si>
    <t>Assuming an 8 hrs workday, (6900 kg/day wasted)</t>
  </si>
  <si>
    <t>Ghadge, T., Khare, V., Bhosale, S., Giri, P.A., Jadhav, V., 2022. Energy Consumption Analysis in the Plastic Waste Recycling Process: A Case Study of Amazia Vision Enterprise Private Limited, Satara, India. J. Stabil. Environ. Mgt 1, 77–83. https://doi.org/10.3126/josem.v1i2.45355</t>
  </si>
  <si>
    <t>Metal Recycling of 98% Copper Scrap</t>
  </si>
  <si>
    <t>1 US ton basis, 236 kWh electricity</t>
  </si>
  <si>
    <t>Bravard, J.C., Portal, C., 1971. Energy expenditures associated with the production and recycle of metals (No. ORNL-MIT-132, 7351678). Oak Ridge National Laboratory. https://doi.org/10.2172/7351678</t>
  </si>
  <si>
    <t>Metal Recycling of Impure Copper Scraps</t>
  </si>
  <si>
    <t>Bravard, J.C., Portal, C., 1971. Energy expenditures associated with the production and recycle of metals (No. ORNL-MIT-132, 7351678). Oak Ridge National Laboratory. https://doi.org/10.2172/7351679</t>
  </si>
  <si>
    <t>Pretreatment</t>
  </si>
  <si>
    <t>1025 kWh based on 1 US ton material</t>
  </si>
  <si>
    <t>Bravard, J.C., Portal, C., 1971. Energy expenditures associated with the production and recycle of metals (No. ORNL-MIT-132, 7351678). Oak Ridge National Laboratory. https://doi.org/10.2172/7351680</t>
  </si>
  <si>
    <t>Energy Equivalent for Coke, Limestone, and Soda Ash</t>
  </si>
  <si>
    <t>35 kWh based on 1 US ton material</t>
  </si>
  <si>
    <t>Bravard, J.C., Portal, C., 1971. Energy expenditures associated with the production and recycle of metals (No. ORNL-MIT-132, 7351678). Oak Ridge National Laboratory. https://doi.org/10.2172/7351681</t>
  </si>
  <si>
    <t>Refining</t>
  </si>
  <si>
    <t>200 kWh based on 1 US ton material</t>
  </si>
  <si>
    <t>Bravard, J.C., Portal, C., 1971. Energy expenditures associated with the production and recycle of metals (No. ORNL-MIT-132, 7351678). Oak Ridge National Laboratory. https://doi.org/10.2172/7351682</t>
  </si>
  <si>
    <t>Metal Recycling of Titanium Scrap</t>
  </si>
  <si>
    <t>15600 kWh based on 1 ton Ti</t>
  </si>
  <si>
    <t>Bravard, J.C., Portal, C., 1971. Energy expenditures associated with the production and recycle of metals (No. ORNL-MIT-132, 7351678). Oak Ridge National Laboratory. https://doi.org/10.2172/7351683</t>
  </si>
  <si>
    <t>Glass Recycling</t>
  </si>
  <si>
    <t>Gaines, L.L., Mintz, M.M., 1994. Energy implications of glass-container recycling (No. ANL/ESD--18, NREL/TP--430-5703, 10161731). https://doi.org/10.2172/10161731</t>
  </si>
  <si>
    <t>Batch handling</t>
  </si>
  <si>
    <t>Electricity</t>
  </si>
  <si>
    <t>Gaines, L.L., Mintz, M.M., 1994. Energy implications of glass-container recycling (No. ANL/ESD--18, NREL/TP--430-5703, 10161731). https://doi.org/10.2172/10161732</t>
  </si>
  <si>
    <t>Melting (Virgin)</t>
  </si>
  <si>
    <t>Natural gas</t>
  </si>
  <si>
    <t>Gaines, L.L., Mintz, M.M., 1994. Energy implications of glass-container recycling (No. ANL/ESD--18, NREL/TP--430-5703, 10161731). https://doi.org/10.2172/10161733</t>
  </si>
  <si>
    <t>Melting (100% cullets)</t>
  </si>
  <si>
    <t>Gaines, L.L., Mintz, M.M., 1994. Energy implications of glass-container recycling (No. ANL/ESD--18, NREL/TP--430-5703, 10161731). https://doi.org/10.2172/10161734</t>
  </si>
  <si>
    <t>Melting (30% cullets, 70% virgin)</t>
  </si>
  <si>
    <t>Gaines, L.L., Mintz, M.M., 1994. Energy implications of glass-container recycling (No. ANL/ESD--18, NREL/TP--430-5703, 10161731). https://doi.org/10.2172/10161735</t>
  </si>
  <si>
    <t>Material Forming (Bottle)</t>
  </si>
  <si>
    <t>Gaines, L.L., Mintz, M.M., 1994. Energy implications of glass-container recycling (No. ANL/ESD--18, NREL/TP--430-5703, 10161731). https://doi.org/10.2172/10161736</t>
  </si>
  <si>
    <t>Annealing</t>
  </si>
  <si>
    <t>Gaines, L.L., Mintz, M.M., 1994. Energy implications of glass-container recycling (No. ANL/ESD--18, NREL/TP--430-5703, 10161731). https://doi.org/10.2172/10161737</t>
  </si>
  <si>
    <t>MRF Processing</t>
  </si>
  <si>
    <t>Gaines, L.L., Mintz, M.M., 1994. Energy implications of glass-container recycling (No. ANL/ESD--18, NREL/TP--430-5703, 10161731). https://doi.org/10.2172/10161738</t>
  </si>
  <si>
    <t>Cullet beneficiation</t>
  </si>
  <si>
    <t>Gaines, L.L., Mintz, M.M., 1994. Energy implications of glass-container recycling (No. ANL/ESD--18, NREL/TP--430-5703, 10161731). https://doi.org/10.2172/10161739</t>
  </si>
  <si>
    <t>Incinerator</t>
  </si>
  <si>
    <t>Waste-to-Energy</t>
  </si>
  <si>
    <t>Equipment Investment: 478 million dollars + 179 million for pollution control equipment, the $/kg value is scaled to inflation from 1970 to 2023. Moon 2021 also reported a similar value of $0.148/kg, thus the inflation scaling holds</t>
  </si>
  <si>
    <t>Moon, D., 2021. The High Cost of Waste Incineration. Global Alliance for Incinerator Alternatives. https://doi.org/10.46556/RPKY2826</t>
  </si>
  <si>
    <t>Hockman, O., Hwang, E.-G., Rudzitis, G., 1976. The Environmental Costs of Landfills and Incinerators, Environmental Pollutants and the Urban Economy. Argonne National Laboratory.</t>
  </si>
  <si>
    <t>Haukohl, J., Rand, T., Marxen of Rambøll, U., 1999. Municipal Solid Waste Incineration, World Bank Technical Guidance Report. The World Bank, Washington D.C.</t>
  </si>
  <si>
    <t>Waste Storage and Handling (Pit and Crane)</t>
  </si>
  <si>
    <t>National Research Council, ], 2000. Waste Incineration and Public Health. National Academies Press, Washington.</t>
  </si>
  <si>
    <t>Richards, D., Gould, R., 1988. Waste-To-Energy Compendium Revised 1988 Edition.</t>
  </si>
  <si>
    <t>Waste Feeding (Hopper with chute, gravity feed)</t>
  </si>
  <si>
    <t>Combustion  (MSW) (Primary/secondary combustion chamber)</t>
  </si>
  <si>
    <t>Energy Recovery (boiler/water-tube waste-heat boiler system)</t>
  </si>
  <si>
    <t xml:space="preserve">Electricity Generation </t>
  </si>
  <si>
    <t>4100 - 83000</t>
  </si>
  <si>
    <t>55 to 60% conversion efficiency to mechanical power for smaller plants (100 tons/day). Larger plant (2000 tons/day) can reach 75 - 80% efficiency, based on 24 hrs operation</t>
  </si>
  <si>
    <t>Air Pollution Control (Electrostatic precipitator)</t>
  </si>
  <si>
    <t>Scrubber Water/Ash Handling (ash pit with conveyor/quench tank with drag-chain conveyor)</t>
  </si>
  <si>
    <t>Landfill</t>
  </si>
  <si>
    <t>90 - 230</t>
  </si>
  <si>
    <t>Inflation: 1970 value scaled to that of 2023, Overall, the information for landfilling varies a lot, depending on the region of interest</t>
  </si>
  <si>
    <t>Pierson, R., 2013. Fact Sheet - Landfill Metahne.</t>
  </si>
  <si>
    <t>US EPA, OSRTI, 2010. Superfund Landfill Methane-to-Energy Pilot Project. U.S. Environmental Protection Agency, Washington D.C.</t>
  </si>
  <si>
    <t>Electricity Requirement</t>
  </si>
  <si>
    <t>15 - 140</t>
  </si>
  <si>
    <t>Old Bethpage Landfill, Town of Oyster Bay, NY and Combe Fill South Landfill, Morris County, NJ, and Kent Highlands Landfill, Kent, WA, Keystone Landfill, Union Township, Adams County, PA</t>
  </si>
  <si>
    <t>Electricity Generation with Turbine</t>
  </si>
  <si>
    <t>30 - 65</t>
  </si>
  <si>
    <t>65 kW turbine, requiring 15 kW for gas compression and conditioning</t>
  </si>
  <si>
    <t>Landfill gas collection</t>
  </si>
  <si>
    <t>Combe Fill South Landfill, Morris County, NJ</t>
  </si>
  <si>
    <t>Groundwater and Leachate Treatment with Transport</t>
  </si>
  <si>
    <t>US Energy Consumption by Source and Sector 2021</t>
  </si>
  <si>
    <t>End-Use Sector</t>
  </si>
  <si>
    <t xml:space="preserve">Primary Energy Source </t>
  </si>
  <si>
    <t>Secondary Energy</t>
  </si>
  <si>
    <t>Allocation Fraction</t>
  </si>
  <si>
    <t>Petroleum</t>
  </si>
  <si>
    <t>Natural Gas</t>
  </si>
  <si>
    <t>Renewable Energy</t>
  </si>
  <si>
    <t>Electricity-Grid</t>
  </si>
  <si>
    <t>Coal</t>
  </si>
  <si>
    <t>Nuclear</t>
  </si>
  <si>
    <t>Industrial</t>
  </si>
  <si>
    <t>Residential</t>
  </si>
  <si>
    <t>Commercial</t>
  </si>
  <si>
    <t>Secondary Energy Type</t>
  </si>
  <si>
    <t>Primary Energy Source</t>
  </si>
  <si>
    <t>Source-Site Ratio</t>
  </si>
  <si>
    <t>Grid Electricity</t>
  </si>
  <si>
    <t>Coal, Natural gas, Fuel Oil, Renewable, Nuclear</t>
  </si>
  <si>
    <t>2012 - 2016 Data</t>
  </si>
  <si>
    <t>Energy Star, 2020. Source Energy.</t>
  </si>
  <si>
    <t>Solar, Wind</t>
  </si>
  <si>
    <t>Electricity converted on-site, no loss</t>
  </si>
  <si>
    <t>Electricity/Heat</t>
  </si>
  <si>
    <t>Wood</t>
  </si>
  <si>
    <t>No transmission/distribution losses considered</t>
  </si>
  <si>
    <t>Fuel Oil</t>
  </si>
  <si>
    <t>Distribution, storage, fuel dispensing to customers</t>
  </si>
  <si>
    <t>Steam from Conventional Boiler</t>
  </si>
  <si>
    <t>Generated using conventional boiler and combined heat and power technology, accounting for boiler efficiency (82.5%), part load adjustment (97%), production efficiency (80%), heating losses (7.5%), efficiency after heat loss (74%)</t>
  </si>
  <si>
    <t>Steam Produced by CHP</t>
  </si>
  <si>
    <t>Steam and electricity conversion efficiency from input energy = 59%, product, steam production efficiency = 99.2%, heating distribution losses = 7.5%, and efficiency after heat loss = 91.8%</t>
  </si>
  <si>
    <t>District Steam</t>
  </si>
  <si>
    <t>CHP system makes up 58% of district steam, while Conventional system makes up 42%. Weighted average = 1.20</t>
  </si>
  <si>
    <t>District Hot Water</t>
  </si>
  <si>
    <t>Similar to Steam because similar process is used</t>
  </si>
  <si>
    <t>Electric Chillers</t>
  </si>
  <si>
    <t>0.3125 kBtu input to Chiller per kBtu on-site cooling, energy requirement is multiplied by source-site ratio for electricity of 2.80</t>
  </si>
  <si>
    <t>Steam-Driven Chillers</t>
  </si>
  <si>
    <t>District Chilled Water</t>
  </si>
  <si>
    <t>10 - 20% of chilled water comes from natural gas and the remaining is electric. This value is an average</t>
  </si>
  <si>
    <t>Material Management Stage</t>
  </si>
  <si>
    <t>Total Mass Transported</t>
  </si>
  <si>
    <t>Energy Requirement</t>
  </si>
  <si>
    <t>Energy Cost</t>
  </si>
  <si>
    <t>$ billion/yr</t>
  </si>
  <si>
    <t>End-of-Life</t>
  </si>
  <si>
    <t>TOTAL</t>
  </si>
  <si>
    <t>Overall</t>
  </si>
  <si>
    <t>Manufacturing Transportation</t>
  </si>
  <si>
    <t>Use Transportation</t>
  </si>
  <si>
    <t>End-of-Life Transportation</t>
  </si>
  <si>
    <t>Reference:</t>
  </si>
  <si>
    <t>Ruiz-Mercado, G.J., Smith, R.L., Gonzalez, M.A., 2014. GREENSCOPE.xlsm User’s Guide.</t>
  </si>
  <si>
    <t>Symbol</t>
  </si>
  <si>
    <t>Definition</t>
  </si>
  <si>
    <t>Equation</t>
  </si>
  <si>
    <t>unit</t>
  </si>
  <si>
    <t>Best case</t>
  </si>
  <si>
    <t>Worst case</t>
  </si>
  <si>
    <t>Total material consumption</t>
  </si>
  <si>
    <r>
      <rPr>
        <i/>
        <sz val="11"/>
        <color theme="1"/>
        <rFont val="Times New Roman"/>
        <family val="1"/>
      </rPr>
      <t>m</t>
    </r>
    <r>
      <rPr>
        <vertAlign val="subscript"/>
        <sz val="11"/>
        <color theme="1"/>
        <rFont val="Times New Roman"/>
        <family val="1"/>
      </rPr>
      <t>mat tot</t>
    </r>
  </si>
  <si>
    <t>It is the total material input of goods and services to the process or process unit.</t>
  </si>
  <si>
    <t>kg/h</t>
  </si>
  <si>
    <t>Mass intensity</t>
  </si>
  <si>
    <t>MI</t>
  </si>
  <si>
    <r>
      <t>MI</t>
    </r>
    <r>
      <rPr>
        <sz val="11"/>
        <rFont val="Times New Roman"/>
        <family val="1"/>
      </rPr>
      <t xml:space="preserve"> is defined as the ratio between the total mass fed to the unit over the mass of the desired product.</t>
    </r>
  </si>
  <si>
    <t xml:space="preserve">kg/kg </t>
  </si>
  <si>
    <t>MP</t>
  </si>
  <si>
    <t>MP is defined as the ratio between the mass of the desired product over the total mass fed to the unit.</t>
  </si>
  <si>
    <t>kg/kg</t>
  </si>
  <si>
    <t>E</t>
  </si>
  <si>
    <r>
      <t>E</t>
    </r>
    <r>
      <rPr>
        <sz val="11"/>
        <rFont val="Times New Roman"/>
        <family val="1"/>
      </rPr>
      <t xml:space="preserve"> factor is the ratio of the mass of waste per unit of mass of the desired product.</t>
    </r>
  </si>
  <si>
    <t>MLI</t>
  </si>
  <si>
    <t>MLI is defined as the ratio between the total mass fed to the unit over the mass of the desired product.</t>
  </si>
  <si>
    <t>Renewability-Material Index</t>
  </si>
  <si>
    <r>
      <t>RI</t>
    </r>
    <r>
      <rPr>
        <vertAlign val="subscript"/>
        <sz val="11"/>
        <color theme="1"/>
        <rFont val="Times New Roman"/>
        <family val="1"/>
      </rPr>
      <t>M</t>
    </r>
  </si>
  <si>
    <r>
      <t>RI</t>
    </r>
    <r>
      <rPr>
        <sz val="11"/>
        <rFont val="Times New Roman"/>
        <family val="1"/>
      </rPr>
      <t>M is the ratio of the consumption of renewable resources to total consumption. It lies between 0 and 1.</t>
    </r>
  </si>
  <si>
    <r>
      <t>BF</t>
    </r>
    <r>
      <rPr>
        <vertAlign val="subscript"/>
        <sz val="11"/>
        <color theme="1"/>
        <rFont val="Times New Roman"/>
        <family val="1"/>
      </rPr>
      <t>M</t>
    </r>
  </si>
  <si>
    <r>
      <t>BF</t>
    </r>
    <r>
      <rPr>
        <sz val="11"/>
        <rFont val="Times New Roman"/>
        <family val="1"/>
      </rPr>
      <t>M is the total mass output of the process divided by the non-renewable mass input.</t>
    </r>
  </si>
  <si>
    <r>
      <rPr>
        <i/>
        <sz val="11"/>
        <rFont val="Times New Roman"/>
        <family val="1"/>
      </rPr>
      <t>w</t>
    </r>
    <r>
      <rPr>
        <vertAlign val="subscript"/>
        <sz val="11"/>
        <color theme="1"/>
        <rFont val="Times New Roman"/>
        <family val="1"/>
      </rPr>
      <t>recycl. mat.</t>
    </r>
  </si>
  <si>
    <t>This is the amount of material input from recyclable source.</t>
  </si>
  <si>
    <t>Mass fraction of products designed for disassembly, reuse or recycling</t>
  </si>
  <si>
    <r>
      <rPr>
        <i/>
        <sz val="11"/>
        <rFont val="Times New Roman"/>
        <family val="1"/>
      </rPr>
      <t>w</t>
    </r>
    <r>
      <rPr>
        <vertAlign val="subscript"/>
        <sz val="11"/>
        <color theme="1"/>
        <rFont val="Times New Roman"/>
        <family val="1"/>
      </rPr>
      <t>recov. prod.</t>
    </r>
  </si>
  <si>
    <t>This is the mass fraction of product that can be recovered for reuse or recycling per mass of product.</t>
  </si>
  <si>
    <r>
      <rPr>
        <i/>
        <sz val="11"/>
        <rFont val="Times New Roman"/>
        <family val="1"/>
      </rPr>
      <t>m</t>
    </r>
    <r>
      <rPr>
        <vertAlign val="subscript"/>
        <sz val="11"/>
        <rFont val="Times New Roman"/>
        <family val="1"/>
      </rPr>
      <t>haz. mat.</t>
    </r>
  </si>
  <si>
    <t>Total mass of hazardous substances fed to the process</t>
  </si>
  <si>
    <r>
      <rPr>
        <i/>
        <sz val="11"/>
        <rFont val="Times New Roman"/>
        <family val="1"/>
      </rPr>
      <t>m</t>
    </r>
    <r>
      <rPr>
        <vertAlign val="subscript"/>
        <sz val="11"/>
        <rFont val="Times New Roman"/>
        <family val="1"/>
      </rPr>
      <t>haz. mat. spec.</t>
    </r>
  </si>
  <si>
    <t>Total mass of hazardous substances fed to the process per unit of valuable product</t>
  </si>
  <si>
    <t>kg hazardous input/kg product</t>
  </si>
  <si>
    <r>
      <t>SH</t>
    </r>
    <r>
      <rPr>
        <vertAlign val="subscript"/>
        <sz val="11"/>
        <rFont val="Times New Roman"/>
        <family val="1"/>
      </rPr>
      <t>acute tox.</t>
    </r>
  </si>
  <si>
    <t>Acute toxicity to humans and animals.</t>
  </si>
  <si>
    <t>m^3/kg</t>
  </si>
  <si>
    <t>Environmental quotient</t>
  </si>
  <si>
    <t>EQ</t>
  </si>
  <si>
    <r>
      <t>EQ</t>
    </r>
    <r>
      <rPr>
        <sz val="11"/>
        <rFont val="Times New Roman"/>
        <family val="1"/>
      </rPr>
      <t xml:space="preserve"> is a characterization of  the environmental unfriendliness of the produced waste. This is computed multiplying the</t>
    </r>
    <r>
      <rPr>
        <i/>
        <sz val="11"/>
        <rFont val="Times New Roman"/>
        <family val="1"/>
      </rPr>
      <t xml:space="preserve"> E</t>
    </r>
    <r>
      <rPr>
        <sz val="11"/>
        <rFont val="Times New Roman"/>
        <family val="1"/>
      </rPr>
      <t xml:space="preserve"> factor by the quotient </t>
    </r>
    <r>
      <rPr>
        <i/>
        <sz val="11"/>
        <rFont val="Times New Roman"/>
        <family val="1"/>
      </rPr>
      <t>Q</t>
    </r>
    <r>
      <rPr>
        <sz val="11"/>
        <rFont val="Times New Roman"/>
        <family val="1"/>
      </rPr>
      <t xml:space="preserve">. </t>
    </r>
    <r>
      <rPr>
        <i/>
        <sz val="11"/>
        <rFont val="Times New Roman"/>
        <family val="1"/>
      </rPr>
      <t>Q</t>
    </r>
    <r>
      <rPr>
        <sz val="11"/>
        <rFont val="Times New Roman"/>
        <family val="1"/>
      </rPr>
      <t xml:space="preserve"> is an arbitrarily assigned coefficient that can be 1 if the waste is innocuous, while for toxic material such as heavy metals, </t>
    </r>
    <r>
      <rPr>
        <i/>
        <sz val="11"/>
        <rFont val="Times New Roman"/>
        <family val="1"/>
      </rPr>
      <t>Q</t>
    </r>
    <r>
      <rPr>
        <sz val="11"/>
        <rFont val="Times New Roman"/>
        <family val="1"/>
      </rPr>
      <t xml:space="preserve"> could be a scalar between 100-1000. In case of heterogeneous multicomponent emissions is not possible to characterize it with just one </t>
    </r>
    <r>
      <rPr>
        <i/>
        <sz val="11"/>
        <rFont val="Times New Roman"/>
        <family val="1"/>
      </rPr>
      <t>Q</t>
    </r>
    <r>
      <rPr>
        <sz val="11"/>
        <rFont val="Times New Roman"/>
        <family val="1"/>
      </rPr>
      <t xml:space="preserve"> factor.</t>
    </r>
  </si>
  <si>
    <r>
      <t>m</t>
    </r>
    <r>
      <rPr>
        <vertAlign val="superscript"/>
        <sz val="11"/>
        <rFont val="Times New Roman"/>
        <family val="1"/>
      </rPr>
      <t>3</t>
    </r>
    <r>
      <rPr>
        <sz val="11"/>
        <rFont val="Times New Roman"/>
        <family val="1"/>
      </rPr>
      <t>/kg</t>
    </r>
  </si>
  <si>
    <r>
      <t>EH</t>
    </r>
    <r>
      <rPr>
        <vertAlign val="subscript"/>
        <sz val="11"/>
        <rFont val="Times New Roman"/>
        <family val="1"/>
      </rPr>
      <t>air</t>
    </r>
  </si>
  <si>
    <t>Carcinogenicity, mutagenicity, reproductive toxicity, sensitization to humans and environment.</t>
  </si>
  <si>
    <r>
      <t>20. EH</t>
    </r>
    <r>
      <rPr>
        <vertAlign val="subscript"/>
        <sz val="11"/>
        <rFont val="Times New Roman"/>
        <family val="1"/>
      </rPr>
      <t>water</t>
    </r>
  </si>
  <si>
    <t xml:space="preserve">Toxicity to aquatic environment. This is the volume of limit concentration water release equivalents per unit mass of desired product </t>
  </si>
  <si>
    <r>
      <t>EH</t>
    </r>
    <r>
      <rPr>
        <vertAlign val="subscript"/>
        <sz val="11"/>
        <rFont val="Times New Roman"/>
        <family val="1"/>
      </rPr>
      <t>solid</t>
    </r>
  </si>
  <si>
    <t>Solid waste for disposal via landfill or wastewater. It is the total mass of inorganic dry solid waste.</t>
  </si>
  <si>
    <t>kg/kg prod</t>
  </si>
  <si>
    <t>Environmental hazard, bioaccumulation (the food chain or in soil)</t>
  </si>
  <si>
    <r>
      <t>EH</t>
    </r>
    <r>
      <rPr>
        <vertAlign val="subscript"/>
        <sz val="11"/>
        <rFont val="Times New Roman"/>
        <family val="1"/>
      </rPr>
      <t>bioacc.</t>
    </r>
  </si>
  <si>
    <t>Accumulation in food chain, in soil, and organic matter.</t>
  </si>
  <si>
    <r>
      <rPr>
        <i/>
        <sz val="11"/>
        <rFont val="Times New Roman"/>
        <family val="1"/>
      </rPr>
      <t>m</t>
    </r>
    <r>
      <rPr>
        <vertAlign val="subscript"/>
        <sz val="11"/>
        <rFont val="Times New Roman"/>
        <family val="1"/>
      </rPr>
      <t>s, tot.</t>
    </r>
  </si>
  <si>
    <t xml:space="preserve">This is the total mass of releases as solid state. </t>
  </si>
  <si>
    <t>kg</t>
  </si>
  <si>
    <r>
      <rPr>
        <i/>
        <sz val="11"/>
        <rFont val="Times New Roman"/>
        <family val="1"/>
      </rPr>
      <t>m</t>
    </r>
    <r>
      <rPr>
        <vertAlign val="subscript"/>
        <sz val="11"/>
        <rFont val="Times New Roman"/>
        <family val="1"/>
      </rPr>
      <t>s, spec.</t>
    </r>
  </si>
  <si>
    <t>This is the total mass of releases as solid state per unit mass of desired or valuable products</t>
  </si>
  <si>
    <r>
      <rPr>
        <i/>
        <sz val="11"/>
        <rFont val="Times New Roman"/>
        <family val="1"/>
      </rPr>
      <t>m</t>
    </r>
    <r>
      <rPr>
        <vertAlign val="subscript"/>
        <sz val="11"/>
        <rFont val="Times New Roman"/>
        <family val="1"/>
      </rPr>
      <t>s, recov.</t>
    </r>
  </si>
  <si>
    <t xml:space="preserve">This is the total mass of releases as solid state that can be recovered from waste streams and recycled to the process. </t>
  </si>
  <si>
    <r>
      <rPr>
        <i/>
        <sz val="11"/>
        <rFont val="Times New Roman"/>
        <family val="1"/>
      </rPr>
      <t>m</t>
    </r>
    <r>
      <rPr>
        <vertAlign val="subscript"/>
        <sz val="11"/>
        <rFont val="Times New Roman"/>
        <family val="1"/>
      </rPr>
      <t>s, disp.</t>
    </r>
  </si>
  <si>
    <t>The amount of solid waste that cannot be recovered.</t>
  </si>
  <si>
    <r>
      <rPr>
        <i/>
        <sz val="11"/>
        <rFont val="Times New Roman"/>
        <family val="1"/>
      </rPr>
      <t>w</t>
    </r>
    <r>
      <rPr>
        <vertAlign val="subscript"/>
        <sz val="11"/>
        <rFont val="Times New Roman"/>
        <family val="1"/>
      </rPr>
      <t>s, recycl.</t>
    </r>
    <r>
      <rPr>
        <sz val="11"/>
        <rFont val="Times New Roman"/>
        <family val="1"/>
      </rPr>
      <t xml:space="preserve"> </t>
    </r>
  </si>
  <si>
    <t>This is the fraction of the total solid waste mass that is recovered for reuse in the process</t>
  </si>
  <si>
    <t>kg/kg solid releases</t>
  </si>
  <si>
    <r>
      <rPr>
        <i/>
        <sz val="11"/>
        <rFont val="Times New Roman"/>
        <family val="1"/>
      </rPr>
      <t>w</t>
    </r>
    <r>
      <rPr>
        <vertAlign val="subscript"/>
        <sz val="11"/>
        <rFont val="Times New Roman"/>
        <family val="1"/>
      </rPr>
      <t>s, non-recycl.</t>
    </r>
  </si>
  <si>
    <t>This is the fraction of the total solid waste mass that can not be recovered for reuse</t>
  </si>
  <si>
    <r>
      <rPr>
        <i/>
        <sz val="11"/>
        <rFont val="Times New Roman"/>
        <family val="1"/>
      </rPr>
      <t>w</t>
    </r>
    <r>
      <rPr>
        <vertAlign val="subscript"/>
        <sz val="11"/>
        <rFont val="Times New Roman"/>
        <family val="1"/>
      </rPr>
      <t>s, haz.</t>
    </r>
  </si>
  <si>
    <t>This is the fraction of the total solid waste mass that can not be recovered for reuse and is considered a hazardous waste</t>
  </si>
  <si>
    <t>kg hazard solid/kg solid releases</t>
  </si>
  <si>
    <r>
      <rPr>
        <i/>
        <sz val="11"/>
        <rFont val="Times New Roman"/>
        <family val="1"/>
      </rPr>
      <t>m</t>
    </r>
    <r>
      <rPr>
        <vertAlign val="subscript"/>
        <sz val="11"/>
        <rFont val="Times New Roman"/>
        <family val="1"/>
      </rPr>
      <t>s, haz.</t>
    </r>
  </si>
  <si>
    <t>This is the amount of the total solid waste mass that can not be recovered for reuse and is considered a hazardous waste</t>
  </si>
  <si>
    <t>kg hazardous solid releases</t>
  </si>
  <si>
    <r>
      <rPr>
        <i/>
        <sz val="11"/>
        <rFont val="Times New Roman"/>
        <family val="1"/>
      </rPr>
      <t>m</t>
    </r>
    <r>
      <rPr>
        <vertAlign val="subscript"/>
        <sz val="11"/>
        <rFont val="Times New Roman"/>
        <family val="1"/>
      </rPr>
      <t>s, haz. spec.</t>
    </r>
  </si>
  <si>
    <t>This is the amount produced hazardous waste per unit mass of valuable product.</t>
  </si>
  <si>
    <t>kg non-hazard solid/kg prod</t>
  </si>
  <si>
    <r>
      <rPr>
        <i/>
        <sz val="11"/>
        <rFont val="Times New Roman"/>
        <family val="1"/>
      </rPr>
      <t>m</t>
    </r>
    <r>
      <rPr>
        <vertAlign val="subscript"/>
        <sz val="11"/>
        <rFont val="Times New Roman"/>
        <family val="1"/>
      </rPr>
      <t>s,n-haz.</t>
    </r>
  </si>
  <si>
    <t>This is the amount of the total solid waste mass that can not be recovered for reuse and is considered a non-hazardous waste</t>
  </si>
  <si>
    <t>kg non-hazardous solid</t>
  </si>
  <si>
    <r>
      <t>E</t>
    </r>
    <r>
      <rPr>
        <vertAlign val="subscript"/>
        <sz val="11"/>
        <color theme="1"/>
        <rFont val="Times New Roman"/>
        <family val="1"/>
      </rPr>
      <t>total</t>
    </r>
  </si>
  <si>
    <t xml:space="preserve">All utilities provided to the system are expressed as flow rates of mass (e.g., steam) and energy and are aggregated by converting into primary fuel equivalent or caloric units. When the user needs to calculate the enthalpy value for any of these flow streams, this requires CP, T, P, normal phase change temperatures, and composition (xi). External data requirements consisting of the conversion factor into fuel energy for each utility stream (e.g., steam, cooling water, electricity) is needed in order to obtain the energy consumption in primary fuel equivalents. </t>
  </si>
  <si>
    <r>
      <t>R</t>
    </r>
    <r>
      <rPr>
        <vertAlign val="subscript"/>
        <sz val="11"/>
        <color theme="1"/>
        <rFont val="Times New Roman"/>
        <family val="1"/>
      </rPr>
      <t>SEI</t>
    </r>
  </si>
  <si>
    <t>This indicator describes quantitatively the total energy consumed by the process or process operating unit in primary fuel equivalents needed to produce a product per unit mass of valuable product(s). Total product energy (caloric) value per mass of product is the best case scenario and ten times the total product energy value per mass of product is the worst case scenario value for this indicator.</t>
  </si>
  <si>
    <r>
      <t>R</t>
    </r>
    <r>
      <rPr>
        <vertAlign val="subscript"/>
        <sz val="11"/>
        <color theme="1"/>
        <rFont val="Times New Roman"/>
        <family val="1"/>
      </rPr>
      <t>EI</t>
    </r>
  </si>
  <si>
    <t>This is a measure of the net fuel-energy consumed to provide the heat and the power required to the process or process unit(s) per unit of sales revenue or value added. The total product energy (caloric) value per sales revenue is the best case scenario and ten times the total product energy value per sales revenue is the worst case scenario value for this indicator.</t>
  </si>
  <si>
    <t>WTE</t>
  </si>
  <si>
    <t>This indicator describes the net amount of energy required by the process unit(s), which are related to the processing the output waste streams per unit mass of valuable product(s). A zero energy (caloric) value per mass of product is the best case scenario and a ten percent (10%) of the total energy consumed per mass of product is the worst case scenario value for this indicator.</t>
  </si>
  <si>
    <t>SRE</t>
  </si>
  <si>
    <t>Solvent recovery energy, SRE. This indicator describes the net amount of energy required by the process units, which are related to the processing of solvent recovery for reuse per unit mass of valuable product(s). A zero energy (caloric) value per mass of product is the best case 69 scenario and a ten percent (10%) of the total energy consumption per mass of product is the worst case scenario value for this indicator.</t>
  </si>
  <si>
    <r>
      <t>η</t>
    </r>
    <r>
      <rPr>
        <vertAlign val="subscript"/>
        <sz val="11"/>
        <color theme="1"/>
        <rFont val="Times New Roman"/>
        <family val="1"/>
      </rPr>
      <t>E</t>
    </r>
  </si>
  <si>
    <t>This is a ratio between the energy content of the products to the total energy content of the feedstocks represented in the same energetic unit. This defines the quantity of the raw material energy that is remaining in the desired product. A value of 1 is the best case scenario and zero is the worst case scenario value for this indicator.</t>
  </si>
  <si>
    <r>
      <t>RI</t>
    </r>
    <r>
      <rPr>
        <vertAlign val="subscript"/>
        <sz val="11"/>
        <color theme="1"/>
        <rFont val="Times New Roman"/>
        <family val="1"/>
      </rPr>
      <t>E</t>
    </r>
  </si>
  <si>
    <t>Renewability-energy index, RIE. This is the ratio of the consumption of renewable energy to the total quantity of energy supplied to the process. A value of 1 is considered the best case scenario and a zero value is the worst case reference value.</t>
  </si>
  <si>
    <r>
      <t>BF</t>
    </r>
    <r>
      <rPr>
        <vertAlign val="subscript"/>
        <sz val="11"/>
        <color theme="1"/>
        <rFont val="Times New Roman"/>
        <family val="1"/>
      </rPr>
      <t>E</t>
    </r>
  </si>
  <si>
    <t>This is the ratio between the total energy process outputs over the nonrenewable energy content from process inputs. A value of 10 is considered the best case scenario and a zero value is the worst case reference value.</t>
  </si>
  <si>
    <r>
      <t>E</t>
    </r>
    <r>
      <rPr>
        <vertAlign val="subscript"/>
        <sz val="11"/>
        <color theme="1"/>
        <rFont val="Times New Roman"/>
        <family val="1"/>
      </rPr>
      <t>recycl</t>
    </r>
  </si>
  <si>
    <t>This indicator describes the net amount of energy required by the process units, which are related to the recycling of unreacted reagents or unprocessed feedstocks per unit mass of valuable product(s).  A zero energy (caloric) value per mass of 70 product is the best case scenario and ten percent (10%) of the total energy consumption per mass of product is the worst case scenario value for this indicator.</t>
  </si>
  <si>
    <t>TPC</t>
  </si>
  <si>
    <t>TPC combines the operating costs of the plant, distribution and selling the products, administrative costs, and research and development costs.</t>
  </si>
  <si>
    <t>TPC= COM + GE</t>
  </si>
  <si>
    <t>Daily operation of EoL Processes (COM)</t>
  </si>
  <si>
    <t>COM</t>
  </si>
  <si>
    <t>These are the costs related with the day-to-day operation of the end-of-life (EoL) process.</t>
  </si>
  <si>
    <r>
      <t>C</t>
    </r>
    <r>
      <rPr>
        <vertAlign val="subscript"/>
        <sz val="11"/>
        <rFont val="Times New Roman"/>
        <family val="1"/>
      </rPr>
      <t>SRM</t>
    </r>
  </si>
  <si>
    <r>
      <t>C</t>
    </r>
    <r>
      <rPr>
        <sz val="10"/>
        <rFont val="Times New Roman"/>
        <family val="1"/>
      </rPr>
      <t>SRM</t>
    </r>
    <r>
      <rPr>
        <sz val="12"/>
        <rFont val="Times New Roman"/>
        <family val="1"/>
      </rPr>
      <t xml:space="preserve">  could be used as economic indicator at the basic process design stage, assuming 100% reaction yield, thus the minimum raw material cost is computed. Some process design routes can be discarded when </t>
    </r>
    <r>
      <rPr>
        <i/>
        <sz val="12"/>
        <rFont val="Times New Roman"/>
        <family val="1"/>
      </rPr>
      <t xml:space="preserve">CSRM </t>
    </r>
    <r>
      <rPr>
        <sz val="12"/>
        <rFont val="Times New Roman"/>
        <family val="1"/>
      </rPr>
      <t xml:space="preserve"> exceeds the targeted product value.</t>
    </r>
  </si>
  <si>
    <r>
      <t>C</t>
    </r>
    <r>
      <rPr>
        <vertAlign val="subscript"/>
        <sz val="11"/>
        <rFont val="Times New Roman"/>
        <family val="1"/>
      </rPr>
      <t>mat. tot.</t>
    </r>
  </si>
  <si>
    <t>This is the absolute cost of total material used in the process or process unit</t>
  </si>
  <si>
    <r>
      <t>CE</t>
    </r>
    <r>
      <rPr>
        <vertAlign val="subscript"/>
        <sz val="11"/>
        <rFont val="Times New Roman"/>
        <family val="1"/>
      </rPr>
      <t>, tot.</t>
    </r>
  </si>
  <si>
    <t>These are the costs related with the utility energy demand costs during the day-to-day operation of a manufacturing plant: fuels, electricity, steam, etc.</t>
  </si>
  <si>
    <r>
      <t>CE</t>
    </r>
    <r>
      <rPr>
        <vertAlign val="subscript"/>
        <sz val="11"/>
        <rFont val="Times New Roman"/>
        <family val="1"/>
      </rPr>
      <t>, source</t>
    </r>
  </si>
  <si>
    <t>This is the average cost related to the utility energy demand costs during the day-to-day operation of a manufacturing plant per unit of consumed energy as equivalent primary energy source.</t>
  </si>
  <si>
    <r>
      <t>CE</t>
    </r>
    <r>
      <rPr>
        <vertAlign val="subscript"/>
        <sz val="11"/>
        <rFont val="Times New Roman"/>
        <family val="1"/>
      </rPr>
      <t>, spec.</t>
    </r>
  </si>
  <si>
    <t>These are the costs related with the utility energy demand costs during the day-to-day operation of a manufacturing plant per value unit of total production cost.</t>
  </si>
  <si>
    <r>
      <rPr>
        <i/>
        <sz val="11"/>
        <color indexed="8"/>
        <rFont val="Times New Roman"/>
        <family val="1"/>
      </rPr>
      <t>C</t>
    </r>
    <r>
      <rPr>
        <vertAlign val="subscript"/>
        <sz val="11"/>
        <color indexed="8"/>
        <rFont val="Times New Roman"/>
        <family val="1"/>
      </rPr>
      <t>s tot.</t>
    </r>
  </si>
  <si>
    <t>These are the costs related to the handle and disposal of solid waste produced during the day-to-day operation of a manufacturing plant: external waste removal fees, internal storage, personnel, waste treatment, and transportation costs.</t>
  </si>
  <si>
    <r>
      <rPr>
        <i/>
        <sz val="11"/>
        <color indexed="8"/>
        <rFont val="Times New Roman"/>
        <family val="1"/>
      </rPr>
      <t>C</t>
    </r>
    <r>
      <rPr>
        <vertAlign val="subscript"/>
        <sz val="11"/>
        <color indexed="8"/>
        <rFont val="Times New Roman"/>
        <family val="1"/>
      </rPr>
      <t>s, spec.</t>
    </r>
  </si>
  <si>
    <t>These are the costs related with the handle of solid waste produced during the day-to-day operation of a manufacturing plant per value unit of total production cost.</t>
  </si>
  <si>
    <r>
      <rPr>
        <i/>
        <sz val="11"/>
        <color indexed="8"/>
        <rFont val="Times New Roman"/>
        <family val="1"/>
      </rPr>
      <t>C</t>
    </r>
    <r>
      <rPr>
        <vertAlign val="subscript"/>
        <sz val="11"/>
        <color indexed="8"/>
        <rFont val="Times New Roman"/>
        <family val="1"/>
      </rPr>
      <t>l tot.</t>
    </r>
  </si>
  <si>
    <t>These are the costs related to the handle of liquid waste produced during the day-to-day operation of a manufacturing plant: external waste removal fees, internal storage, personnel, waste treatment, and transportation costs.</t>
  </si>
  <si>
    <r>
      <rPr>
        <i/>
        <sz val="11"/>
        <color indexed="8"/>
        <rFont val="Times New Roman"/>
        <family val="1"/>
      </rPr>
      <t>C</t>
    </r>
    <r>
      <rPr>
        <vertAlign val="subscript"/>
        <sz val="11"/>
        <color indexed="8"/>
        <rFont val="Times New Roman"/>
        <family val="1"/>
      </rPr>
      <t>l, spec.</t>
    </r>
  </si>
  <si>
    <t>These are the costs related to the handle of liquid waste produced during the day-to-day operation of a manufacturing plant per value unit of total production cost.</t>
  </si>
  <si>
    <t>REV</t>
  </si>
  <si>
    <t>The net revenues from the sale of products categorized as eco-products</t>
  </si>
  <si>
    <t>Revenue fraction of eco-products</t>
  </si>
  <si>
    <r>
      <t xml:space="preserve"> REV</t>
    </r>
    <r>
      <rPr>
        <vertAlign val="subscript"/>
        <sz val="11"/>
        <color rgb="FF000000"/>
        <rFont val="Times New Roman"/>
        <family val="1"/>
      </rPr>
      <t>eco-prod</t>
    </r>
  </si>
  <si>
    <t xml:space="preserve">The net revenues from the sale of products categorized as eco-products over the total sales revenue or value added </t>
  </si>
  <si>
    <t>GREENSCOPE Efficiency Indicator Results</t>
  </si>
  <si>
    <t>Month</t>
  </si>
  <si>
    <t>Angle</t>
  </si>
  <si>
    <t>Radius</t>
  </si>
  <si>
    <t>Efficiency</t>
  </si>
  <si>
    <t>Indicators</t>
  </si>
  <si>
    <t>Start</t>
  </si>
  <si>
    <r>
      <t>m</t>
    </r>
    <r>
      <rPr>
        <vertAlign val="subscript"/>
        <sz val="9"/>
        <color theme="1"/>
        <rFont val="Times New Roman"/>
        <family val="1"/>
      </rPr>
      <t>mat,tot</t>
    </r>
  </si>
  <si>
    <r>
      <t>RI</t>
    </r>
    <r>
      <rPr>
        <vertAlign val="subscript"/>
        <sz val="9"/>
        <color rgb="FF000000"/>
        <rFont val="Times New Roman"/>
        <family val="1"/>
      </rPr>
      <t>M</t>
    </r>
  </si>
  <si>
    <r>
      <t>BF</t>
    </r>
    <r>
      <rPr>
        <vertAlign val="subscript"/>
        <sz val="9"/>
        <color rgb="FF000000"/>
        <rFont val="Times New Roman"/>
        <family val="1"/>
      </rPr>
      <t>M</t>
    </r>
  </si>
  <si>
    <r>
      <t>w</t>
    </r>
    <r>
      <rPr>
        <vertAlign val="subscript"/>
        <sz val="9"/>
        <color rgb="FF000000"/>
        <rFont val="Times New Roman"/>
        <family val="1"/>
      </rPr>
      <t>recycl,mat</t>
    </r>
  </si>
  <si>
    <r>
      <t>w</t>
    </r>
    <r>
      <rPr>
        <vertAlign val="subscript"/>
        <sz val="9"/>
        <color rgb="FF000000"/>
        <rFont val="Times New Roman"/>
        <family val="1"/>
      </rPr>
      <t>recov,prod</t>
    </r>
  </si>
  <si>
    <t>GREENSCOPE Environmental Indicator Results</t>
  </si>
  <si>
    <t>Environmental</t>
  </si>
  <si>
    <t>Environmental Score</t>
  </si>
  <si>
    <r>
      <t>m</t>
    </r>
    <r>
      <rPr>
        <vertAlign val="subscript"/>
        <sz val="9"/>
        <color rgb="FF000000"/>
        <rFont val="Times New Roman"/>
        <family val="1"/>
      </rPr>
      <t>haz,mat</t>
    </r>
  </si>
  <si>
    <r>
      <t>m</t>
    </r>
    <r>
      <rPr>
        <vertAlign val="subscript"/>
        <sz val="9"/>
        <color rgb="FF000000"/>
        <rFont val="Times New Roman"/>
        <family val="1"/>
      </rPr>
      <t>haz,mat,spec</t>
    </r>
  </si>
  <si>
    <r>
      <t>SH</t>
    </r>
    <r>
      <rPr>
        <vertAlign val="subscript"/>
        <sz val="9"/>
        <color theme="1"/>
        <rFont val="Times New Roman"/>
        <family val="1"/>
      </rPr>
      <t>acute tox</t>
    </r>
  </si>
  <si>
    <r>
      <t>EH</t>
    </r>
    <r>
      <rPr>
        <vertAlign val="subscript"/>
        <sz val="9"/>
        <color rgb="FF000000"/>
        <rFont val="Times New Roman"/>
        <family val="1"/>
      </rPr>
      <t>air</t>
    </r>
  </si>
  <si>
    <r>
      <t>EH</t>
    </r>
    <r>
      <rPr>
        <vertAlign val="subscript"/>
        <sz val="9"/>
        <color rgb="FF000000"/>
        <rFont val="Times New Roman"/>
        <family val="1"/>
      </rPr>
      <t>water</t>
    </r>
  </si>
  <si>
    <r>
      <t>EH</t>
    </r>
    <r>
      <rPr>
        <vertAlign val="subscript"/>
        <sz val="9"/>
        <color rgb="FF000000"/>
        <rFont val="Times New Roman"/>
        <family val="1"/>
      </rPr>
      <t>solid</t>
    </r>
  </si>
  <si>
    <r>
      <t>EH</t>
    </r>
    <r>
      <rPr>
        <vertAlign val="subscript"/>
        <sz val="9"/>
        <color rgb="FF000000"/>
        <rFont val="Times New Roman"/>
        <family val="1"/>
      </rPr>
      <t>bioacc</t>
    </r>
  </si>
  <si>
    <r>
      <t>m</t>
    </r>
    <r>
      <rPr>
        <vertAlign val="subscript"/>
        <sz val="9"/>
        <color rgb="FF000000"/>
        <rFont val="Times New Roman"/>
        <family val="1"/>
      </rPr>
      <t>s,tot</t>
    </r>
  </si>
  <si>
    <r>
      <t>m</t>
    </r>
    <r>
      <rPr>
        <vertAlign val="subscript"/>
        <sz val="9"/>
        <color rgb="FF000000"/>
        <rFont val="Times New Roman"/>
        <family val="1"/>
      </rPr>
      <t>s,spec</t>
    </r>
  </si>
  <si>
    <r>
      <t>m</t>
    </r>
    <r>
      <rPr>
        <vertAlign val="subscript"/>
        <sz val="9"/>
        <color rgb="FF000000"/>
        <rFont val="Times New Roman"/>
        <family val="1"/>
      </rPr>
      <t>s,recov</t>
    </r>
  </si>
  <si>
    <r>
      <t>m</t>
    </r>
    <r>
      <rPr>
        <vertAlign val="subscript"/>
        <sz val="9"/>
        <color rgb="FF000000"/>
        <rFont val="Times New Roman"/>
        <family val="1"/>
      </rPr>
      <t>s,disp</t>
    </r>
  </si>
  <si>
    <r>
      <t>w</t>
    </r>
    <r>
      <rPr>
        <vertAlign val="subscript"/>
        <sz val="9"/>
        <color rgb="FF000000"/>
        <rFont val="Times New Roman"/>
        <family val="1"/>
      </rPr>
      <t>s,recycl</t>
    </r>
  </si>
  <si>
    <r>
      <t>w</t>
    </r>
    <r>
      <rPr>
        <vertAlign val="subscript"/>
        <sz val="9"/>
        <color rgb="FF000000"/>
        <rFont val="Times New Roman"/>
        <family val="1"/>
      </rPr>
      <t>s,non-recycl</t>
    </r>
  </si>
  <si>
    <r>
      <t>w</t>
    </r>
    <r>
      <rPr>
        <vertAlign val="subscript"/>
        <sz val="9"/>
        <color rgb="FF000000"/>
        <rFont val="Times New Roman"/>
        <family val="1"/>
      </rPr>
      <t>s,haz</t>
    </r>
  </si>
  <si>
    <r>
      <t>m</t>
    </r>
    <r>
      <rPr>
        <vertAlign val="subscript"/>
        <sz val="9"/>
        <color rgb="FF000000"/>
        <rFont val="Times New Roman"/>
        <family val="1"/>
      </rPr>
      <t>s,haz</t>
    </r>
  </si>
  <si>
    <r>
      <t>m</t>
    </r>
    <r>
      <rPr>
        <vertAlign val="subscript"/>
        <sz val="9"/>
        <color rgb="FF000000"/>
        <rFont val="Times New Roman"/>
        <family val="1"/>
      </rPr>
      <t>s,haz,spec</t>
    </r>
  </si>
  <si>
    <r>
      <t>m</t>
    </r>
    <r>
      <rPr>
        <vertAlign val="subscript"/>
        <sz val="9"/>
        <color rgb="FF000000"/>
        <rFont val="Times New Roman"/>
        <family val="1"/>
      </rPr>
      <t>s,n-haz</t>
    </r>
  </si>
  <si>
    <t>GREENSCOPE Energy Indicator Results</t>
  </si>
  <si>
    <t>Energy</t>
  </si>
  <si>
    <t>Energy Score</t>
  </si>
  <si>
    <t>Etotal</t>
  </si>
  <si>
    <t>RSEI</t>
  </si>
  <si>
    <t>REI</t>
  </si>
  <si>
    <t>ηE</t>
  </si>
  <si>
    <t>RIE</t>
  </si>
  <si>
    <t>BFE</t>
  </si>
  <si>
    <t>Erecycl</t>
  </si>
  <si>
    <t>GREENSCOPE Economic Indicator Results</t>
  </si>
  <si>
    <t>Economic</t>
  </si>
  <si>
    <t>End-of-Life Activities</t>
  </si>
  <si>
    <t>Releases (kg/yr)</t>
  </si>
  <si>
    <t>Inhalation Exposure (mg/day/operator)</t>
  </si>
  <si>
    <t>Dermal Exposure</t>
  </si>
  <si>
    <t>Releases (kg/kg input)</t>
  </si>
  <si>
    <t>(mg/day/operator)</t>
  </si>
  <si>
    <t>intermediate calc</t>
  </si>
  <si>
    <t>Air</t>
  </si>
  <si>
    <t>Land/Water</t>
  </si>
  <si>
    <t>kg/kg input</t>
  </si>
  <si>
    <t>Solid Disposal</t>
  </si>
  <si>
    <t>0 – 100000</t>
  </si>
  <si>
    <t>0 – 0.2</t>
  </si>
  <si>
    <t>139 – 290</t>
  </si>
  <si>
    <r>
      <t xml:space="preserve">0 – </t>
    </r>
    <r>
      <rPr>
        <sz val="9"/>
        <color rgb="FF000000"/>
        <rFont val="Times New Roman"/>
        <family val="1"/>
      </rPr>
      <t>3.1E-03</t>
    </r>
  </si>
  <si>
    <t>0 – 2.0E-01</t>
  </si>
  <si>
    <t>1.4E+02 – 2.9E+02</t>
  </si>
  <si>
    <t>Liquid Disposal</t>
  </si>
  <si>
    <t>0.28 – 2,850</t>
  </si>
  <si>
    <t>712 – 2135</t>
  </si>
  <si>
    <r>
      <t>2.8E-01</t>
    </r>
    <r>
      <rPr>
        <sz val="9"/>
        <color theme="1"/>
        <rFont val="Times New Roman"/>
        <family val="1"/>
      </rPr>
      <t xml:space="preserve"> – 2.9</t>
    </r>
    <r>
      <rPr>
        <sz val="9"/>
        <color rgb="FF000000"/>
        <rFont val="Times New Roman"/>
        <family val="1"/>
      </rPr>
      <t>E+03</t>
    </r>
  </si>
  <si>
    <t>7.1E+02 – 2.1E+03</t>
  </si>
  <si>
    <t>Post-Disposal Treatment</t>
  </si>
  <si>
    <t>0 – 1.14</t>
  </si>
  <si>
    <r>
      <t xml:space="preserve">0 – </t>
    </r>
    <r>
      <rPr>
        <sz val="9"/>
        <color rgb="FF000000"/>
        <rFont val="Times New Roman"/>
        <family val="1"/>
      </rPr>
      <t>3.6E-08</t>
    </r>
  </si>
  <si>
    <t>Solid Materials</t>
  </si>
  <si>
    <t>0 - 230,000</t>
  </si>
  <si>
    <t>0 - 7.2E-03</t>
  </si>
  <si>
    <t>3,400 – 34,000</t>
  </si>
  <si>
    <t>0 - 6,500</t>
  </si>
  <si>
    <t>0 – 150</t>
  </si>
  <si>
    <t>0 – 5000</t>
  </si>
  <si>
    <r>
      <t xml:space="preserve">1.1E-04 </t>
    </r>
    <r>
      <rPr>
        <sz val="9"/>
        <color theme="1"/>
        <rFont val="Times New Roman"/>
        <family val="1"/>
      </rPr>
      <t xml:space="preserve">– </t>
    </r>
    <r>
      <rPr>
        <sz val="9"/>
        <color rgb="FF000000"/>
        <rFont val="Times New Roman"/>
        <family val="1"/>
      </rPr>
      <t>1.1E-03</t>
    </r>
  </si>
  <si>
    <r>
      <t xml:space="preserve">0 – </t>
    </r>
    <r>
      <rPr>
        <sz val="9"/>
        <color rgb="FF000000"/>
        <rFont val="Times New Roman"/>
        <family val="1"/>
      </rPr>
      <t>2.2E-04</t>
    </r>
  </si>
  <si>
    <r>
      <t>0 – 1.5</t>
    </r>
    <r>
      <rPr>
        <sz val="9"/>
        <color rgb="FF000000"/>
        <rFont val="Times New Roman"/>
        <family val="1"/>
      </rPr>
      <t>E+02</t>
    </r>
  </si>
  <si>
    <t>0 – 5.0E+03</t>
  </si>
  <si>
    <t>0 - 39,000</t>
  </si>
  <si>
    <r>
      <t xml:space="preserve">0 – </t>
    </r>
    <r>
      <rPr>
        <sz val="9"/>
        <color rgb="FF000000"/>
        <rFont val="Times New Roman"/>
        <family val="1"/>
      </rPr>
      <t>1.2E-03</t>
    </r>
  </si>
  <si>
    <t>Material Recycling</t>
  </si>
  <si>
    <t>Plastic</t>
  </si>
  <si>
    <t>0 – 42000</t>
  </si>
  <si>
    <t>0.075 – 105</t>
  </si>
  <si>
    <t>1.6 – 2,170</t>
  </si>
  <si>
    <r>
      <t>0 – 1.3</t>
    </r>
    <r>
      <rPr>
        <sz val="9"/>
        <color rgb="FF000000"/>
        <rFont val="Times New Roman"/>
        <family val="1"/>
      </rPr>
      <t>E-03</t>
    </r>
  </si>
  <si>
    <r>
      <t>7.5</t>
    </r>
    <r>
      <rPr>
        <sz val="9"/>
        <color rgb="FF000000"/>
        <rFont val="Times New Roman"/>
        <family val="1"/>
      </rPr>
      <t xml:space="preserve">E-02 </t>
    </r>
    <r>
      <rPr>
        <sz val="9"/>
        <color theme="1"/>
        <rFont val="Times New Roman"/>
        <family val="1"/>
      </rPr>
      <t>– 1.1</t>
    </r>
    <r>
      <rPr>
        <sz val="9"/>
        <color rgb="FF000000"/>
        <rFont val="Times New Roman"/>
        <family val="1"/>
      </rPr>
      <t>E+02</t>
    </r>
  </si>
  <si>
    <t>1.6E+00 – 2.2E+03</t>
  </si>
  <si>
    <t>57 – 1767</t>
  </si>
  <si>
    <t>0 - 5700</t>
  </si>
  <si>
    <t xml:space="preserve">0 – 1.8 </t>
  </si>
  <si>
    <t>139.1 - 290</t>
  </si>
  <si>
    <r>
      <t>1.8E-06</t>
    </r>
    <r>
      <rPr>
        <sz val="9"/>
        <color theme="1"/>
        <rFont val="Times New Roman"/>
        <family val="1"/>
      </rPr>
      <t xml:space="preserve"> – </t>
    </r>
    <r>
      <rPr>
        <sz val="9"/>
        <color rgb="FF000000"/>
        <rFont val="Times New Roman"/>
        <family val="1"/>
      </rPr>
      <t>5.5E-05</t>
    </r>
  </si>
  <si>
    <r>
      <t xml:space="preserve">0 - </t>
    </r>
    <r>
      <rPr>
        <sz val="9"/>
        <color rgb="FF000000"/>
        <rFont val="Times New Roman"/>
        <family val="1"/>
      </rPr>
      <t>1.8E-04</t>
    </r>
  </si>
  <si>
    <r>
      <t>0 – 1.8</t>
    </r>
    <r>
      <rPr>
        <sz val="9"/>
        <color rgb="FF000000"/>
        <rFont val="Times New Roman"/>
        <family val="1"/>
      </rPr>
      <t>E+00</t>
    </r>
  </si>
  <si>
    <t>Literature Data</t>
  </si>
  <si>
    <t>0 – 16000</t>
  </si>
  <si>
    <r>
      <t>5.5 x 10</t>
    </r>
    <r>
      <rPr>
        <vertAlign val="superscript"/>
        <sz val="9"/>
        <color theme="1"/>
        <rFont val="Times New Roman"/>
        <family val="1"/>
      </rPr>
      <t>-6</t>
    </r>
    <r>
      <rPr>
        <sz val="9"/>
        <color theme="1"/>
        <rFont val="Times New Roman"/>
        <family val="1"/>
      </rPr>
      <t xml:space="preserve">  – 7.8 x 10</t>
    </r>
    <r>
      <rPr>
        <vertAlign val="superscript"/>
        <sz val="9"/>
        <color theme="1"/>
        <rFont val="Times New Roman"/>
        <family val="1"/>
      </rPr>
      <t>-4</t>
    </r>
  </si>
  <si>
    <r>
      <t xml:space="preserve">1.0E-08 </t>
    </r>
    <r>
      <rPr>
        <sz val="9"/>
        <color theme="1"/>
        <rFont val="Times New Roman"/>
        <family val="1"/>
      </rPr>
      <t xml:space="preserve">– </t>
    </r>
    <r>
      <rPr>
        <sz val="9"/>
        <color rgb="FF000000"/>
        <rFont val="Times New Roman"/>
        <family val="1"/>
      </rPr>
      <t>1.0E-04</t>
    </r>
  </si>
  <si>
    <r>
      <t xml:space="preserve">0 – </t>
    </r>
    <r>
      <rPr>
        <sz val="9"/>
        <color rgb="FF000000"/>
        <rFont val="Times New Roman"/>
        <family val="1"/>
      </rPr>
      <t>5.0E-04</t>
    </r>
  </si>
  <si>
    <r>
      <t xml:space="preserve">5.5E-06 </t>
    </r>
    <r>
      <rPr>
        <sz val="9"/>
        <color theme="1"/>
        <rFont val="Times New Roman"/>
        <family val="1"/>
      </rPr>
      <t>– 7.8</t>
    </r>
    <r>
      <rPr>
        <sz val="9"/>
        <color rgb="FF000000"/>
        <rFont val="Times New Roman"/>
        <family val="1"/>
      </rPr>
      <t>E-04</t>
    </r>
  </si>
  <si>
    <t>0 – 1,040,000</t>
  </si>
  <si>
    <r>
      <t xml:space="preserve">0 – </t>
    </r>
    <r>
      <rPr>
        <sz val="9"/>
        <color rgb="FF000000"/>
        <rFont val="Times New Roman"/>
        <family val="1"/>
      </rPr>
      <t>3.3E-02</t>
    </r>
  </si>
  <si>
    <t>10,455 - 209,109</t>
  </si>
  <si>
    <t>750 – 2,250</t>
  </si>
  <si>
    <r>
      <t xml:space="preserve">2.3E-04 </t>
    </r>
    <r>
      <rPr>
        <sz val="9"/>
        <color theme="1"/>
        <rFont val="Times New Roman"/>
        <family val="1"/>
      </rPr>
      <t xml:space="preserve">– </t>
    </r>
    <r>
      <rPr>
        <sz val="9"/>
        <color rgb="FF000000"/>
        <rFont val="Times New Roman"/>
        <family val="1"/>
      </rPr>
      <t>1.3E-03</t>
    </r>
  </si>
  <si>
    <t>7.5E+02 – 2.3E+03</t>
  </si>
  <si>
    <t>115,000 – 460,000</t>
  </si>
  <si>
    <t>11 - 72,000</t>
  </si>
  <si>
    <r>
      <t xml:space="preserve">3.6E-03 </t>
    </r>
    <r>
      <rPr>
        <sz val="9"/>
        <color theme="1"/>
        <rFont val="Times New Roman"/>
        <family val="1"/>
      </rPr>
      <t xml:space="preserve">– </t>
    </r>
    <r>
      <rPr>
        <sz val="9"/>
        <color rgb="FF000000"/>
        <rFont val="Times New Roman"/>
        <family val="1"/>
      </rPr>
      <t>1.4E-02</t>
    </r>
  </si>
  <si>
    <t>1.1E+01 - 7.2E+04</t>
  </si>
  <si>
    <t>Air (kg/kg input)</t>
  </si>
  <si>
    <t>Land/water (kg/kg input)</t>
  </si>
  <si>
    <t>Inhalation exposure (mg/day/operator)</t>
  </si>
  <si>
    <t>Dermal Exposure (mg/day/operator)</t>
  </si>
  <si>
    <t>Substance</t>
  </si>
  <si>
    <t>Alternate Name</t>
  </si>
  <si>
    <t>CAS</t>
  </si>
  <si>
    <t>Material Type</t>
  </si>
  <si>
    <t>State (S/L)</t>
  </si>
  <si>
    <t>AM Technique #1</t>
  </si>
  <si>
    <t>AM Technique #2</t>
  </si>
  <si>
    <t>AM Technique #3</t>
  </si>
  <si>
    <t>Application</t>
  </si>
  <si>
    <t>Hazards</t>
  </si>
  <si>
    <t>Regulated</t>
  </si>
  <si>
    <t>Acrylic Styrene Acrylonitrile</t>
  </si>
  <si>
    <t>ASA</t>
  </si>
  <si>
    <t>Polymer</t>
  </si>
  <si>
    <t>UV, impact, wear resistant</t>
  </si>
  <si>
    <t>Dangerous fumes during printing</t>
  </si>
  <si>
    <t>https://www.xometry.com/resources/3d-printing/3d-printing-materials/</t>
  </si>
  <si>
    <t>Acrylonitrile butadiene styrene</t>
  </si>
  <si>
    <t>ABS</t>
  </si>
  <si>
    <t>Functional Prototype</t>
  </si>
  <si>
    <t>formlabs.com/blog/3d-printing-materials</t>
  </si>
  <si>
    <t>Alumide</t>
  </si>
  <si>
    <t>Composite</t>
  </si>
  <si>
    <t>Blend of nylon and aluminum to make tough, tight-tolerance prototype parts</t>
  </si>
  <si>
    <t>https://www.hp.com/us-en/shop/tech-takes/whats-the-latest-in-3d-printing-materials</t>
  </si>
  <si>
    <t>Alumina silica ceramic powder</t>
  </si>
  <si>
    <t>Ceramic</t>
  </si>
  <si>
    <t>PBSLP</t>
  </si>
  <si>
    <t>Swetham et al 2017</t>
  </si>
  <si>
    <t>Aerospace, automotive, medical applications</t>
  </si>
  <si>
    <t>Brass</t>
  </si>
  <si>
    <t>Bronze</t>
  </si>
  <si>
    <t>Swetham et al 2018</t>
  </si>
  <si>
    <t>Carbon Fiber Filled Materials</t>
  </si>
  <si>
    <t>Carbon fiber particles mixed with ABS, PLA, PETG to increase strength</t>
  </si>
  <si>
    <t>Ceramic Resin</t>
  </si>
  <si>
    <t>Photopolymer Resin</t>
  </si>
  <si>
    <t>Engineering research, art and design pieces</t>
  </si>
  <si>
    <t>Clear Resin</t>
  </si>
  <si>
    <t>Parts requiring optical transparency, millifluidics</t>
  </si>
  <si>
    <t>Cobalt chrome alloy (Co28Cr6Mo)</t>
  </si>
  <si>
    <t>Loughborough University - Additive Manufacturing Research Group</t>
  </si>
  <si>
    <t>Composite (carbon fiber, kevlar, fiberglass)</t>
  </si>
  <si>
    <t>Functional prototypes, fixture, tooling</t>
  </si>
  <si>
    <t>Concrete</t>
  </si>
  <si>
    <t>Conductive Filament</t>
  </si>
  <si>
    <t>Wearable electronics, touch-sensitive buttons made from PLA and graphene</t>
  </si>
  <si>
    <t>Copper</t>
  </si>
  <si>
    <t>Swetham et al 2019</t>
  </si>
  <si>
    <t>Draft Resin</t>
  </si>
  <si>
    <t>Initial Prototypes, Rapid Iterations</t>
  </si>
  <si>
    <t>ESD Resin</t>
  </si>
  <si>
    <t>Tooling &amp; fixturing for electronics manufacturing, anti-static prototypes, end-use, custom trays</t>
  </si>
  <si>
    <t>Flexible and Elastic Resins</t>
  </si>
  <si>
    <t>Consumer goods prototyping, compliant features for robotics, medical devices, props, models</t>
  </si>
  <si>
    <t>Gold</t>
  </si>
  <si>
    <t>Swetham et al 2020</t>
  </si>
  <si>
    <t>High density polyethylene</t>
  </si>
  <si>
    <t>High impact polystyrene</t>
  </si>
  <si>
    <t>HIPS</t>
  </si>
  <si>
    <t>Support material</t>
  </si>
  <si>
    <t>High Temp Resin</t>
  </si>
  <si>
    <t>Hot air, gas, fluid flow, heat resistant mounts, housings and fixtures, molds and inserts</t>
  </si>
  <si>
    <t>Inconel</t>
  </si>
  <si>
    <t>Black boxes in airplanes and parts for rocket engines</t>
  </si>
  <si>
    <t>Jewelry Resins</t>
  </si>
  <si>
    <t>Try-on pieces, masters for reusable molds, custom jewelry</t>
  </si>
  <si>
    <t>Maraging steel</t>
  </si>
  <si>
    <t>Medical and dental Resins</t>
  </si>
  <si>
    <t>dental and medical appliances, surgical guides, dentures, prosthetics</t>
  </si>
  <si>
    <t>Metal Filled Filaments (Iron, copper, stainless steel, brass)</t>
  </si>
  <si>
    <t>Plastics/Metal</t>
  </si>
  <si>
    <t>Metal filler in PLA with appearance and weight of metal without metal-like properties</t>
  </si>
  <si>
    <t>Nickel</t>
  </si>
  <si>
    <t>Nylon</t>
  </si>
  <si>
    <t>Polyamide</t>
  </si>
  <si>
    <t>Functional Prototype, water resistant parts</t>
  </si>
  <si>
    <t>Nylon 11</t>
  </si>
  <si>
    <t>Functional prototyping, end-use parts, medical devices</t>
  </si>
  <si>
    <t>Nylon 12</t>
  </si>
  <si>
    <t>Nylon Composites (glass, aluminum, carbon fiber)</t>
  </si>
  <si>
    <t>Functional prototyping, structural  end-use parts</t>
  </si>
  <si>
    <t>Papers</t>
  </si>
  <si>
    <t>Architecture (printer heats and cuts to make desired parts)</t>
  </si>
  <si>
    <t>Plant-based resin</t>
  </si>
  <si>
    <t>Rich, vibrant colors, and durable parts</t>
  </si>
  <si>
    <t>Non-toxic, eco-friendly</t>
  </si>
  <si>
    <t>Platinum</t>
  </si>
  <si>
    <t>Swetham et al 2021</t>
  </si>
  <si>
    <t>Polycarbonate</t>
  </si>
  <si>
    <t>PC</t>
  </si>
  <si>
    <t>Transparent</t>
  </si>
  <si>
    <t>Polyethylene terephthalate glycol</t>
  </si>
  <si>
    <t>PETG</t>
  </si>
  <si>
    <t>Waterproof, snap-fit components</t>
  </si>
  <si>
    <t>Polyetheretherketone</t>
  </si>
  <si>
    <t>PEEK</t>
  </si>
  <si>
    <t>High-performance builds for aerospace, medical, automotive</t>
  </si>
  <si>
    <t>Polylactic acid</t>
  </si>
  <si>
    <t>PLA</t>
  </si>
  <si>
    <t>Concept models, prototype</t>
  </si>
  <si>
    <t>Polyphenylsulfone</t>
  </si>
  <si>
    <t>PPSU</t>
  </si>
  <si>
    <t>Polypropylene</t>
  </si>
  <si>
    <t>PP</t>
  </si>
  <si>
    <t>Impact, fatigue, chemical resistance, surface finish</t>
  </si>
  <si>
    <t>Polyurethane Resin</t>
  </si>
  <si>
    <t>High-performance automotive, aerospace, machinery components, robust, tough prototypes</t>
  </si>
  <si>
    <t>Polyvinyl  alcohol</t>
  </si>
  <si>
    <t>PVA</t>
  </si>
  <si>
    <t>Support Material, dissolves in water</t>
  </si>
  <si>
    <t>Porcelain</t>
  </si>
  <si>
    <t>Rigid Resins</t>
  </si>
  <si>
    <t>Jigs, fixturs,tooling, turbines and fan blades, fluid and airflow components, electrical casings</t>
  </si>
  <si>
    <t>Silicon-Carbide</t>
  </si>
  <si>
    <t>Stainless steel</t>
  </si>
  <si>
    <t>Standard Resin</t>
  </si>
  <si>
    <t>Sterling silver</t>
  </si>
  <si>
    <t>Swetham et al 2022</t>
  </si>
  <si>
    <t>Thermoplastic Polyurethane</t>
  </si>
  <si>
    <t>TPU</t>
  </si>
  <si>
    <t>Flexible Prototype, rubber-like end-use parts, medical devices</t>
  </si>
  <si>
    <t>Titanium</t>
  </si>
  <si>
    <t>Tool steel</t>
  </si>
  <si>
    <t>Tough and Durable Resins</t>
  </si>
  <si>
    <t>Housings and enclosures, jigs and fixtures, connectors, wear and tear</t>
  </si>
  <si>
    <t>https://www.sculpteo.com/en/glossary/3d-printed-wax/</t>
  </si>
  <si>
    <t>Wax</t>
  </si>
  <si>
    <t>Lipid</t>
  </si>
  <si>
    <t>Waterproof, dental molds, jewelry</t>
  </si>
  <si>
    <t>Wood-Based Filament</t>
  </si>
  <si>
    <t>Wood filler particles blended with PLA with poor overall strength</t>
  </si>
  <si>
    <t>Want more materials? Check out this website:</t>
  </si>
  <si>
    <t>www.senvol.com/material-search/</t>
  </si>
  <si>
    <t>http://senvol.com/api/</t>
  </si>
  <si>
    <t xml:space="preserve">&gt; ACCESS TO RAW DATA for a cost. </t>
  </si>
  <si>
    <t>Number</t>
  </si>
  <si>
    <t>Title</t>
  </si>
  <si>
    <t>Author(s)</t>
  </si>
  <si>
    <t>Date</t>
  </si>
  <si>
    <t>URL</t>
  </si>
  <si>
    <t>Extending Cellulose-Based Polymers Application in Additive Manufacturing Technology: A Review of Recent Approaches</t>
  </si>
  <si>
    <t>Mohan, Teong, Bakir, Sajab, and Kaco</t>
  </si>
  <si>
    <t>A review paper that discussed AM technologies. Polymer shows major contribution in AM with 51% contribution, 29% metal/polymer composite, 20% metal for manufactured parts. Manufacturing product compositions: Functional parts = 33.8%, Fit and Assembly = 16%, Education = 10.7%, Visual Aids = 7.3%, Models = 7.3%. Approximately 1.5 - 4% (5-13 million tons of plastics are dumped into the ocean every year).</t>
  </si>
  <si>
    <t>Additive Manufacturing Waste Management System - Plastic Extrusion Process</t>
  </si>
  <si>
    <t>Bennett, Liebrecht, Lyogky, Woods</t>
  </si>
  <si>
    <t>Unused/rejected 3D printed materials are thrown away via landfill, recycling centers, or upcycled by hobbyist with homemade extrusion (Not practical for general population). This work also proposed AM waste recycling designs using PLA and PET (recycled) provided by the user</t>
  </si>
  <si>
    <t>Impact of 3D Printing on Global Supply Chains by 2020</t>
  </si>
  <si>
    <t>Bhasin and Bodla</t>
  </si>
  <si>
    <t xml:space="preserve">3D printing can reduce supply chain costs by 50-90%. Comparison of traditional manufacturing vs 3D printing costs is shown. Note: Cost can correlate to an approximate mass of materials used. </t>
  </si>
  <si>
    <t>Is 3D Printing Wasteful? The Facts Explained</t>
  </si>
  <si>
    <t>Printing It 3D</t>
  </si>
  <si>
    <t xml:space="preserve">Most waste resulted from printing errors. Not all recycling centers handle filament recycling. 3D printing waste is recyclable and the filaments can be made from various plant-based and recycled plastics. The recycled plastic wastes include (1) PET, (2) HDPE, (5) PP, and (6) PS. All filaments are recyclable, but curbside recyclers do not handle them. They are treated as plastic number 7, despite being made out of 1,2, 5, and 6. Conversly, PLA-based filament can be recycled. Some municipalities do not accept filaments in curbside recycling bins because these plastics have different melting points, leading to high recycling cost for recyclers. There are facilities that specifically recycle PLA. Filament recycler can also be used to recycle failed prints. </t>
  </si>
  <si>
    <t>https://printingit3d.com/is-3d-printing-wasteful-the-facts-explained/#:~:text=3D%20Printing%20Wasteful%3F-,The%20Facts%20Explained,10%20million%20pounds)%20of%20waste.</t>
  </si>
  <si>
    <t>Sustainable advances in SLA/DLP 3D printing materials and processes</t>
  </si>
  <si>
    <t>Maines, Porwal, Ellison, and Reineke</t>
  </si>
  <si>
    <t xml:space="preserve">Focused greatly on reactions with potentials for enhancing sustainability, as well as how the final material properties are affected. </t>
  </si>
  <si>
    <t>Additive Manufacturing</t>
  </si>
  <si>
    <t>Douglas Thomas (NIST)</t>
  </si>
  <si>
    <t xml:space="preserve">Listed NAICS Codes for industries that deal with additive manufacturing (Motor vehicles, aerospace, industry/business machines, medical/dental, government/military, architectural, consumer products/electronics, academic and others). AM makes up 0.02% of the total share of the above industries combined ($498 million of AM based on $2.29 million total in the US). </t>
  </si>
  <si>
    <t>https://www.nist.gov/el/applied-economics-office/manufacturing/topics-manufacturing/additive-manufacturing</t>
  </si>
  <si>
    <t>The 3D Printing Waste Problem</t>
  </si>
  <si>
    <t>Ravi Toor (Filamentive)</t>
  </si>
  <si>
    <t xml:space="preserve">Based on a survey of 200 3D printing users (Filamentive Research), 52% of the users responded a waste rate of 6 - 19%, 24% responded with 1 - 5% waste, 20% responded with 20 - 39% waste, and 4% responded with greater than 40% waste rate. In 2021, Filamentive approximated that 10% of 3D prints become waste. If we determine the amount of 3D printers used in the US (or any region), as well as the average 3D printer use, we can estimate the amount of yearly generated waste. Filamentative estimated that, assuming 232,000 3D printers are installed in the UK, with annual filament use rate of 12 kg/yr, then the estimated waste is 278,400 kg. The largest cause(s) of 3D printing waste came from failed prints  &gt; support structures &gt; test prints &gt; unwanted protypes, and other. </t>
  </si>
  <si>
    <t>https://www.filamentive.com/the-3d-printing-waste-problem/</t>
  </si>
  <si>
    <t>What to do with Failed Prints and 3D Printing Waste</t>
  </si>
  <si>
    <t>This is a prototype process that is not implemented nationwide. It showed that it is possible to recycle 3D printing waste into filaments. Old 3D printed parts can be shredded, dried, and melted for extrusion into filaments. The filament reel can be fed into printers and reused.</t>
  </si>
  <si>
    <t>https://www.filamentive.com/what-to-do-with-failed-prints-and-3d-printing-waste/</t>
  </si>
  <si>
    <t>3D Printing: Overview, Impacts, and the Federal Role</t>
  </si>
  <si>
    <t>Sargent and Schwartz (Congressional Research Service)</t>
  </si>
  <si>
    <t>19,285 industrial 3D printers, 591,079 consumer 3D printers were sold in 2018. More than 140,000 industrial 3D printers and 2 million consumer 3D printers have been sold worldwide</t>
  </si>
  <si>
    <t>3D printer selection: a decision-making evaluation and ranking model</t>
  </si>
  <si>
    <t>Roberson, Espalin, and Wicker</t>
  </si>
  <si>
    <t>An efficiency study for various printers. Material Extrusion (Dimension's uPrint Plus, Bits from Bytes's 3D Touch,  MakerBot's Replicator) has a waste rate between 14 - 28%. For sheet lamination, Solido's SD300 Pro has a waste rate ranging from 90 - 96%. Vat polymerization/sheet lamination (3D Systems' V-Flash FTI 230) has a waste rate ranging between 16 - 17</t>
  </si>
  <si>
    <t>Influence of Material-Related Aspects of Additive and Subtractive Ti-6Al-4V Manufacturing on Energy Demand and Carbon Dioxide Emissions</t>
  </si>
  <si>
    <t>Priarone, Ingarao, di Lorenzo, and Settineri</t>
  </si>
  <si>
    <t>Material usage rate comparison between conventional machining vs additive manufacturing (Electron Beam Melting - EBM). The material waste rate range between 13 - 46%</t>
  </si>
  <si>
    <t>America's Garage Hobbyists Fight the Pandemic with 3D Printers</t>
  </si>
  <si>
    <t>Jeff Green (Bloomberg)</t>
  </si>
  <si>
    <t>Terry Wohlers estimated that about 870,000 3D printers are being operated in the US, as of 2020</t>
  </si>
  <si>
    <t>https://www.bloomberg.com/news/articles/2020-04-22/america-s-garage-hobbyists-fight-the-pandemic-with-3d-printers</t>
  </si>
  <si>
    <t>32 and 34</t>
  </si>
  <si>
    <t>Total EoL distribution to final EoL scenarios</t>
  </si>
  <si>
    <t>New Value (Trade Off)</t>
  </si>
  <si>
    <t>Adjusted Trade Off Score</t>
  </si>
  <si>
    <t>Adjusted Mass (Scenario 1)</t>
  </si>
  <si>
    <t>Scenario 1: Solvent recovery system at 95% efficiency is implemented (5% purge, 5% make up)</t>
  </si>
  <si>
    <t>SCENARIO 1 - LOW</t>
  </si>
  <si>
    <t>SCENARIO 1 - MEDIAN</t>
  </si>
  <si>
    <t>SCENARIO 1 - HIGH</t>
  </si>
  <si>
    <t>New Value (Trade Off Scenario 1)</t>
  </si>
  <si>
    <t>SCENARIO 1</t>
  </si>
  <si>
    <t>BASE CASE</t>
  </si>
  <si>
    <t>Volume (gal)</t>
  </si>
  <si>
    <t>Capital Cost ($)</t>
  </si>
  <si>
    <t>Labor ($/yr)</t>
  </si>
  <si>
    <t>Source: https://www.cbgbiotech.com/blog/solvent-distillation-unit-in-lab-cost</t>
  </si>
  <si>
    <t>Maintenance ($/yr)</t>
  </si>
  <si>
    <t>Administrative Labor ($/yr)</t>
  </si>
  <si>
    <t>Onsite Solvent Distillation Unit at 95% recovery (CBG Biotech)</t>
  </si>
  <si>
    <t>Mass of solvent processed (kg/yr)</t>
  </si>
  <si>
    <t>Volume of solvent (gal/yr)</t>
  </si>
  <si>
    <t>Number of units</t>
  </si>
  <si>
    <t>Capital Cost Total ($)</t>
  </si>
  <si>
    <t>Annual Usage (gal/unit/yr)</t>
  </si>
  <si>
    <t>Annualized Capital Cost ($/yr)</t>
  </si>
  <si>
    <t>Total Annualized Cost ($/yr)</t>
  </si>
  <si>
    <t>Solvent Recovery Energy</t>
  </si>
  <si>
    <t>Liquid wash and Recovery</t>
  </si>
  <si>
    <t>Manufacturing and Post-Processing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</si>
</sst>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164" formatCode="0.000"/>
    <numFmt numFmtId="165" formatCode="0.0000"/>
    <numFmt numFmtId="166" formatCode="0.00000"/>
    <numFmt numFmtId="167" formatCode="0.0000000"/>
    <numFmt numFmtId="168" formatCode="0.0"/>
    <numFmt numFmtId="169" formatCode="0.000000"/>
    <numFmt numFmtId="170" formatCode="0.0E+00"/>
    <numFmt numFmtId="171" formatCode="#,##0.000"/>
    <numFmt numFmtId="172" formatCode="#,##0.000000"/>
    <numFmt numFmtId="173" formatCode="0.00000000"/>
    <numFmt numFmtId="174" formatCode="&quot;$&quot;#,##0.00"/>
  </numFmts>
  <fonts count="54"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sz val="11"/>
      <color rgb="FF9C5700"/>
      <name val="Calibri"/>
      <family val="2"/>
      <scheme val="minor"/>
    </font>
    <font>
      <sz val="11"/>
      <color theme="0"/>
      <name val="Calibri"/>
      <family val="2"/>
      <scheme val="minor"/>
    </font>
    <font>
      <b/>
      <sz val="11"/>
      <color rgb="FF9C5700"/>
      <name val="Calibri"/>
      <family val="2"/>
      <scheme val="minor"/>
    </font>
    <font>
      <sz val="10"/>
      <color theme="1"/>
      <name val="Segoe UI"/>
      <family val="2"/>
    </font>
    <font>
      <u/>
      <sz val="11"/>
      <color theme="10"/>
      <name val="Calibri"/>
      <family val="2"/>
    </font>
    <font>
      <sz val="11"/>
      <color rgb="FFFF0000"/>
      <name val="Calibri"/>
      <family val="2"/>
      <scheme val="minor"/>
    </font>
    <font>
      <b/>
      <sz val="11"/>
      <color theme="1"/>
      <name val="Calibri"/>
      <family val="2"/>
    </font>
    <font>
      <sz val="8"/>
      <name val="Calibri"/>
      <family val="2"/>
      <scheme val="minor"/>
    </font>
    <font>
      <b/>
      <sz val="11"/>
      <color rgb="FFFF0000"/>
      <name val="Calibri"/>
      <family val="2"/>
      <scheme val="minor"/>
    </font>
    <font>
      <b/>
      <sz val="9"/>
      <color theme="1"/>
      <name val="Times New Roman"/>
      <family val="1"/>
    </font>
    <font>
      <sz val="9"/>
      <color theme="1"/>
      <name val="Times New Roman"/>
      <family val="1"/>
    </font>
    <font>
      <vertAlign val="superscript"/>
      <sz val="9"/>
      <color theme="1"/>
      <name val="Times New Roman"/>
      <family val="1"/>
    </font>
    <font>
      <sz val="9"/>
      <color rgb="FF000000"/>
      <name val="Times New Roman"/>
      <family val="1"/>
    </font>
    <font>
      <sz val="11"/>
      <color rgb="FF006100"/>
      <name val="Calibri"/>
      <family val="2"/>
      <scheme val="minor"/>
    </font>
    <font>
      <b/>
      <sz val="11"/>
      <color theme="1"/>
      <name val="Calibri"/>
      <family val="2"/>
      <charset val="204"/>
      <scheme val="minor"/>
    </font>
    <font>
      <vertAlign val="subscript"/>
      <sz val="9"/>
      <color theme="1"/>
      <name val="Times New Roman"/>
      <family val="1"/>
    </font>
    <font>
      <i/>
      <sz val="9"/>
      <color rgb="FF000000"/>
      <name val="Times New Roman"/>
      <family val="1"/>
    </font>
    <font>
      <vertAlign val="subscript"/>
      <sz val="9"/>
      <color rgb="FF000000"/>
      <name val="Times New Roman"/>
      <family val="1"/>
    </font>
    <font>
      <sz val="8"/>
      <color theme="1"/>
      <name val="Calibri"/>
      <family val="2"/>
      <scheme val="minor"/>
    </font>
    <font>
      <sz val="10"/>
      <color theme="1"/>
      <name val="Arial"/>
      <family val="2"/>
    </font>
    <font>
      <sz val="12"/>
      <color indexed="81"/>
      <name val="Tahoma"/>
      <family val="2"/>
    </font>
    <font>
      <sz val="11"/>
      <color indexed="8"/>
      <name val="Times New Roman"/>
      <family val="1"/>
    </font>
    <font>
      <sz val="11"/>
      <name val="Times New Roman"/>
      <family val="1"/>
    </font>
    <font>
      <i/>
      <sz val="11"/>
      <name val="Times New Roman"/>
      <family val="1"/>
    </font>
    <font>
      <sz val="11"/>
      <color theme="1"/>
      <name val="Times New Roman"/>
      <family val="1"/>
    </font>
    <font>
      <i/>
      <sz val="11"/>
      <color theme="1"/>
      <name val="Times New Roman"/>
      <family val="1"/>
    </font>
    <font>
      <vertAlign val="subscript"/>
      <sz val="11"/>
      <color theme="1"/>
      <name val="Times New Roman"/>
      <family val="1"/>
    </font>
    <font>
      <vertAlign val="subscript"/>
      <sz val="11"/>
      <name val="Times New Roman"/>
      <family val="1"/>
    </font>
    <font>
      <vertAlign val="superscript"/>
      <sz val="11"/>
      <name val="Times New Roman"/>
      <family val="1"/>
    </font>
    <font>
      <b/>
      <sz val="11"/>
      <name val="Times New Roman"/>
      <family val="1"/>
    </font>
    <font>
      <b/>
      <sz val="11"/>
      <color theme="1"/>
      <name val="Times New Roman"/>
      <family val="1"/>
    </font>
    <font>
      <sz val="11"/>
      <color rgb="FF000000"/>
      <name val="Times New Roman"/>
      <family val="1"/>
    </font>
    <font>
      <sz val="11"/>
      <name val="Calibri"/>
      <family val="2"/>
      <scheme val="minor"/>
    </font>
    <font>
      <sz val="11"/>
      <color theme="1"/>
      <name val="Calibri"/>
      <family val="2"/>
      <scheme val="minor"/>
    </font>
    <font>
      <b/>
      <i/>
      <sz val="11"/>
      <color theme="1"/>
      <name val="Calibri"/>
      <family val="2"/>
      <scheme val="minor"/>
    </font>
    <font>
      <vertAlign val="subscript"/>
      <sz val="11"/>
      <color rgb="FF000000"/>
      <name val="Times New Roman"/>
      <family val="1"/>
    </font>
    <font>
      <sz val="12"/>
      <color indexed="8"/>
      <name val="Times New Roman"/>
      <family val="1"/>
    </font>
    <font>
      <i/>
      <sz val="12"/>
      <name val="Times New Roman"/>
      <family val="1"/>
    </font>
    <font>
      <sz val="10"/>
      <name val="Times New Roman"/>
      <family val="1"/>
    </font>
    <font>
      <sz val="12"/>
      <name val="Times New Roman"/>
      <family val="1"/>
    </font>
    <font>
      <i/>
      <sz val="11"/>
      <color indexed="8"/>
      <name val="Times New Roman"/>
      <family val="1"/>
    </font>
    <font>
      <vertAlign val="subscript"/>
      <sz val="11"/>
      <color indexed="8"/>
      <name val="Times New Roman"/>
      <family val="1"/>
    </font>
    <font>
      <sz val="16"/>
      <name val="Times New Roman"/>
      <family val="1"/>
    </font>
    <font>
      <i/>
      <sz val="11"/>
      <color theme="8" tint="-0.499984740745262"/>
      <name val="Calibri"/>
      <family val="2"/>
      <scheme val="minor"/>
    </font>
    <font>
      <i/>
      <sz val="11"/>
      <color rgb="FF7030A0"/>
      <name val="Calibri"/>
      <family val="2"/>
      <scheme val="minor"/>
    </font>
    <font>
      <sz val="9"/>
      <color rgb="FF006100"/>
      <name val="Calibri"/>
      <family val="2"/>
      <scheme val="minor"/>
    </font>
    <font>
      <b/>
      <sz val="11"/>
      <name val="Calibri"/>
      <family val="2"/>
      <scheme val="minor"/>
    </font>
    <font>
      <sz val="11"/>
      <color theme="8" tint="-0.499984740745262"/>
      <name val="Calibri"/>
      <family val="2"/>
      <scheme val="minor"/>
    </font>
  </fonts>
  <fills count="33">
    <fill>
      <patternFill patternType="none"/>
    </fill>
    <fill>
      <patternFill patternType="gray125"/>
    </fill>
    <fill>
      <patternFill patternType="solid">
        <fgColor theme="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EB9C"/>
      </patternFill>
    </fill>
    <fill>
      <patternFill patternType="solid">
        <fgColor theme="8"/>
      </patternFill>
    </fill>
    <fill>
      <patternFill patternType="solid">
        <fgColor theme="5"/>
      </patternFill>
    </fill>
    <fill>
      <patternFill patternType="solid">
        <fgColor rgb="FFFFFF00"/>
        <bgColor indexed="64"/>
      </patternFill>
    </fill>
    <fill>
      <patternFill patternType="solid">
        <fgColor theme="5" tint="0.79998168889431442"/>
        <bgColor indexed="64"/>
      </patternFill>
    </fill>
    <fill>
      <patternFill patternType="solid">
        <fgColor theme="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rgb="FF00B0F0"/>
        <bgColor indexed="64"/>
      </patternFill>
    </fill>
    <fill>
      <patternFill patternType="solid">
        <fgColor rgb="FFC6EFCE"/>
      </patternFill>
    </fill>
    <fill>
      <patternFill patternType="solid">
        <fgColor theme="4"/>
        <bgColor theme="4"/>
      </patternFill>
    </fill>
    <fill>
      <patternFill patternType="solid">
        <fgColor theme="4" tint="0.79998168889431442"/>
        <bgColor theme="4" tint="0.79998168889431442"/>
      </patternFill>
    </fill>
    <fill>
      <patternFill patternType="solid">
        <fgColor theme="1" tint="0.34998626667073579"/>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39997558519241921"/>
        <bgColor indexed="64"/>
      </patternFill>
    </fill>
    <fill>
      <patternFill patternType="solid">
        <fgColor theme="1" tint="4.9989318521683403E-2"/>
        <bgColor indexed="64"/>
      </patternFill>
    </fill>
    <fill>
      <patternFill patternType="solid">
        <fgColor theme="2" tint="-0.249977111117893"/>
        <bgColor indexed="64"/>
      </patternFill>
    </fill>
    <fill>
      <patternFill patternType="solid">
        <fgColor rgb="FFFFC000"/>
        <bgColor indexed="64"/>
      </patternFill>
    </fill>
    <fill>
      <patternFill patternType="solid">
        <fgColor rgb="FF92D050"/>
        <bgColor indexed="64"/>
      </patternFill>
    </fill>
  </fills>
  <borders count="25">
    <border>
      <left/>
      <right/>
      <top/>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indexed="64"/>
      </left>
      <right style="medium">
        <color indexed="64"/>
      </right>
      <top style="medium">
        <color indexed="64"/>
      </top>
      <bottom/>
      <diagonal/>
    </border>
  </borders>
  <cellStyleXfs count="8">
    <xf numFmtId="0" fontId="0" fillId="0" borderId="0"/>
    <xf numFmtId="0" fontId="3" fillId="0" borderId="0" applyNumberFormat="0" applyFill="0" applyBorder="0" applyAlignment="0" applyProtection="0"/>
    <xf numFmtId="0" fontId="6"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19" fillId="19" borderId="0" applyNumberFormat="0" applyBorder="0" applyAlignment="0" applyProtection="0"/>
    <xf numFmtId="0" fontId="25" fillId="0" borderId="0"/>
    <xf numFmtId="44" fontId="39" fillId="0" borderId="0" applyFont="0" applyFill="0" applyBorder="0" applyAlignment="0" applyProtection="0"/>
  </cellStyleXfs>
  <cellXfs count="294">
    <xf numFmtId="0" fontId="0" fillId="0" borderId="0" xfId="0"/>
    <xf numFmtId="0" fontId="1" fillId="2" borderId="0" xfId="0" applyFont="1" applyFill="1"/>
    <xf numFmtId="0" fontId="2" fillId="3" borderId="0" xfId="0" applyFont="1" applyFill="1"/>
    <xf numFmtId="0" fontId="0" fillId="3" borderId="0" xfId="0" applyFill="1"/>
    <xf numFmtId="0" fontId="0" fillId="3" borderId="0" xfId="0" applyFill="1" applyAlignment="1">
      <alignment horizontal="left"/>
    </xf>
    <xf numFmtId="0" fontId="2" fillId="4" borderId="0" xfId="0" applyFont="1" applyFill="1"/>
    <xf numFmtId="0" fontId="0" fillId="4" borderId="0" xfId="0" applyFill="1"/>
    <xf numFmtId="0" fontId="0" fillId="4" borderId="0" xfId="0" applyFill="1" applyAlignment="1">
      <alignment horizontal="left"/>
    </xf>
    <xf numFmtId="0" fontId="3" fillId="0" borderId="0" xfId="1"/>
    <xf numFmtId="0" fontId="3" fillId="3" borderId="0" xfId="1" applyFill="1"/>
    <xf numFmtId="0" fontId="3" fillId="4" borderId="0" xfId="1" applyFill="1"/>
    <xf numFmtId="0" fontId="2" fillId="0" borderId="0" xfId="0" applyFont="1"/>
    <xf numFmtId="0" fontId="0" fillId="0" borderId="0" xfId="0" applyAlignment="1">
      <alignment wrapText="1"/>
    </xf>
    <xf numFmtId="0" fontId="2" fillId="0" borderId="0" xfId="0" applyFont="1" applyAlignment="1">
      <alignment wrapText="1"/>
    </xf>
    <xf numFmtId="0" fontId="0" fillId="0" borderId="0" xfId="0" applyAlignment="1">
      <alignment vertical="top" wrapText="1"/>
    </xf>
    <xf numFmtId="16" fontId="0" fillId="4" borderId="0" xfId="0" applyNumberFormat="1" applyFill="1" applyAlignment="1">
      <alignment horizontal="left"/>
    </xf>
    <xf numFmtId="0" fontId="3" fillId="0" borderId="0" xfId="1" applyAlignment="1">
      <alignment wrapText="1"/>
    </xf>
    <xf numFmtId="0" fontId="1" fillId="2" borderId="0" xfId="0" applyFont="1" applyFill="1" applyAlignment="1">
      <alignment wrapText="1"/>
    </xf>
    <xf numFmtId="0" fontId="0" fillId="3" borderId="0" xfId="0" applyFill="1" applyAlignment="1">
      <alignment wrapText="1"/>
    </xf>
    <xf numFmtId="0" fontId="0" fillId="4" borderId="0" xfId="0" applyFill="1" applyAlignment="1">
      <alignment wrapText="1"/>
    </xf>
    <xf numFmtId="0" fontId="4" fillId="0" borderId="0" xfId="0" applyFont="1" applyAlignment="1">
      <alignment wrapText="1"/>
    </xf>
    <xf numFmtId="0" fontId="5" fillId="0" borderId="0" xfId="0" applyFont="1" applyAlignment="1">
      <alignment wrapText="1"/>
    </xf>
    <xf numFmtId="0" fontId="8" fillId="5" borderId="0" xfId="2" applyFont="1"/>
    <xf numFmtId="0" fontId="1" fillId="6" borderId="0" xfId="3" applyFont="1"/>
    <xf numFmtId="0" fontId="1" fillId="6" borderId="0" xfId="3" applyFont="1" applyAlignment="1">
      <alignment horizontal="center"/>
    </xf>
    <xf numFmtId="0" fontId="9" fillId="0" borderId="0" xfId="0" applyFont="1"/>
    <xf numFmtId="0" fontId="2" fillId="4" borderId="0" xfId="0" applyFont="1" applyFill="1" applyAlignment="1">
      <alignment wrapText="1"/>
    </xf>
    <xf numFmtId="0" fontId="2" fillId="9" borderId="0" xfId="0" applyFont="1" applyFill="1"/>
    <xf numFmtId="0" fontId="2" fillId="11" borderId="0" xfId="0" applyFont="1" applyFill="1" applyAlignment="1">
      <alignment wrapText="1"/>
    </xf>
    <xf numFmtId="0" fontId="10" fillId="0" borderId="0" xfId="0" applyFont="1" applyAlignment="1">
      <alignment vertical="center" wrapText="1"/>
    </xf>
    <xf numFmtId="1" fontId="0" fillId="0" borderId="0" xfId="0" applyNumberFormat="1"/>
    <xf numFmtId="0" fontId="2" fillId="12" borderId="0" xfId="0" applyFont="1" applyFill="1" applyAlignment="1">
      <alignment wrapText="1"/>
    </xf>
    <xf numFmtId="1" fontId="6" fillId="5" borderId="0" xfId="2" applyNumberFormat="1"/>
    <xf numFmtId="1" fontId="11" fillId="0" borderId="0" xfId="0" applyNumberFormat="1" applyFont="1"/>
    <xf numFmtId="0" fontId="2" fillId="13" borderId="0" xfId="0" applyFont="1" applyFill="1" applyAlignment="1">
      <alignment wrapText="1"/>
    </xf>
    <xf numFmtId="0" fontId="12" fillId="0" borderId="0" xfId="0" applyFont="1" applyAlignment="1">
      <alignment vertical="center" wrapText="1"/>
    </xf>
    <xf numFmtId="0" fontId="2" fillId="14" borderId="0" xfId="0" applyFont="1" applyFill="1" applyAlignment="1">
      <alignment wrapText="1"/>
    </xf>
    <xf numFmtId="0" fontId="3" fillId="0" borderId="0" xfId="1" applyAlignment="1">
      <alignment horizontal="left" vertical="center" indent="2"/>
    </xf>
    <xf numFmtId="11" fontId="0" fillId="0" borderId="0" xfId="0" applyNumberFormat="1"/>
    <xf numFmtId="1" fontId="1" fillId="6" borderId="0" xfId="3" applyNumberFormat="1" applyFont="1" applyAlignment="1">
      <alignment horizontal="center"/>
    </xf>
    <xf numFmtId="1" fontId="1" fillId="7" borderId="0" xfId="4" applyNumberFormat="1" applyFont="1" applyAlignment="1">
      <alignment horizontal="center"/>
    </xf>
    <xf numFmtId="1" fontId="1" fillId="10" borderId="0" xfId="3" applyNumberFormat="1" applyFont="1" applyFill="1" applyAlignment="1">
      <alignment horizontal="center"/>
    </xf>
    <xf numFmtId="2" fontId="0" fillId="0" borderId="0" xfId="0" applyNumberFormat="1"/>
    <xf numFmtId="164" fontId="0" fillId="0" borderId="0" xfId="0" applyNumberFormat="1"/>
    <xf numFmtId="165" fontId="0" fillId="0" borderId="0" xfId="0" applyNumberFormat="1"/>
    <xf numFmtId="166" fontId="0" fillId="0" borderId="0" xfId="0" applyNumberFormat="1"/>
    <xf numFmtId="167" fontId="0" fillId="0" borderId="0" xfId="0" applyNumberFormat="1"/>
    <xf numFmtId="0" fontId="2" fillId="8" borderId="0" xfId="0" applyFont="1" applyFill="1"/>
    <xf numFmtId="0" fontId="11" fillId="0" borderId="0" xfId="0" applyFont="1"/>
    <xf numFmtId="3" fontId="0" fillId="0" borderId="0" xfId="0" applyNumberFormat="1"/>
    <xf numFmtId="0" fontId="2" fillId="13" borderId="0" xfId="0" applyFont="1" applyFill="1"/>
    <xf numFmtId="0" fontId="0" fillId="13" borderId="0" xfId="0" applyFill="1"/>
    <xf numFmtId="0" fontId="0" fillId="15" borderId="0" xfId="0" applyFill="1"/>
    <xf numFmtId="168" fontId="0" fillId="0" borderId="0" xfId="0" applyNumberFormat="1"/>
    <xf numFmtId="0" fontId="0" fillId="0" borderId="0" xfId="0" applyAlignment="1">
      <alignment horizontal="right"/>
    </xf>
    <xf numFmtId="0" fontId="0" fillId="16" borderId="0" xfId="0" applyFill="1"/>
    <xf numFmtId="2" fontId="0" fillId="0" borderId="0" xfId="0" applyNumberFormat="1" applyAlignment="1">
      <alignment horizontal="right"/>
    </xf>
    <xf numFmtId="169" fontId="0" fillId="0" borderId="0" xfId="0" applyNumberFormat="1"/>
    <xf numFmtId="0" fontId="0" fillId="9" borderId="0" xfId="0" applyFill="1" applyAlignment="1">
      <alignment horizontal="right"/>
    </xf>
    <xf numFmtId="0" fontId="0" fillId="2" borderId="0" xfId="0" applyFill="1"/>
    <xf numFmtId="0" fontId="0" fillId="8" borderId="0" xfId="0" applyFill="1"/>
    <xf numFmtId="2" fontId="0" fillId="8" borderId="0" xfId="0" applyNumberFormat="1" applyFill="1"/>
    <xf numFmtId="165" fontId="0" fillId="8" borderId="0" xfId="0" applyNumberFormat="1" applyFill="1"/>
    <xf numFmtId="0" fontId="14" fillId="0" borderId="0" xfId="0" applyFont="1"/>
    <xf numFmtId="164" fontId="0" fillId="8" borderId="0" xfId="0" applyNumberFormat="1" applyFill="1"/>
    <xf numFmtId="0" fontId="2" fillId="16" borderId="0" xfId="0" applyFont="1" applyFill="1"/>
    <xf numFmtId="0" fontId="0" fillId="17" borderId="0" xfId="0" applyFill="1" applyAlignment="1">
      <alignment horizontal="right"/>
    </xf>
    <xf numFmtId="1" fontId="0" fillId="0" borderId="0" xfId="0" applyNumberFormat="1" applyAlignment="1">
      <alignment horizontal="right"/>
    </xf>
    <xf numFmtId="168" fontId="0" fillId="0" borderId="0" xfId="0" applyNumberFormat="1" applyAlignment="1">
      <alignment horizontal="right"/>
    </xf>
    <xf numFmtId="0" fontId="0" fillId="18" borderId="0" xfId="0" applyFill="1" applyAlignment="1">
      <alignment horizontal="right"/>
    </xf>
    <xf numFmtId="0" fontId="0" fillId="18" borderId="0" xfId="0" applyFill="1"/>
    <xf numFmtId="0" fontId="16" fillId="0" borderId="3" xfId="0" applyFont="1" applyBorder="1" applyAlignment="1">
      <alignment horizontal="justify" vertical="center" wrapText="1"/>
    </xf>
    <xf numFmtId="0" fontId="16" fillId="0" borderId="0" xfId="0" applyFont="1" applyAlignment="1">
      <alignment horizontal="justify" vertical="center" wrapText="1"/>
    </xf>
    <xf numFmtId="0" fontId="16" fillId="0" borderId="0" xfId="0" applyFont="1" applyAlignment="1">
      <alignment horizontal="right" vertical="center" wrapText="1"/>
    </xf>
    <xf numFmtId="0" fontId="16" fillId="0" borderId="3" xfId="0" applyFont="1" applyBorder="1" applyAlignment="1">
      <alignment horizontal="right" vertical="center" wrapText="1"/>
    </xf>
    <xf numFmtId="0" fontId="15" fillId="0" borderId="3" xfId="0" applyFont="1" applyBorder="1" applyAlignment="1">
      <alignment horizontal="justify" vertical="center" wrapText="1"/>
    </xf>
    <xf numFmtId="170" fontId="0" fillId="0" borderId="0" xfId="0" applyNumberFormat="1"/>
    <xf numFmtId="0" fontId="18" fillId="0" borderId="0" xfId="0" applyFont="1" applyAlignment="1">
      <alignment horizontal="justify" vertical="center" wrapText="1"/>
    </xf>
    <xf numFmtId="0" fontId="18" fillId="0" borderId="3" xfId="0" applyFont="1" applyBorder="1" applyAlignment="1">
      <alignment horizontal="justify" vertical="center" wrapText="1"/>
    </xf>
    <xf numFmtId="0" fontId="20" fillId="0" borderId="0" xfId="0" applyFont="1"/>
    <xf numFmtId="0" fontId="1" fillId="20" borderId="4" xfId="0" applyFont="1" applyFill="1" applyBorder="1"/>
    <xf numFmtId="0" fontId="1" fillId="20" borderId="5" xfId="0" applyFont="1" applyFill="1" applyBorder="1"/>
    <xf numFmtId="0" fontId="1" fillId="20" borderId="0" xfId="0" applyFont="1" applyFill="1"/>
    <xf numFmtId="0" fontId="0" fillId="21" borderId="4" xfId="0" applyFill="1" applyBorder="1"/>
    <xf numFmtId="0" fontId="0" fillId="21" borderId="5" xfId="0" applyFill="1" applyBorder="1"/>
    <xf numFmtId="9" fontId="0" fillId="21" borderId="4" xfId="0" applyNumberFormat="1" applyFill="1" applyBorder="1"/>
    <xf numFmtId="0" fontId="0" fillId="21" borderId="6" xfId="0" applyFill="1" applyBorder="1"/>
    <xf numFmtId="0" fontId="16" fillId="0" borderId="2" xfId="0" applyFont="1" applyBorder="1" applyAlignment="1">
      <alignment vertical="center" wrapText="1"/>
    </xf>
    <xf numFmtId="0" fontId="0" fillId="0" borderId="5" xfId="0" applyBorder="1"/>
    <xf numFmtId="9" fontId="0" fillId="0" borderId="4" xfId="0" applyNumberFormat="1" applyBorder="1"/>
    <xf numFmtId="0" fontId="0" fillId="0" borderId="4" xfId="0" applyBorder="1"/>
    <xf numFmtId="0" fontId="0" fillId="0" borderId="6" xfId="0" applyBorder="1"/>
    <xf numFmtId="0" fontId="18" fillId="0" borderId="0" xfId="0" applyFont="1" applyAlignment="1">
      <alignment vertical="center" wrapText="1"/>
    </xf>
    <xf numFmtId="0" fontId="22" fillId="0" borderId="0" xfId="0" applyFont="1" applyAlignment="1">
      <alignment vertical="center" wrapText="1"/>
    </xf>
    <xf numFmtId="0" fontId="18" fillId="0" borderId="3" xfId="0" applyFont="1" applyBorder="1" applyAlignment="1">
      <alignment vertical="center" wrapText="1"/>
    </xf>
    <xf numFmtId="9" fontId="0" fillId="0" borderId="7" xfId="0" applyNumberFormat="1" applyBorder="1"/>
    <xf numFmtId="0" fontId="0" fillId="0" borderId="7" xfId="0" applyBorder="1"/>
    <xf numFmtId="0" fontId="0" fillId="0" borderId="8" xfId="0" applyBorder="1"/>
    <xf numFmtId="0" fontId="0" fillId="0" borderId="9" xfId="0" applyBorder="1"/>
    <xf numFmtId="9" fontId="0" fillId="0" borderId="0" xfId="0" applyNumberFormat="1"/>
    <xf numFmtId="0" fontId="7" fillId="22" borderId="4" xfId="5" applyFont="1" applyFill="1" applyBorder="1"/>
    <xf numFmtId="0" fontId="7" fillId="22" borderId="5" xfId="5" applyFont="1" applyFill="1" applyBorder="1"/>
    <xf numFmtId="0" fontId="7" fillId="22" borderId="6" xfId="5" applyFont="1" applyFill="1" applyBorder="1"/>
    <xf numFmtId="0" fontId="7" fillId="22" borderId="0" xfId="5" applyFont="1" applyFill="1" applyBorder="1"/>
    <xf numFmtId="0" fontId="7" fillId="22" borderId="0" xfId="5" applyFont="1" applyFill="1"/>
    <xf numFmtId="0" fontId="18" fillId="0" borderId="2" xfId="0" applyFont="1" applyBorder="1" applyAlignment="1">
      <alignment vertical="center" wrapText="1"/>
    </xf>
    <xf numFmtId="0" fontId="16" fillId="0" borderId="0" xfId="0" applyFont="1" applyAlignment="1">
      <alignment vertical="center" wrapText="1"/>
    </xf>
    <xf numFmtId="0" fontId="24" fillId="0" borderId="0" xfId="0" applyFont="1" applyAlignment="1">
      <alignment vertical="center"/>
    </xf>
    <xf numFmtId="0" fontId="0" fillId="23" borderId="15" xfId="0" applyFill="1" applyBorder="1"/>
    <xf numFmtId="0" fontId="29" fillId="23" borderId="15" xfId="0" applyFont="1" applyFill="1" applyBorder="1" applyAlignment="1">
      <alignment horizontal="justify" vertical="center" wrapText="1"/>
    </xf>
    <xf numFmtId="0" fontId="28" fillId="23" borderId="15" xfId="0" applyFont="1" applyFill="1" applyBorder="1" applyAlignment="1">
      <alignment horizontal="center" vertical="center" wrapText="1"/>
    </xf>
    <xf numFmtId="49" fontId="30" fillId="23" borderId="15" xfId="0" applyNumberFormat="1" applyFont="1" applyFill="1" applyBorder="1" applyAlignment="1">
      <alignment horizontal="center" vertical="center"/>
    </xf>
    <xf numFmtId="0" fontId="29" fillId="23" borderId="15" xfId="0" applyFont="1" applyFill="1" applyBorder="1" applyAlignment="1">
      <alignment horizontal="left" vertical="center" wrapText="1"/>
    </xf>
    <xf numFmtId="0" fontId="28" fillId="23" borderId="15" xfId="0" applyFont="1" applyFill="1" applyBorder="1" applyAlignment="1">
      <alignment horizontal="left"/>
    </xf>
    <xf numFmtId="0" fontId="28" fillId="23" borderId="15" xfId="0" applyFont="1" applyFill="1" applyBorder="1" applyAlignment="1">
      <alignment horizontal="justify" vertical="center" wrapText="1"/>
    </xf>
    <xf numFmtId="0" fontId="28" fillId="23" borderId="15" xfId="0" applyFont="1" applyFill="1" applyBorder="1" applyAlignment="1">
      <alignment horizontal="center" vertical="center"/>
    </xf>
    <xf numFmtId="0" fontId="28" fillId="23" borderId="15" xfId="0" applyFont="1" applyFill="1" applyBorder="1" applyAlignment="1">
      <alignment vertical="center"/>
    </xf>
    <xf numFmtId="49" fontId="31" fillId="23" borderId="15" xfId="0" applyNumberFormat="1" applyFont="1" applyFill="1" applyBorder="1" applyAlignment="1">
      <alignment horizontal="center" vertical="center"/>
    </xf>
    <xf numFmtId="0" fontId="35" fillId="23" borderId="12" xfId="0" applyFont="1" applyFill="1" applyBorder="1" applyAlignment="1">
      <alignment horizontal="center" vertical="center"/>
    </xf>
    <xf numFmtId="0" fontId="35" fillId="23" borderId="12" xfId="0" applyFont="1" applyFill="1" applyBorder="1" applyAlignment="1">
      <alignment horizontal="center" vertical="center" wrapText="1"/>
    </xf>
    <xf numFmtId="0" fontId="35" fillId="23" borderId="12" xfId="0" applyFont="1" applyFill="1" applyBorder="1" applyAlignment="1">
      <alignment horizontal="center"/>
    </xf>
    <xf numFmtId="0" fontId="36" fillId="0" borderId="13" xfId="6" applyFont="1" applyBorder="1" applyAlignment="1">
      <alignment horizontal="center" vertical="center" wrapText="1"/>
    </xf>
    <xf numFmtId="0" fontId="30" fillId="0" borderId="0" xfId="0" applyFont="1"/>
    <xf numFmtId="0" fontId="35" fillId="23" borderId="14" xfId="0" applyFont="1" applyFill="1" applyBorder="1" applyAlignment="1">
      <alignment horizontal="center" vertical="center"/>
    </xf>
    <xf numFmtId="0" fontId="28" fillId="23" borderId="15" xfId="0" applyFont="1" applyFill="1" applyBorder="1"/>
    <xf numFmtId="0" fontId="30" fillId="23" borderId="15" xfId="0" applyFont="1" applyFill="1" applyBorder="1"/>
    <xf numFmtId="49" fontId="28" fillId="23" borderId="15" xfId="0" applyNumberFormat="1" applyFont="1" applyFill="1" applyBorder="1" applyAlignment="1">
      <alignment horizontal="center" vertical="center"/>
    </xf>
    <xf numFmtId="49" fontId="28" fillId="23" borderId="15" xfId="0" applyNumberFormat="1" applyFont="1" applyFill="1" applyBorder="1" applyAlignment="1">
      <alignment horizontal="center" vertical="center" wrapText="1"/>
    </xf>
    <xf numFmtId="0" fontId="37" fillId="0" borderId="15" xfId="0" applyFont="1" applyBorder="1" applyAlignment="1">
      <alignment horizontal="center" vertical="center" wrapText="1"/>
    </xf>
    <xf numFmtId="0" fontId="30" fillId="0" borderId="15" xfId="0" applyFont="1" applyBorder="1" applyAlignment="1">
      <alignment vertical="center" wrapText="1"/>
    </xf>
    <xf numFmtId="0" fontId="37" fillId="0" borderId="15" xfId="0" applyFont="1" applyBorder="1" applyAlignment="1">
      <alignment vertical="center" wrapText="1"/>
    </xf>
    <xf numFmtId="0" fontId="30" fillId="0" borderId="0" xfId="0" applyFont="1" applyAlignment="1">
      <alignment horizontal="left" vertical="center" indent="2"/>
    </xf>
    <xf numFmtId="0" fontId="36" fillId="0" borderId="0" xfId="0" applyFont="1"/>
    <xf numFmtId="164" fontId="11" fillId="0" borderId="0" xfId="0" applyNumberFormat="1" applyFont="1"/>
    <xf numFmtId="0" fontId="2" fillId="24" borderId="0" xfId="0" applyFont="1" applyFill="1"/>
    <xf numFmtId="0" fontId="0" fillId="24" borderId="0" xfId="0" applyFill="1"/>
    <xf numFmtId="0" fontId="0" fillId="25" borderId="0" xfId="0" applyFill="1"/>
    <xf numFmtId="0" fontId="0" fillId="26" borderId="0" xfId="0" applyFill="1"/>
    <xf numFmtId="0" fontId="0" fillId="0" borderId="0" xfId="0" applyAlignment="1">
      <alignment horizontal="left" vertical="center"/>
    </xf>
    <xf numFmtId="4" fontId="0" fillId="0" borderId="0" xfId="0" applyNumberFormat="1" applyAlignment="1">
      <alignment horizontal="center" vertical="center" wrapText="1"/>
    </xf>
    <xf numFmtId="0" fontId="2" fillId="0" borderId="0" xfId="0" applyFont="1" applyAlignment="1">
      <alignment horizontal="center" vertical="center" wrapText="1"/>
    </xf>
    <xf numFmtId="4" fontId="2" fillId="0" borderId="0" xfId="0" applyNumberFormat="1" applyFont="1" applyAlignment="1">
      <alignment vertical="center"/>
    </xf>
    <xf numFmtId="4" fontId="0" fillId="0" borderId="0" xfId="0" applyNumberFormat="1" applyAlignment="1">
      <alignment vertical="center"/>
    </xf>
    <xf numFmtId="3" fontId="0" fillId="0" borderId="0" xfId="0" applyNumberFormat="1" applyAlignment="1">
      <alignment vertical="center"/>
    </xf>
    <xf numFmtId="0" fontId="0" fillId="0" borderId="0" xfId="0" applyAlignment="1">
      <alignment vertical="center" wrapText="1"/>
    </xf>
    <xf numFmtId="3" fontId="0" fillId="0" borderId="0" xfId="0" applyNumberFormat="1" applyAlignment="1">
      <alignment horizontal="center" vertical="center" wrapText="1"/>
    </xf>
    <xf numFmtId="3" fontId="0" fillId="0" borderId="0" xfId="0" applyNumberFormat="1" applyAlignment="1">
      <alignment horizontal="right" vertical="center" wrapText="1"/>
    </xf>
    <xf numFmtId="0" fontId="2" fillId="0" borderId="0" xfId="0" applyFont="1" applyAlignment="1">
      <alignment horizontal="left" wrapText="1"/>
    </xf>
    <xf numFmtId="0" fontId="0" fillId="0" borderId="0" xfId="0" applyAlignment="1">
      <alignment horizontal="left"/>
    </xf>
    <xf numFmtId="1" fontId="0" fillId="0" borderId="0" xfId="0" applyNumberFormat="1" applyAlignment="1">
      <alignment horizontal="left"/>
    </xf>
    <xf numFmtId="164" fontId="0" fillId="0" borderId="0" xfId="0" applyNumberFormat="1" applyAlignment="1">
      <alignment horizontal="left"/>
    </xf>
    <xf numFmtId="0" fontId="0" fillId="0" borderId="0" xfId="0" applyAlignment="1">
      <alignment horizontal="left" vertical="center" indent="2"/>
    </xf>
    <xf numFmtId="0" fontId="2" fillId="0" borderId="0" xfId="0" applyFont="1" applyAlignment="1">
      <alignment horizontal="left" vertical="center" wrapText="1"/>
    </xf>
    <xf numFmtId="1" fontId="0" fillId="0" borderId="0" xfId="0" applyNumberFormat="1" applyAlignment="1">
      <alignment horizontal="left" vertical="center"/>
    </xf>
    <xf numFmtId="164" fontId="0" fillId="0" borderId="0" xfId="0" applyNumberFormat="1" applyAlignment="1">
      <alignment horizontal="left" vertical="center"/>
    </xf>
    <xf numFmtId="3" fontId="0" fillId="0" borderId="0" xfId="0" applyNumberFormat="1" applyAlignment="1">
      <alignment horizontal="left" vertical="center"/>
    </xf>
    <xf numFmtId="0" fontId="0" fillId="27" borderId="0" xfId="0" applyFill="1" applyAlignment="1">
      <alignment horizontal="left"/>
    </xf>
    <xf numFmtId="2" fontId="0" fillId="27" borderId="0" xfId="0" applyNumberFormat="1" applyFill="1" applyAlignment="1">
      <alignment horizontal="left"/>
    </xf>
    <xf numFmtId="166" fontId="0" fillId="27" borderId="0" xfId="0" applyNumberFormat="1" applyFill="1" applyAlignment="1">
      <alignment horizontal="left"/>
    </xf>
    <xf numFmtId="166" fontId="0" fillId="0" borderId="0" xfId="0" applyNumberFormat="1" applyAlignment="1">
      <alignment horizontal="left"/>
    </xf>
    <xf numFmtId="164" fontId="38" fillId="27" borderId="0" xfId="0" applyNumberFormat="1" applyFont="1" applyFill="1" applyAlignment="1">
      <alignment horizontal="left"/>
    </xf>
    <xf numFmtId="164" fontId="0" fillId="27" borderId="0" xfId="0" applyNumberFormat="1" applyFill="1" applyAlignment="1">
      <alignment horizontal="left"/>
    </xf>
    <xf numFmtId="3" fontId="0" fillId="27" borderId="0" xfId="0" applyNumberFormat="1" applyFill="1" applyAlignment="1">
      <alignment horizontal="left"/>
    </xf>
    <xf numFmtId="4" fontId="0" fillId="27" borderId="0" xfId="0" applyNumberFormat="1" applyFill="1" applyAlignment="1">
      <alignment horizontal="left"/>
    </xf>
    <xf numFmtId="0" fontId="0" fillId="27" borderId="0" xfId="0" applyFill="1" applyAlignment="1">
      <alignment horizontal="left" vertical="center" indent="2"/>
    </xf>
    <xf numFmtId="0" fontId="14" fillId="17" borderId="0" xfId="0" applyFont="1" applyFill="1" applyAlignment="1">
      <alignment horizontal="left" wrapText="1"/>
    </xf>
    <xf numFmtId="0" fontId="2" fillId="8" borderId="0" xfId="0" applyFont="1" applyFill="1" applyAlignment="1">
      <alignment horizontal="left" vertical="center" wrapText="1"/>
    </xf>
    <xf numFmtId="0" fontId="0" fillId="0" borderId="0" xfId="0" applyAlignment="1">
      <alignment horizontal="left" vertical="center" wrapText="1"/>
    </xf>
    <xf numFmtId="2" fontId="0" fillId="0" borderId="0" xfId="0" applyNumberFormat="1" applyAlignment="1">
      <alignment horizontal="left"/>
    </xf>
    <xf numFmtId="169" fontId="0" fillId="0" borderId="0" xfId="0" applyNumberFormat="1" applyAlignment="1">
      <alignment horizontal="left" vertical="center"/>
    </xf>
    <xf numFmtId="166" fontId="0" fillId="0" borderId="0" xfId="0" applyNumberFormat="1" applyAlignment="1">
      <alignment horizontal="left" vertical="center"/>
    </xf>
    <xf numFmtId="169" fontId="0" fillId="0" borderId="0" xfId="0" applyNumberFormat="1" applyAlignment="1">
      <alignment horizontal="left"/>
    </xf>
    <xf numFmtId="0" fontId="2" fillId="0" borderId="0" xfId="0" applyFont="1" applyAlignment="1">
      <alignment horizontal="left" vertical="center"/>
    </xf>
    <xf numFmtId="0" fontId="0" fillId="17" borderId="21" xfId="0" applyFill="1" applyBorder="1" applyAlignment="1">
      <alignment horizontal="left" vertical="center"/>
    </xf>
    <xf numFmtId="0" fontId="0" fillId="17" borderId="22" xfId="0" applyFill="1" applyBorder="1" applyAlignment="1">
      <alignment horizontal="left" vertical="center"/>
    </xf>
    <xf numFmtId="0" fontId="2" fillId="12" borderId="15" xfId="0" applyFont="1" applyFill="1" applyBorder="1" applyAlignment="1">
      <alignment horizontal="left" vertical="center"/>
    </xf>
    <xf numFmtId="0" fontId="2" fillId="12" borderId="17" xfId="0" applyFont="1" applyFill="1" applyBorder="1" applyAlignment="1">
      <alignment horizontal="left" vertical="center" wrapText="1"/>
    </xf>
    <xf numFmtId="0" fontId="0" fillId="17" borderId="19" xfId="0" applyFill="1" applyBorder="1" applyAlignment="1">
      <alignment horizontal="right" vertical="center" wrapText="1"/>
    </xf>
    <xf numFmtId="3" fontId="0" fillId="17" borderId="19" xfId="0" applyNumberFormat="1" applyFill="1" applyBorder="1" applyAlignment="1">
      <alignment horizontal="right" vertical="center" wrapText="1"/>
    </xf>
    <xf numFmtId="3" fontId="0" fillId="17" borderId="19" xfId="0" applyNumberFormat="1" applyFill="1" applyBorder="1" applyAlignment="1">
      <alignment horizontal="right"/>
    </xf>
    <xf numFmtId="3" fontId="0" fillId="17" borderId="20" xfId="0" applyNumberFormat="1" applyFill="1" applyBorder="1" applyAlignment="1">
      <alignment horizontal="right" vertical="center" wrapText="1"/>
    </xf>
    <xf numFmtId="0" fontId="2" fillId="28" borderId="0" xfId="0" applyFont="1" applyFill="1"/>
    <xf numFmtId="0" fontId="0" fillId="28" borderId="0" xfId="0" applyFill="1"/>
    <xf numFmtId="0" fontId="0" fillId="17" borderId="0" xfId="0" applyFill="1"/>
    <xf numFmtId="0" fontId="2" fillId="9" borderId="0" xfId="0" applyFont="1" applyFill="1" applyAlignment="1">
      <alignment horizontal="left" vertical="center" wrapText="1"/>
    </xf>
    <xf numFmtId="0" fontId="2" fillId="8" borderId="0" xfId="0" applyFont="1" applyFill="1" applyAlignment="1">
      <alignment horizontal="left" vertical="center"/>
    </xf>
    <xf numFmtId="1" fontId="28" fillId="23" borderId="15" xfId="0" applyNumberFormat="1" applyFont="1" applyFill="1" applyBorder="1" applyAlignment="1">
      <alignment horizontal="center" vertical="center"/>
    </xf>
    <xf numFmtId="0" fontId="28" fillId="23" borderId="15" xfId="0" applyFont="1" applyFill="1" applyBorder="1" applyAlignment="1">
      <alignment horizontal="justify" vertical="center"/>
    </xf>
    <xf numFmtId="0" fontId="35" fillId="23" borderId="24" xfId="0" applyFont="1" applyFill="1" applyBorder="1" applyAlignment="1">
      <alignment horizontal="center" vertical="center"/>
    </xf>
    <xf numFmtId="0" fontId="35" fillId="23" borderId="21" xfId="0" applyFont="1" applyFill="1" applyBorder="1" applyAlignment="1">
      <alignment horizontal="center" vertical="center"/>
    </xf>
    <xf numFmtId="0" fontId="30" fillId="0" borderId="23" xfId="0" applyFont="1" applyBorder="1"/>
    <xf numFmtId="0" fontId="18" fillId="0" borderId="23" xfId="0" applyFont="1" applyBorder="1" applyAlignment="1">
      <alignment vertical="center" wrapText="1"/>
    </xf>
    <xf numFmtId="0" fontId="16" fillId="0" borderId="23" xfId="0" applyFont="1" applyBorder="1" applyAlignment="1">
      <alignment vertical="center" wrapText="1"/>
    </xf>
    <xf numFmtId="1" fontId="16" fillId="0" borderId="23" xfId="0" applyNumberFormat="1" applyFont="1" applyBorder="1" applyAlignment="1">
      <alignment vertical="center" wrapText="1"/>
    </xf>
    <xf numFmtId="2" fontId="0" fillId="0" borderId="0" xfId="0" applyNumberFormat="1" applyAlignment="1">
      <alignment horizontal="left" vertical="center"/>
    </xf>
    <xf numFmtId="171" fontId="0" fillId="0" borderId="0" xfId="0" applyNumberFormat="1" applyAlignment="1">
      <alignment horizontal="left" vertical="center"/>
    </xf>
    <xf numFmtId="172" fontId="0" fillId="0" borderId="0" xfId="0" applyNumberFormat="1"/>
    <xf numFmtId="4" fontId="0" fillId="29" borderId="0" xfId="0" applyNumberFormat="1" applyFill="1" applyAlignment="1">
      <alignment vertical="center"/>
    </xf>
    <xf numFmtId="3" fontId="0" fillId="29" borderId="0" xfId="0" applyNumberFormat="1" applyFill="1" applyAlignment="1">
      <alignment vertical="center"/>
    </xf>
    <xf numFmtId="0" fontId="2" fillId="29" borderId="0" xfId="0" applyFont="1" applyFill="1" applyAlignment="1">
      <alignment horizontal="center" vertical="center" wrapText="1"/>
    </xf>
    <xf numFmtId="0" fontId="0" fillId="29" borderId="0" xfId="0" applyFill="1"/>
    <xf numFmtId="4" fontId="0" fillId="0" borderId="0" xfId="0" applyNumberFormat="1"/>
    <xf numFmtId="4" fontId="11" fillId="0" borderId="0" xfId="0" applyNumberFormat="1" applyFont="1"/>
    <xf numFmtId="4" fontId="0" fillId="0" borderId="0" xfId="0" applyNumberFormat="1" applyAlignment="1">
      <alignment horizontal="left" vertical="center"/>
    </xf>
    <xf numFmtId="173" fontId="0" fillId="0" borderId="0" xfId="0" applyNumberFormat="1"/>
    <xf numFmtId="0" fontId="2" fillId="0" borderId="0" xfId="0" applyFont="1" applyAlignment="1">
      <alignment horizontal="right"/>
    </xf>
    <xf numFmtId="44" fontId="0" fillId="26" borderId="0" xfId="7" applyFont="1" applyFill="1"/>
    <xf numFmtId="44" fontId="0" fillId="0" borderId="0" xfId="7" applyFont="1" applyFill="1"/>
    <xf numFmtId="0" fontId="2" fillId="15" borderId="0" xfId="0" applyFont="1" applyFill="1" applyAlignment="1">
      <alignment wrapText="1"/>
    </xf>
    <xf numFmtId="49" fontId="0" fillId="0" borderId="0" xfId="0" applyNumberFormat="1" applyAlignment="1">
      <alignment horizontal="right" vertical="top"/>
    </xf>
    <xf numFmtId="16" fontId="0" fillId="0" borderId="0" xfId="0" applyNumberFormat="1" applyAlignment="1">
      <alignment horizontal="right"/>
    </xf>
    <xf numFmtId="0" fontId="14" fillId="8" borderId="0" xfId="0" applyFont="1" applyFill="1"/>
    <xf numFmtId="0" fontId="2" fillId="31" borderId="0" xfId="0" applyFont="1" applyFill="1"/>
    <xf numFmtId="0" fontId="0" fillId="0" borderId="0" xfId="0" quotePrefix="1" applyAlignment="1">
      <alignment horizontal="right"/>
    </xf>
    <xf numFmtId="49" fontId="0" fillId="0" borderId="0" xfId="0" quotePrefix="1" applyNumberFormat="1" applyAlignment="1">
      <alignment horizontal="right" vertical="top"/>
    </xf>
    <xf numFmtId="0" fontId="0" fillId="0" borderId="0" xfId="0" quotePrefix="1"/>
    <xf numFmtId="0" fontId="2" fillId="32" borderId="0" xfId="0" applyFont="1" applyFill="1"/>
    <xf numFmtId="0" fontId="27" fillId="23" borderId="15" xfId="0" applyFont="1" applyFill="1" applyBorder="1" applyAlignment="1">
      <alignment horizontal="center" vertical="center" wrapText="1"/>
    </xf>
    <xf numFmtId="0" fontId="42" fillId="23" borderId="15" xfId="0" applyFont="1" applyFill="1" applyBorder="1" applyAlignment="1">
      <alignment vertical="center" wrapText="1"/>
    </xf>
    <xf numFmtId="0" fontId="43" fillId="23" borderId="15" xfId="0" applyFont="1" applyFill="1" applyBorder="1" applyAlignment="1">
      <alignment horizontal="justify" vertical="center" wrapText="1"/>
    </xf>
    <xf numFmtId="0" fontId="45" fillId="23" borderId="15" xfId="0" applyFont="1" applyFill="1" applyBorder="1" applyAlignment="1">
      <alignment horizontal="justify" vertical="center" wrapText="1"/>
    </xf>
    <xf numFmtId="0" fontId="44" fillId="23" borderId="15" xfId="0" applyFont="1" applyFill="1" applyBorder="1" applyAlignment="1">
      <alignment horizontal="justify" vertical="center" wrapText="1"/>
    </xf>
    <xf numFmtId="0" fontId="48" fillId="23" borderId="15" xfId="0" applyFont="1" applyFill="1" applyBorder="1" applyAlignment="1">
      <alignment horizontal="center" vertical="center" wrapText="1"/>
    </xf>
    <xf numFmtId="0" fontId="30" fillId="0" borderId="15" xfId="0" applyFont="1" applyBorder="1"/>
    <xf numFmtId="1" fontId="30" fillId="0" borderId="15" xfId="0" applyNumberFormat="1" applyFont="1" applyBorder="1" applyAlignment="1">
      <alignment vertical="center" wrapText="1"/>
    </xf>
    <xf numFmtId="1" fontId="30" fillId="0" borderId="15" xfId="0" applyNumberFormat="1" applyFont="1" applyBorder="1" applyAlignment="1">
      <alignment horizontal="center" vertical="center" wrapText="1"/>
    </xf>
    <xf numFmtId="169" fontId="30" fillId="0" borderId="17" xfId="0" applyNumberFormat="1" applyFont="1" applyBorder="1" applyAlignment="1">
      <alignment vertical="center" wrapText="1"/>
    </xf>
    <xf numFmtId="169" fontId="28" fillId="23" borderId="15" xfId="0" applyNumberFormat="1" applyFont="1" applyFill="1" applyBorder="1" applyAlignment="1">
      <alignment horizontal="center" vertical="center"/>
    </xf>
    <xf numFmtId="1" fontId="37" fillId="0" borderId="15" xfId="0" applyNumberFormat="1" applyFont="1" applyBorder="1" applyAlignment="1">
      <alignment horizontal="center" vertical="center" wrapText="1"/>
    </xf>
    <xf numFmtId="49" fontId="0" fillId="21" borderId="5" xfId="0" applyNumberFormat="1" applyFill="1" applyBorder="1"/>
    <xf numFmtId="49" fontId="0" fillId="0" borderId="5" xfId="0" applyNumberFormat="1" applyBorder="1"/>
    <xf numFmtId="49" fontId="0" fillId="0" borderId="0" xfId="0" applyNumberFormat="1"/>
    <xf numFmtId="0" fontId="49" fillId="0" borderId="0" xfId="0" applyFont="1"/>
    <xf numFmtId="4" fontId="49" fillId="0" borderId="0" xfId="0" applyNumberFormat="1" applyFont="1"/>
    <xf numFmtId="0" fontId="50" fillId="0" borderId="0" xfId="0" applyFont="1"/>
    <xf numFmtId="0" fontId="16" fillId="0" borderId="0" xfId="0" applyFont="1" applyAlignment="1">
      <alignment horizontal="left" vertical="center" wrapText="1"/>
    </xf>
    <xf numFmtId="0" fontId="19" fillId="19" borderId="0" xfId="5" applyAlignment="1">
      <alignment horizontal="justify" vertical="center" wrapText="1"/>
    </xf>
    <xf numFmtId="0" fontId="51" fillId="19" borderId="0" xfId="5" applyFont="1" applyAlignment="1">
      <alignment horizontal="justify" vertical="center" wrapText="1"/>
    </xf>
    <xf numFmtId="0" fontId="19" fillId="19" borderId="3" xfId="5" applyBorder="1" applyAlignment="1">
      <alignment horizontal="justify" vertical="center" wrapText="1"/>
    </xf>
    <xf numFmtId="0" fontId="51" fillId="19" borderId="3" xfId="5" applyFont="1" applyBorder="1" applyAlignment="1">
      <alignment horizontal="justify" vertical="center" wrapText="1"/>
    </xf>
    <xf numFmtId="0" fontId="51" fillId="19" borderId="0" xfId="5" applyFont="1" applyBorder="1" applyAlignment="1">
      <alignment horizontal="justify" vertical="center" wrapText="1"/>
    </xf>
    <xf numFmtId="0" fontId="19" fillId="19" borderId="0" xfId="5" applyBorder="1" applyAlignment="1">
      <alignment horizontal="justify" vertical="center" wrapText="1"/>
    </xf>
    <xf numFmtId="0" fontId="16" fillId="4" borderId="3" xfId="0" applyFont="1" applyFill="1" applyBorder="1" applyAlignment="1">
      <alignment horizontal="justify" vertical="center" wrapText="1"/>
    </xf>
    <xf numFmtId="0" fontId="16" fillId="4" borderId="0" xfId="0" applyFont="1" applyFill="1" applyAlignment="1">
      <alignment horizontal="justify" vertical="center" wrapText="1"/>
    </xf>
    <xf numFmtId="0" fontId="6" fillId="4" borderId="0" xfId="2" applyFill="1" applyAlignment="1">
      <alignment horizontal="justify" vertical="center" wrapText="1"/>
    </xf>
    <xf numFmtId="0" fontId="6" fillId="4" borderId="3" xfId="2" applyFill="1" applyBorder="1" applyAlignment="1">
      <alignment horizontal="justify" vertical="center" wrapText="1"/>
    </xf>
    <xf numFmtId="0" fontId="6" fillId="4" borderId="0" xfId="2" applyFill="1" applyBorder="1" applyAlignment="1">
      <alignment horizontal="justify" vertical="center" wrapText="1"/>
    </xf>
    <xf numFmtId="0" fontId="28" fillId="23" borderId="15" xfId="0" applyFont="1" applyFill="1" applyBorder="1" applyAlignment="1">
      <alignment vertical="center" wrapText="1"/>
    </xf>
    <xf numFmtId="0" fontId="28" fillId="23" borderId="15" xfId="0" applyFont="1" applyFill="1" applyBorder="1" applyAlignment="1">
      <alignment horizontal="left"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1" fillId="13" borderId="0" xfId="0" applyFont="1" applyFill="1"/>
    <xf numFmtId="0" fontId="52" fillId="13" borderId="0" xfId="0" applyFont="1" applyFill="1"/>
    <xf numFmtId="4" fontId="0" fillId="17" borderId="0" xfId="0" applyNumberFormat="1" applyFill="1"/>
    <xf numFmtId="4" fontId="49" fillId="17" borderId="0" xfId="0" applyNumberFormat="1" applyFont="1" applyFill="1"/>
    <xf numFmtId="4" fontId="11" fillId="17" borderId="0" xfId="0" applyNumberFormat="1" applyFont="1" applyFill="1"/>
    <xf numFmtId="0" fontId="2" fillId="17" borderId="0" xfId="0" applyFont="1" applyFill="1" applyAlignment="1">
      <alignment horizontal="right"/>
    </xf>
    <xf numFmtId="1" fontId="0" fillId="17" borderId="0" xfId="0" applyNumberFormat="1" applyFill="1" applyAlignment="1">
      <alignment horizontal="right"/>
    </xf>
    <xf numFmtId="1" fontId="0" fillId="17" borderId="0" xfId="0" applyNumberFormat="1" applyFill="1"/>
    <xf numFmtId="44" fontId="0" fillId="17" borderId="0" xfId="7" applyFont="1" applyFill="1"/>
    <xf numFmtId="164" fontId="0" fillId="17" borderId="0" xfId="0" applyNumberFormat="1" applyFill="1"/>
    <xf numFmtId="168" fontId="11" fillId="0" borderId="0" xfId="0" applyNumberFormat="1" applyFont="1"/>
    <xf numFmtId="0" fontId="52" fillId="0" borderId="0" xfId="0" applyFont="1"/>
    <xf numFmtId="4" fontId="38" fillId="0" borderId="0" xfId="0" applyNumberFormat="1" applyFont="1"/>
    <xf numFmtId="174" fontId="0" fillId="0" borderId="0" xfId="0" applyNumberFormat="1"/>
    <xf numFmtId="174" fontId="0" fillId="8" borderId="0" xfId="0" applyNumberFormat="1" applyFill="1"/>
    <xf numFmtId="4" fontId="53" fillId="17" borderId="0" xfId="0" applyNumberFormat="1" applyFont="1" applyFill="1"/>
    <xf numFmtId="174" fontId="0" fillId="0" borderId="0" xfId="7" applyNumberFormat="1" applyFont="1"/>
    <xf numFmtId="1" fontId="0" fillId="0" borderId="0" xfId="0" applyNumberFormat="1" applyFill="1" applyAlignment="1">
      <alignment horizontal="left" vertical="center"/>
    </xf>
    <xf numFmtId="0" fontId="40" fillId="30" borderId="0" xfId="0" applyFont="1" applyFill="1" applyAlignment="1">
      <alignment horizontal="center"/>
    </xf>
    <xf numFmtId="0" fontId="40" fillId="15" borderId="0" xfId="0" applyFont="1" applyFill="1" applyAlignment="1">
      <alignment horizontal="center"/>
    </xf>
    <xf numFmtId="0" fontId="40" fillId="13" borderId="0" xfId="0" applyFont="1" applyFill="1" applyAlignment="1">
      <alignment horizontal="center"/>
    </xf>
    <xf numFmtId="0" fontId="4" fillId="17" borderId="0" xfId="0" applyFont="1" applyFill="1" applyAlignment="1">
      <alignment horizontal="center"/>
    </xf>
    <xf numFmtId="0" fontId="4" fillId="0" borderId="0" xfId="0" applyFont="1" applyAlignment="1">
      <alignment horizontal="center"/>
    </xf>
    <xf numFmtId="0" fontId="4" fillId="12" borderId="0" xfId="0" applyFont="1" applyFill="1" applyAlignment="1">
      <alignment horizontal="left" vertical="center"/>
    </xf>
    <xf numFmtId="0" fontId="28" fillId="23" borderId="15" xfId="0" applyFont="1" applyFill="1" applyBorder="1" applyAlignment="1">
      <alignment vertical="center" wrapText="1"/>
    </xf>
    <xf numFmtId="0" fontId="28" fillId="23" borderId="15" xfId="0" applyFont="1" applyFill="1" applyBorder="1" applyAlignment="1">
      <alignment horizontal="left" vertical="center" wrapText="1"/>
    </xf>
    <xf numFmtId="0" fontId="35" fillId="23" borderId="10" xfId="0" applyFont="1" applyFill="1" applyBorder="1" applyAlignment="1">
      <alignment horizontal="center" vertical="center"/>
    </xf>
    <xf numFmtId="0" fontId="35" fillId="23" borderId="2" xfId="0" applyFont="1" applyFill="1" applyBorder="1" applyAlignment="1">
      <alignment horizontal="center" vertical="center"/>
    </xf>
    <xf numFmtId="0" fontId="35" fillId="23" borderId="11" xfId="0" applyFont="1" applyFill="1" applyBorder="1" applyAlignment="1">
      <alignment horizontal="center" vertical="center"/>
    </xf>
    <xf numFmtId="0" fontId="27" fillId="23" borderId="15" xfId="0" applyFont="1" applyFill="1" applyBorder="1" applyAlignment="1">
      <alignment horizontal="left" vertical="center"/>
    </xf>
    <xf numFmtId="0" fontId="27" fillId="23" borderId="16" xfId="0" applyFont="1" applyFill="1" applyBorder="1" applyAlignment="1">
      <alignment horizontal="center" vertical="center" wrapText="1"/>
    </xf>
    <xf numFmtId="0" fontId="27" fillId="23" borderId="18" xfId="0" applyFont="1" applyFill="1" applyBorder="1" applyAlignment="1">
      <alignment horizontal="center" vertical="center" wrapText="1"/>
    </xf>
    <xf numFmtId="0" fontId="27" fillId="23" borderId="17" xfId="0" applyFont="1" applyFill="1" applyBorder="1" applyAlignment="1">
      <alignment horizontal="center" vertical="center" wrapText="1"/>
    </xf>
    <xf numFmtId="0" fontId="27" fillId="23" borderId="16" xfId="0" applyFont="1" applyFill="1" applyBorder="1" applyAlignment="1">
      <alignment horizontal="center" vertical="center"/>
    </xf>
    <xf numFmtId="0" fontId="27" fillId="23" borderId="18" xfId="0" applyFont="1" applyFill="1" applyBorder="1" applyAlignment="1">
      <alignment horizontal="center" vertical="center"/>
    </xf>
    <xf numFmtId="0" fontId="27" fillId="23" borderId="17" xfId="0" applyFont="1" applyFill="1" applyBorder="1" applyAlignment="1">
      <alignment horizontal="center" vertical="center"/>
    </xf>
    <xf numFmtId="0" fontId="27" fillId="23" borderId="15" xfId="0" applyFont="1" applyFill="1" applyBorder="1" applyAlignment="1">
      <alignment horizontal="left" vertical="center" wrapText="1"/>
    </xf>
    <xf numFmtId="0" fontId="28" fillId="23" borderId="16" xfId="0" applyFont="1" applyFill="1" applyBorder="1" applyAlignment="1">
      <alignment vertical="center" wrapText="1"/>
    </xf>
    <xf numFmtId="0" fontId="28" fillId="23" borderId="18" xfId="0" applyFont="1" applyFill="1" applyBorder="1" applyAlignment="1">
      <alignment vertical="center" wrapText="1"/>
    </xf>
    <xf numFmtId="0" fontId="28" fillId="23" borderId="17" xfId="0" applyFont="1" applyFill="1" applyBorder="1" applyAlignment="1">
      <alignment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6" fillId="0" borderId="1" xfId="0" applyFont="1" applyBorder="1" applyAlignment="1">
      <alignment horizontal="justify" vertical="center" wrapText="1"/>
    </xf>
  </cellXfs>
  <cellStyles count="8">
    <cellStyle name="Accent2" xfId="4" builtinId="33"/>
    <cellStyle name="Accent5" xfId="3" builtinId="45"/>
    <cellStyle name="Currency" xfId="7" builtinId="4"/>
    <cellStyle name="Good" xfId="5" builtinId="26"/>
    <cellStyle name="Hyperlink" xfId="1" builtinId="8"/>
    <cellStyle name="Neutral" xfId="2" builtinId="28"/>
    <cellStyle name="Normal" xfId="0" builtinId="0"/>
    <cellStyle name="Normal 2" xfId="6" xr:uid="{F3767003-695F-4AB3-9DDD-2BA8859FDC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GREENSCOPE Efficiency Indicator Results</a:t>
            </a:r>
          </a:p>
        </c:rich>
      </c:tx>
      <c:layout>
        <c:manualLayout>
          <c:xMode val="edge"/>
          <c:yMode val="edge"/>
          <c:x val="0.18751377317925289"/>
          <c:y val="7.0211903131105965E-2"/>
        </c:manualLayout>
      </c:layout>
      <c:overlay val="0"/>
      <c:spPr>
        <a:noFill/>
        <a:ln>
          <a:noFill/>
        </a:ln>
        <a:effectLst/>
      </c:spPr>
      <c:txPr>
        <a:bodyPr rot="0" spcFirstLastPara="1" vertOverflow="ellipsis" vert="horz" wrap="square" anchor="ctr" anchorCtr="1"/>
        <a:lstStyle/>
        <a:p>
          <a:pPr algn="ctr">
            <a:defRPr sz="168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25706368965030885"/>
          <c:y val="0.16414222510514798"/>
          <c:w val="0.47719416645619378"/>
          <c:h val="0.69558661341399863"/>
        </c:manualLayout>
      </c:layout>
      <c:doughnutChart>
        <c:varyColors val="1"/>
        <c:ser>
          <c:idx val="0"/>
          <c:order val="0"/>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01-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03-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05-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07-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09-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0B-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0D-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0F-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11-3785-4075-B5FF-6DEE72F2A2D0}"/>
              </c:ext>
            </c:extLst>
          </c:dPt>
          <c:val>
            <c:numRef>
              <c:f>[2]Sample!$K$2:$S$2</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12-3785-4075-B5FF-6DEE72F2A2D0}"/>
            </c:ext>
          </c:extLst>
        </c:ser>
        <c:ser>
          <c:idx val="1"/>
          <c:order val="1"/>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14-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16-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18-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1A-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1C-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1E-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20-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22-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24-3785-4075-B5FF-6DEE72F2A2D0}"/>
              </c:ext>
            </c:extLst>
          </c:dPt>
          <c:val>
            <c:numRef>
              <c:f>[2]Sample!$K$3:$S$3</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25-3785-4075-B5FF-6DEE72F2A2D0}"/>
            </c:ext>
          </c:extLst>
        </c:ser>
        <c:ser>
          <c:idx val="2"/>
          <c:order val="2"/>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27-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29-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2B-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2D-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2F-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31-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33-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35-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37-3785-4075-B5FF-6DEE72F2A2D0}"/>
              </c:ext>
            </c:extLst>
          </c:dPt>
          <c:val>
            <c:numRef>
              <c:f>[2]Sample!$K$4:$S$4</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38-3785-4075-B5FF-6DEE72F2A2D0}"/>
            </c:ext>
          </c:extLst>
        </c:ser>
        <c:ser>
          <c:idx val="3"/>
          <c:order val="3"/>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3A-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3C-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3E-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40-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42-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44-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46-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48-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4A-3785-4075-B5FF-6DEE72F2A2D0}"/>
              </c:ext>
            </c:extLst>
          </c:dPt>
          <c:val>
            <c:numRef>
              <c:f>[2]Sample!$K$5:$S$5</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4B-3785-4075-B5FF-6DEE72F2A2D0}"/>
            </c:ext>
          </c:extLst>
        </c:ser>
        <c:ser>
          <c:idx val="4"/>
          <c:order val="4"/>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4D-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4F-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51-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53-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55-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57-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59-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5B-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5D-3785-4075-B5FF-6DEE72F2A2D0}"/>
              </c:ext>
            </c:extLst>
          </c:dPt>
          <c:val>
            <c:numRef>
              <c:f>[2]Sample!$K$6:$S$6</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5E-3785-4075-B5FF-6DEE72F2A2D0}"/>
            </c:ext>
          </c:extLst>
        </c:ser>
        <c:ser>
          <c:idx val="5"/>
          <c:order val="5"/>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60-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62-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64-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66-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68-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6A-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6C-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6E-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70-3785-4075-B5FF-6DEE72F2A2D0}"/>
              </c:ext>
            </c:extLst>
          </c:dPt>
          <c:val>
            <c:numRef>
              <c:f>[2]Sample!$K$7:$S$7</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71-3785-4075-B5FF-6DEE72F2A2D0}"/>
            </c:ext>
          </c:extLst>
        </c:ser>
        <c:ser>
          <c:idx val="6"/>
          <c:order val="6"/>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73-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75-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77-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79-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7B-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7D-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7F-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81-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83-3785-4075-B5FF-6DEE72F2A2D0}"/>
              </c:ext>
            </c:extLst>
          </c:dPt>
          <c:val>
            <c:numRef>
              <c:f>[2]Sample!$K$8:$S$8</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84-3785-4075-B5FF-6DEE72F2A2D0}"/>
            </c:ext>
          </c:extLst>
        </c:ser>
        <c:ser>
          <c:idx val="7"/>
          <c:order val="7"/>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86-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88-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8A-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8C-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8E-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90-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92-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94-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96-3785-4075-B5FF-6DEE72F2A2D0}"/>
              </c:ext>
            </c:extLst>
          </c:dPt>
          <c:val>
            <c:numRef>
              <c:f>[2]Sample!$K$9:$S$9</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97-3785-4075-B5FF-6DEE72F2A2D0}"/>
            </c:ext>
          </c:extLst>
        </c:ser>
        <c:ser>
          <c:idx val="8"/>
          <c:order val="8"/>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99-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9B-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9D-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9F-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A1-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A3-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A5-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A7-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A9-3785-4075-B5FF-6DEE72F2A2D0}"/>
              </c:ext>
            </c:extLst>
          </c:dPt>
          <c:val>
            <c:numRef>
              <c:f>[2]Sample!$K$10:$S$10</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AA-3785-4075-B5FF-6DEE72F2A2D0}"/>
            </c:ext>
          </c:extLst>
        </c:ser>
        <c:ser>
          <c:idx val="9"/>
          <c:order val="9"/>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AC-3785-4075-B5FF-6DEE72F2A2D0}"/>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AE-3785-4075-B5FF-6DEE72F2A2D0}"/>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B0-3785-4075-B5FF-6DEE72F2A2D0}"/>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B2-3785-4075-B5FF-6DEE72F2A2D0}"/>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B4-3785-4075-B5FF-6DEE72F2A2D0}"/>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B6-3785-4075-B5FF-6DEE72F2A2D0}"/>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B8-3785-4075-B5FF-6DEE72F2A2D0}"/>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BA-3785-4075-B5FF-6DEE72F2A2D0}"/>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BC-3785-4075-B5FF-6DEE72F2A2D0}"/>
              </c:ext>
            </c:extLst>
          </c:dPt>
          <c:dLbls>
            <c:dLbl>
              <c:idx val="0"/>
              <c:layout>
                <c:manualLayout>
                  <c:x val="5.6140822359580754E-3"/>
                  <c:y val="-0.10349705167285307"/>
                </c:manualLayout>
              </c:layout>
              <c:tx>
                <c:rich>
                  <a:bodyPr/>
                  <a:lstStyle/>
                  <a:p>
                    <a:fld id="{73FAD554-8766-480C-92D2-93A1C2D8B3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C-3785-4075-B5FF-6DEE72F2A2D0}"/>
                </c:ext>
              </c:extLst>
            </c:dLbl>
            <c:dLbl>
              <c:idx val="1"/>
              <c:layout>
                <c:manualLayout>
                  <c:x val="4.4492072023649555E-2"/>
                  <c:y val="-0.10399319333225969"/>
                </c:manualLayout>
              </c:layout>
              <c:tx>
                <c:rich>
                  <a:bodyPr/>
                  <a:lstStyle/>
                  <a:p>
                    <a:fld id="{A0B1CC50-0E7B-428C-BBBB-7A1B302159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E-3785-4075-B5FF-6DEE72F2A2D0}"/>
                </c:ext>
              </c:extLst>
            </c:dLbl>
            <c:dLbl>
              <c:idx val="2"/>
              <c:layout>
                <c:manualLayout>
                  <c:x val="9.2744725880139753E-2"/>
                  <c:y val="-3.3946800109434454E-2"/>
                </c:manualLayout>
              </c:layout>
              <c:tx>
                <c:rich>
                  <a:bodyPr/>
                  <a:lstStyle/>
                  <a:p>
                    <a:fld id="{FE08380F-53FE-4804-9B25-E1C74EF97B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0-3785-4075-B5FF-6DEE72F2A2D0}"/>
                </c:ext>
              </c:extLst>
            </c:dLbl>
            <c:dLbl>
              <c:idx val="3"/>
              <c:layout>
                <c:manualLayout>
                  <c:x val="9.2776639344262293E-2"/>
                  <c:y val="4.457727061937166E-2"/>
                </c:manualLayout>
              </c:layout>
              <c:tx>
                <c:rich>
                  <a:bodyPr/>
                  <a:lstStyle/>
                  <a:p>
                    <a:fld id="{409F4658-C1F6-4F7A-98B3-BAF219854D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2-3785-4075-B5FF-6DEE72F2A2D0}"/>
                </c:ext>
              </c:extLst>
            </c:dLbl>
            <c:dLbl>
              <c:idx val="4"/>
              <c:layout>
                <c:manualLayout>
                  <c:x val="4.173290110185434E-2"/>
                  <c:y val="9.1562875332038302E-2"/>
                </c:manualLayout>
              </c:layout>
              <c:tx>
                <c:rich>
                  <a:bodyPr/>
                  <a:lstStyle/>
                  <a:p>
                    <a:fld id="{D8B68572-377D-4177-AD5D-81B232B1F0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4-3785-4075-B5FF-6DEE72F2A2D0}"/>
                </c:ext>
              </c:extLst>
            </c:dLbl>
            <c:dLbl>
              <c:idx val="5"/>
              <c:layout>
                <c:manualLayout>
                  <c:x val="-3.7162221177102966E-2"/>
                  <c:y val="0.12208946072486734"/>
                </c:manualLayout>
              </c:layout>
              <c:tx>
                <c:rich>
                  <a:bodyPr/>
                  <a:lstStyle/>
                  <a:p>
                    <a:fld id="{09577D41-6EB5-4EA6-BEE5-95A0E5801D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6-3785-4075-B5FF-6DEE72F2A2D0}"/>
                </c:ext>
              </c:extLst>
            </c:dLbl>
            <c:dLbl>
              <c:idx val="6"/>
              <c:layout>
                <c:manualLayout>
                  <c:x val="-7.4115829078204784E-2"/>
                  <c:y val="6.7913197523366303E-2"/>
                </c:manualLayout>
              </c:layout>
              <c:tx>
                <c:rich>
                  <a:bodyPr/>
                  <a:lstStyle/>
                  <a:p>
                    <a:fld id="{D1A89C91-56BE-476C-BE23-570688314C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8-3785-4075-B5FF-6DEE72F2A2D0}"/>
                </c:ext>
              </c:extLst>
            </c:dLbl>
            <c:dLbl>
              <c:idx val="7"/>
              <c:layout>
                <c:manualLayout>
                  <c:x val="-0.11251276538564906"/>
                  <c:y val="-6.896504888654325E-3"/>
                </c:manualLayout>
              </c:layout>
              <c:tx>
                <c:rich>
                  <a:bodyPr/>
                  <a:lstStyle/>
                  <a:p>
                    <a:fld id="{43DED5A0-9BE1-4CEE-9A59-5427658FE1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A-3785-4075-B5FF-6DEE72F2A2D0}"/>
                </c:ext>
              </c:extLst>
            </c:dLbl>
            <c:dLbl>
              <c:idx val="8"/>
              <c:layout>
                <c:manualLayout>
                  <c:x val="-8.2199173609244822E-2"/>
                  <c:y val="-6.424772545146562E-2"/>
                </c:manualLayout>
              </c:layout>
              <c:tx>
                <c:rich>
                  <a:bodyPr/>
                  <a:lstStyle/>
                  <a:p>
                    <a:fld id="{6B2F3035-A121-43C1-AFDD-5C419BA247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C-3785-4075-B5FF-6DEE72F2A2D0}"/>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[2]Sample!$K$11:$S$11</c:f>
              <c:numCache>
                <c:formatCode>General</c:formatCode>
                <c:ptCount val="9"/>
                <c:pt idx="0">
                  <c:v>1</c:v>
                </c:pt>
                <c:pt idx="1">
                  <c:v>1</c:v>
                </c:pt>
                <c:pt idx="2">
                  <c:v>1</c:v>
                </c:pt>
                <c:pt idx="3">
                  <c:v>1</c:v>
                </c:pt>
                <c:pt idx="4">
                  <c:v>1</c:v>
                </c:pt>
                <c:pt idx="5">
                  <c:v>1</c:v>
                </c:pt>
                <c:pt idx="6">
                  <c:v>1</c:v>
                </c:pt>
                <c:pt idx="7">
                  <c:v>1</c:v>
                </c:pt>
                <c:pt idx="8">
                  <c:v>1</c:v>
                </c:pt>
              </c:numCache>
            </c:numRef>
          </c:val>
          <c:extLst>
            <c:ext xmlns:c15="http://schemas.microsoft.com/office/drawing/2012/chart" uri="{02D57815-91ED-43cb-92C2-25804820EDAC}">
              <c15:datalabelsRange>
                <c15:f>'[2]Efficiency Indicator'!$D$3:$D$11</c15:f>
                <c15:dlblRangeCache>
                  <c:ptCount val="9"/>
                  <c:pt idx="0">
                    <c:v>mmat,tot</c:v>
                  </c:pt>
                  <c:pt idx="1">
                    <c:v>MI</c:v>
                  </c:pt>
                  <c:pt idx="2">
                    <c:v>MP</c:v>
                  </c:pt>
                  <c:pt idx="3">
                    <c:v>E</c:v>
                  </c:pt>
                  <c:pt idx="4">
                    <c:v>MLI</c:v>
                  </c:pt>
                  <c:pt idx="5">
                    <c:v>RIM</c:v>
                  </c:pt>
                  <c:pt idx="6">
                    <c:v>BFM</c:v>
                  </c:pt>
                  <c:pt idx="7">
                    <c:v>wrecycl,mat</c:v>
                  </c:pt>
                  <c:pt idx="8">
                    <c:v>wrecov,prod</c:v>
                  </c:pt>
                </c15:dlblRangeCache>
              </c15:datalabelsRange>
            </c:ext>
            <c:ext xmlns:c16="http://schemas.microsoft.com/office/drawing/2014/chart" uri="{C3380CC4-5D6E-409C-BE32-E72D297353CC}">
              <c16:uniqueId val="{000000BD-3785-4075-B5FF-6DEE72F2A2D0}"/>
            </c:ext>
          </c:extLst>
        </c:ser>
        <c:dLbls>
          <c:showLegendKey val="0"/>
          <c:showVal val="0"/>
          <c:showCatName val="0"/>
          <c:showSerName val="0"/>
          <c:showPercent val="0"/>
          <c:showBubbleSize val="0"/>
          <c:showLeaderLines val="1"/>
        </c:dLbls>
        <c:firstSliceAng val="40"/>
        <c:holeSize val="0"/>
      </c:doughnutChart>
      <c:scatterChart>
        <c:scatterStyle val="smoothMarker"/>
        <c:varyColors val="0"/>
        <c:ser>
          <c:idx val="10"/>
          <c:order val="10"/>
          <c:tx>
            <c:strRef>
              <c:f>'[2]Efficiency Indicator'!$A$2</c:f>
              <c:strCache>
                <c:ptCount val="1"/>
                <c:pt idx="0">
                  <c:v>Indicators</c:v>
                </c:pt>
              </c:strCache>
            </c:strRef>
          </c:tx>
          <c:spPr>
            <a:ln w="28575" cap="sq">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'Efficiency Indicator'!$G$2:$G$11</c:f>
              <c:numCache>
                <c:formatCode>General</c:formatCode>
                <c:ptCount val="10"/>
                <c:pt idx="0">
                  <c:v>0</c:v>
                </c:pt>
                <c:pt idx="1">
                  <c:v>4.7052053029054672</c:v>
                </c:pt>
                <c:pt idx="2">
                  <c:v>7.2087927520493631</c:v>
                </c:pt>
                <c:pt idx="3">
                  <c:v>0.75344210129246159</c:v>
                </c:pt>
                <c:pt idx="4">
                  <c:v>2.5035874491438963</c:v>
                </c:pt>
                <c:pt idx="5">
                  <c:v>-3.0610802827647343</c:v>
                </c:pt>
                <c:pt idx="6">
                  <c:v>0</c:v>
                </c:pt>
                <c:pt idx="7">
                  <c:v>-0.98480775301220813</c:v>
                </c:pt>
                <c:pt idx="8">
                  <c:v>-1.3691376086323293</c:v>
                </c:pt>
                <c:pt idx="9">
                  <c:v>-2.45029690981724E-15</c:v>
                </c:pt>
              </c:numCache>
            </c:numRef>
          </c:xVal>
          <c:yVal>
            <c:numRef>
              <c:f>'Efficiency Indicator'!$H$2:$H$11</c:f>
              <c:numCache>
                <c:formatCode>General</c:formatCode>
                <c:ptCount val="10"/>
                <c:pt idx="0">
                  <c:v>10</c:v>
                </c:pt>
                <c:pt idx="1">
                  <c:v>5.6074453236309196</c:v>
                </c:pt>
                <c:pt idx="2">
                  <c:v>1.2711046605219307</c:v>
                </c:pt>
                <c:pt idx="3">
                  <c:v>-0.43499999999999978</c:v>
                </c:pt>
                <c:pt idx="4">
                  <c:v>-6.8785499841528495</c:v>
                </c:pt>
                <c:pt idx="5">
                  <c:v>-8.4102489560338789</c:v>
                </c:pt>
                <c:pt idx="6">
                  <c:v>0</c:v>
                </c:pt>
                <c:pt idx="7">
                  <c:v>0.17364817766692997</c:v>
                </c:pt>
                <c:pt idx="8">
                  <c:v>1.6316746638434225</c:v>
                </c:pt>
                <c:pt idx="9">
                  <c:v>10</c:v>
                </c:pt>
              </c:numCache>
            </c:numRef>
          </c:yVal>
          <c:smooth val="0"/>
          <c:extLst>
            <c:ext xmlns:c16="http://schemas.microsoft.com/office/drawing/2014/chart" uri="{C3380CC4-5D6E-409C-BE32-E72D297353CC}">
              <c16:uniqueId val="{000000BE-3785-4075-B5FF-6DEE72F2A2D0}"/>
            </c:ext>
          </c:extLst>
        </c:ser>
        <c:dLbls>
          <c:showLegendKey val="0"/>
          <c:showVal val="0"/>
          <c:showCatName val="0"/>
          <c:showSerName val="0"/>
          <c:showPercent val="0"/>
          <c:showBubbleSize val="0"/>
        </c:dLbls>
        <c:axId val="1162121535"/>
        <c:axId val="1162115295"/>
      </c:scatterChart>
      <c:valAx>
        <c:axId val="1162115295"/>
        <c:scaling>
          <c:orientation val="minMax"/>
          <c:max val="10"/>
          <c:min val="-10"/>
        </c:scaling>
        <c:delete val="1"/>
        <c:axPos val="l"/>
        <c:numFmt formatCode="General" sourceLinked="1"/>
        <c:majorTickMark val="out"/>
        <c:minorTickMark val="none"/>
        <c:tickLblPos val="nextTo"/>
        <c:crossAx val="1162121535"/>
        <c:crosses val="autoZero"/>
        <c:crossBetween val="midCat"/>
      </c:valAx>
      <c:valAx>
        <c:axId val="1162121535"/>
        <c:scaling>
          <c:orientation val="minMax"/>
          <c:max val="10"/>
          <c:min val="-10"/>
        </c:scaling>
        <c:delete val="1"/>
        <c:axPos val="b"/>
        <c:numFmt formatCode="General" sourceLinked="1"/>
        <c:majorTickMark val="out"/>
        <c:minorTickMark val="none"/>
        <c:tickLblPos val="nextTo"/>
        <c:crossAx val="11621152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06368965030885"/>
          <c:y val="0.16414222510514798"/>
          <c:w val="0.47719416645619378"/>
          <c:h val="0.69558661341399863"/>
        </c:manualLayout>
      </c:layout>
      <c:doughnutChart>
        <c:varyColors val="1"/>
        <c:ser>
          <c:idx val="0"/>
          <c:order val="0"/>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01-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03-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05-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07-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09-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0B-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0D-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0F-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11-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13-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15-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17-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19-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01B-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01D-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01F-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021-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023-9EBB-4DC0-93D2-EC2C916907B2}"/>
              </c:ext>
            </c:extLst>
          </c:dPt>
          <c:val>
            <c:numRef>
              <c:f>'[2]Environmental Indicator'!$K$2:$AB$2</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24-9EBB-4DC0-93D2-EC2C916907B2}"/>
            </c:ext>
          </c:extLst>
        </c:ser>
        <c:ser>
          <c:idx val="1"/>
          <c:order val="1"/>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26-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28-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2A-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2C-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2E-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30-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32-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34-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36-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38-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3A-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3C-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3E-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040-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042-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044-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046-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048-9EBB-4DC0-93D2-EC2C916907B2}"/>
              </c:ext>
            </c:extLst>
          </c:dPt>
          <c:val>
            <c:numRef>
              <c:f>'[2]Environmental Indicator'!$K$3:$AB$3</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49-9EBB-4DC0-93D2-EC2C916907B2}"/>
            </c:ext>
          </c:extLst>
        </c:ser>
        <c:ser>
          <c:idx val="2"/>
          <c:order val="2"/>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4B-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4D-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4F-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51-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53-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55-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57-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59-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5B-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5D-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5F-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61-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63-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065-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067-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069-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06B-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06D-9EBB-4DC0-93D2-EC2C916907B2}"/>
              </c:ext>
            </c:extLst>
          </c:dPt>
          <c:val>
            <c:numRef>
              <c:f>'[2]Environmental Indicator'!$K$4:$AB$4</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6E-9EBB-4DC0-93D2-EC2C916907B2}"/>
            </c:ext>
          </c:extLst>
        </c:ser>
        <c:ser>
          <c:idx val="3"/>
          <c:order val="3"/>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70-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72-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74-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76-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78-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7A-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7C-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7E-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80-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82-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84-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86-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88-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08A-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08C-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08E-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090-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092-9EBB-4DC0-93D2-EC2C916907B2}"/>
              </c:ext>
            </c:extLst>
          </c:dPt>
          <c:val>
            <c:numRef>
              <c:f>'[2]Environmental Indicator'!$K$5:$AB$5</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93-9EBB-4DC0-93D2-EC2C916907B2}"/>
            </c:ext>
          </c:extLst>
        </c:ser>
        <c:ser>
          <c:idx val="4"/>
          <c:order val="4"/>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95-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97-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99-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9B-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9D-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9F-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A1-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A3-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A5-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A7-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A9-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AB-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AD-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0AF-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0B1-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0B3-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0B5-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0B7-9EBB-4DC0-93D2-EC2C916907B2}"/>
              </c:ext>
            </c:extLst>
          </c:dPt>
          <c:val>
            <c:numRef>
              <c:f>'[2]Environmental Indicator'!$K$6:$AB$6</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B8-9EBB-4DC0-93D2-EC2C916907B2}"/>
            </c:ext>
          </c:extLst>
        </c:ser>
        <c:ser>
          <c:idx val="5"/>
          <c:order val="5"/>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BA-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BC-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BE-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C0-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C2-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C4-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C6-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C8-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CA-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CC-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CE-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D0-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D2-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0D4-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0D6-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0D8-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0DA-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0DC-9EBB-4DC0-93D2-EC2C916907B2}"/>
              </c:ext>
            </c:extLst>
          </c:dPt>
          <c:val>
            <c:numRef>
              <c:f>'[2]Environmental Indicator'!$K$7:$AB$7</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DD-9EBB-4DC0-93D2-EC2C916907B2}"/>
            </c:ext>
          </c:extLst>
        </c:ser>
        <c:ser>
          <c:idx val="6"/>
          <c:order val="6"/>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DF-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E1-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E3-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E5-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E7-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E9-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EB-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ED-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EF-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F1-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F3-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F5-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F7-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0F9-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0FB-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0FD-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0FF-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101-9EBB-4DC0-93D2-EC2C916907B2}"/>
              </c:ext>
            </c:extLst>
          </c:dPt>
          <c:val>
            <c:numRef>
              <c:f>'[2]Environmental Indicator'!$K$8:$AB$8</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102-9EBB-4DC0-93D2-EC2C916907B2}"/>
            </c:ext>
          </c:extLst>
        </c:ser>
        <c:ser>
          <c:idx val="7"/>
          <c:order val="7"/>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104-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106-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108-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10A-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10C-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10E-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110-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112-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114-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116-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118-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11A-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11C-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11E-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120-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122-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124-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126-9EBB-4DC0-93D2-EC2C916907B2}"/>
              </c:ext>
            </c:extLst>
          </c:dPt>
          <c:val>
            <c:numRef>
              <c:f>'[2]Environmental Indicator'!$K$9:$AB$9</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127-9EBB-4DC0-93D2-EC2C916907B2}"/>
            </c:ext>
          </c:extLst>
        </c:ser>
        <c:ser>
          <c:idx val="8"/>
          <c:order val="8"/>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129-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12B-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12D-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12F-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131-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133-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135-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137-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139-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13B-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13D-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13F-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141-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143-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145-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147-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149-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14B-9EBB-4DC0-93D2-EC2C916907B2}"/>
              </c:ext>
            </c:extLst>
          </c:dPt>
          <c:val>
            <c:numRef>
              <c:f>'[2]Environmental Indicator'!$K$10:$AB$10</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14C-9EBB-4DC0-93D2-EC2C916907B2}"/>
            </c:ext>
          </c:extLst>
        </c:ser>
        <c:ser>
          <c:idx val="9"/>
          <c:order val="9"/>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14E-9EBB-4DC0-93D2-EC2C916907B2}"/>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150-9EBB-4DC0-93D2-EC2C916907B2}"/>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152-9EBB-4DC0-93D2-EC2C916907B2}"/>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154-9EBB-4DC0-93D2-EC2C916907B2}"/>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156-9EBB-4DC0-93D2-EC2C916907B2}"/>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158-9EBB-4DC0-93D2-EC2C916907B2}"/>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15A-9EBB-4DC0-93D2-EC2C916907B2}"/>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15C-9EBB-4DC0-93D2-EC2C916907B2}"/>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15E-9EBB-4DC0-93D2-EC2C916907B2}"/>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160-9EBB-4DC0-93D2-EC2C916907B2}"/>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162-9EBB-4DC0-93D2-EC2C916907B2}"/>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164-9EBB-4DC0-93D2-EC2C916907B2}"/>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166-9EBB-4DC0-93D2-EC2C916907B2}"/>
              </c:ext>
            </c:extLst>
          </c:dPt>
          <c:dPt>
            <c:idx val="13"/>
            <c:bubble3D val="0"/>
            <c:spPr>
              <a:noFill/>
              <a:ln w="6350">
                <a:solidFill>
                  <a:schemeClr val="bg2">
                    <a:lumMod val="90000"/>
                  </a:schemeClr>
                </a:solidFill>
              </a:ln>
              <a:effectLst/>
            </c:spPr>
            <c:extLst>
              <c:ext xmlns:c16="http://schemas.microsoft.com/office/drawing/2014/chart" uri="{C3380CC4-5D6E-409C-BE32-E72D297353CC}">
                <c16:uniqueId val="{00000168-9EBB-4DC0-93D2-EC2C916907B2}"/>
              </c:ext>
            </c:extLst>
          </c:dPt>
          <c:dPt>
            <c:idx val="14"/>
            <c:bubble3D val="0"/>
            <c:spPr>
              <a:noFill/>
              <a:ln w="6350">
                <a:solidFill>
                  <a:schemeClr val="bg2">
                    <a:lumMod val="90000"/>
                  </a:schemeClr>
                </a:solidFill>
              </a:ln>
              <a:effectLst/>
            </c:spPr>
            <c:extLst>
              <c:ext xmlns:c16="http://schemas.microsoft.com/office/drawing/2014/chart" uri="{C3380CC4-5D6E-409C-BE32-E72D297353CC}">
                <c16:uniqueId val="{0000016A-9EBB-4DC0-93D2-EC2C916907B2}"/>
              </c:ext>
            </c:extLst>
          </c:dPt>
          <c:dPt>
            <c:idx val="15"/>
            <c:bubble3D val="0"/>
            <c:spPr>
              <a:noFill/>
              <a:ln w="6350">
                <a:solidFill>
                  <a:schemeClr val="bg2">
                    <a:lumMod val="90000"/>
                  </a:schemeClr>
                </a:solidFill>
              </a:ln>
              <a:effectLst/>
            </c:spPr>
            <c:extLst>
              <c:ext xmlns:c16="http://schemas.microsoft.com/office/drawing/2014/chart" uri="{C3380CC4-5D6E-409C-BE32-E72D297353CC}">
                <c16:uniqueId val="{0000016C-9EBB-4DC0-93D2-EC2C916907B2}"/>
              </c:ext>
            </c:extLst>
          </c:dPt>
          <c:dPt>
            <c:idx val="16"/>
            <c:bubble3D val="0"/>
            <c:spPr>
              <a:noFill/>
              <a:ln w="6350">
                <a:solidFill>
                  <a:schemeClr val="bg2">
                    <a:lumMod val="90000"/>
                  </a:schemeClr>
                </a:solidFill>
              </a:ln>
              <a:effectLst/>
            </c:spPr>
            <c:extLst>
              <c:ext xmlns:c16="http://schemas.microsoft.com/office/drawing/2014/chart" uri="{C3380CC4-5D6E-409C-BE32-E72D297353CC}">
                <c16:uniqueId val="{0000016E-9EBB-4DC0-93D2-EC2C916907B2}"/>
              </c:ext>
            </c:extLst>
          </c:dPt>
          <c:dPt>
            <c:idx val="17"/>
            <c:bubble3D val="0"/>
            <c:spPr>
              <a:noFill/>
              <a:ln w="6350">
                <a:solidFill>
                  <a:schemeClr val="bg2">
                    <a:lumMod val="90000"/>
                  </a:schemeClr>
                </a:solidFill>
              </a:ln>
              <a:effectLst/>
            </c:spPr>
            <c:extLst>
              <c:ext xmlns:c16="http://schemas.microsoft.com/office/drawing/2014/chart" uri="{C3380CC4-5D6E-409C-BE32-E72D297353CC}">
                <c16:uniqueId val="{00000170-9EBB-4DC0-93D2-EC2C916907B2}"/>
              </c:ext>
            </c:extLst>
          </c:dPt>
          <c:dLbls>
            <c:dLbl>
              <c:idx val="0"/>
              <c:layout>
                <c:manualLayout>
                  <c:x val="3.5080337608030122E-2"/>
                  <c:y val="-5.4607161671398577E-2"/>
                </c:manualLayout>
              </c:layout>
              <c:tx>
                <c:rich>
                  <a:bodyPr/>
                  <a:lstStyle/>
                  <a:p>
                    <a:fld id="{BDF42ACB-BD97-4853-8494-54040333A1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E-9EBB-4DC0-93D2-EC2C916907B2}"/>
                </c:ext>
              </c:extLst>
            </c:dLbl>
            <c:dLbl>
              <c:idx val="1"/>
              <c:layout>
                <c:manualLayout>
                  <c:x val="7.4101969919399518E-2"/>
                  <c:y val="-5.8481606317860355E-2"/>
                </c:manualLayout>
              </c:layout>
              <c:tx>
                <c:rich>
                  <a:bodyPr/>
                  <a:lstStyle/>
                  <a:p>
                    <a:fld id="{CD366488-B843-45E0-83DD-F93EB0027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0-9EBB-4DC0-93D2-EC2C916907B2}"/>
                </c:ext>
              </c:extLst>
            </c:dLbl>
            <c:dLbl>
              <c:idx val="2"/>
              <c:layout>
                <c:manualLayout>
                  <c:x val="8.3925926824632277E-2"/>
                  <c:y val="-5.8631161335738896E-2"/>
                </c:manualLayout>
              </c:layout>
              <c:tx>
                <c:rich>
                  <a:bodyPr/>
                  <a:lstStyle/>
                  <a:p>
                    <a:fld id="{C3159215-51BF-4A00-8F42-D136159EB0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2-9EBB-4DC0-93D2-EC2C916907B2}"/>
                </c:ext>
              </c:extLst>
            </c:dLbl>
            <c:dLbl>
              <c:idx val="3"/>
              <c:layout>
                <c:manualLayout>
                  <c:x val="4.2890131799780802E-2"/>
                  <c:y val="-5.1564034069453576E-2"/>
                </c:manualLayout>
              </c:layout>
              <c:tx>
                <c:rich>
                  <a:bodyPr/>
                  <a:lstStyle/>
                  <a:p>
                    <a:fld id="{FF660566-176E-454B-927F-5979357485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4-9EBB-4DC0-93D2-EC2C916907B2}"/>
                </c:ext>
              </c:extLst>
            </c:dLbl>
            <c:dLbl>
              <c:idx val="4"/>
              <c:layout>
                <c:manualLayout>
                  <c:x val="6.1876417990124118E-2"/>
                  <c:y val="-2.9317258966075066E-2"/>
                </c:manualLayout>
              </c:layout>
              <c:tx>
                <c:rich>
                  <a:bodyPr/>
                  <a:lstStyle/>
                  <a:p>
                    <a:fld id="{60257DAC-649E-4AC1-BB1C-711136AFED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6-9EBB-4DC0-93D2-EC2C916907B2}"/>
                </c:ext>
              </c:extLst>
            </c:dLbl>
            <c:dLbl>
              <c:idx val="5"/>
              <c:layout>
                <c:manualLayout>
                  <c:x val="8.4916588816228475E-2"/>
                  <c:y val="-1.4104045164869489E-2"/>
                </c:manualLayout>
              </c:layout>
              <c:tx>
                <c:rich>
                  <a:bodyPr/>
                  <a:lstStyle/>
                  <a:p>
                    <a:fld id="{F79F424B-E2F1-45B8-833E-89F6020849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8-9EBB-4DC0-93D2-EC2C916907B2}"/>
                </c:ext>
              </c:extLst>
            </c:dLbl>
            <c:dLbl>
              <c:idx val="6"/>
              <c:layout>
                <c:manualLayout>
                  <c:x val="0.10613817340629039"/>
                  <c:y val="1.1796944564877794E-2"/>
                </c:manualLayout>
              </c:layout>
              <c:tx>
                <c:rich>
                  <a:bodyPr/>
                  <a:lstStyle/>
                  <a:p>
                    <a:fld id="{DD48E575-21E4-441E-B474-D570671C71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A-9EBB-4DC0-93D2-EC2C916907B2}"/>
                </c:ext>
              </c:extLst>
            </c:dLbl>
            <c:dLbl>
              <c:idx val="7"/>
              <c:layout>
                <c:manualLayout>
                  <c:x val="9.3723677452491008E-2"/>
                  <c:y val="3.7243861391215972E-2"/>
                </c:manualLayout>
              </c:layout>
              <c:tx>
                <c:rich>
                  <a:bodyPr/>
                  <a:lstStyle/>
                  <a:p>
                    <a:fld id="{326C1BF4-73DD-49F8-BFEE-DA2C277E47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C-9EBB-4DC0-93D2-EC2C916907B2}"/>
                </c:ext>
              </c:extLst>
            </c:dLbl>
            <c:dLbl>
              <c:idx val="8"/>
              <c:layout>
                <c:manualLayout>
                  <c:x val="3.3701272703007656E-2"/>
                  <c:y val="4.4114814245022213E-2"/>
                </c:manualLayout>
              </c:layout>
              <c:tx>
                <c:rich>
                  <a:bodyPr/>
                  <a:lstStyle/>
                  <a:p>
                    <a:fld id="{54D69C58-D566-4DB6-A6E6-7EF4AEC673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E-9EBB-4DC0-93D2-EC2C916907B2}"/>
                </c:ext>
              </c:extLst>
            </c:dLbl>
            <c:dLbl>
              <c:idx val="9"/>
              <c:layout>
                <c:manualLayout>
                  <c:x val="-2.4476986601635899E-3"/>
                  <c:y val="5.8765238714609966E-2"/>
                </c:manualLayout>
              </c:layout>
              <c:tx>
                <c:rich>
                  <a:bodyPr/>
                  <a:lstStyle/>
                  <a:p>
                    <a:fld id="{061175E3-DCF3-4F58-95EC-E3D6977B91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0-9EBB-4DC0-93D2-EC2C916907B2}"/>
                </c:ext>
              </c:extLst>
            </c:dLbl>
            <c:dLbl>
              <c:idx val="10"/>
              <c:layout>
                <c:manualLayout>
                  <c:x val="-4.1544552693625163E-2"/>
                  <c:y val="6.4993030400507135E-2"/>
                </c:manualLayout>
              </c:layout>
              <c:tx>
                <c:rich>
                  <a:bodyPr/>
                  <a:lstStyle/>
                  <a:p>
                    <a:fld id="{4A18007C-06F2-4BE6-B413-CC784AFD66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2-9EBB-4DC0-93D2-EC2C916907B2}"/>
                </c:ext>
              </c:extLst>
            </c:dLbl>
            <c:dLbl>
              <c:idx val="11"/>
              <c:layout>
                <c:manualLayout>
                  <c:x val="-5.946349926598158E-2"/>
                  <c:y val="6.0507312252043179E-2"/>
                </c:manualLayout>
              </c:layout>
              <c:tx>
                <c:rich>
                  <a:bodyPr/>
                  <a:lstStyle/>
                  <a:p>
                    <a:fld id="{3FA9048B-CE30-4295-ACE6-5EC1CCFF5D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4-9EBB-4DC0-93D2-EC2C916907B2}"/>
                </c:ext>
              </c:extLst>
            </c:dLbl>
            <c:dLbl>
              <c:idx val="12"/>
              <c:layout>
                <c:manualLayout>
                  <c:x val="-8.3027310338133778E-2"/>
                  <c:y val="2.9666904425579128E-2"/>
                </c:manualLayout>
              </c:layout>
              <c:tx>
                <c:rich>
                  <a:bodyPr/>
                  <a:lstStyle/>
                  <a:p>
                    <a:fld id="{D40F78D2-B507-4DD8-9E16-505C8CC716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6-9EBB-4DC0-93D2-EC2C916907B2}"/>
                </c:ext>
              </c:extLst>
            </c:dLbl>
            <c:dLbl>
              <c:idx val="13"/>
              <c:layout>
                <c:manualLayout>
                  <c:x val="-0.11991782229070365"/>
                  <c:y val="2.4170104847018457E-2"/>
                </c:manualLayout>
              </c:layout>
              <c:tx>
                <c:rich>
                  <a:bodyPr/>
                  <a:lstStyle/>
                  <a:p>
                    <a:fld id="{9E417191-9440-4833-98E6-95A5286229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8-9EBB-4DC0-93D2-EC2C916907B2}"/>
                </c:ext>
              </c:extLst>
            </c:dLbl>
            <c:dLbl>
              <c:idx val="14"/>
              <c:layout>
                <c:manualLayout>
                  <c:x val="-9.2623499104214441E-2"/>
                  <c:y val="8.0392348824958586E-3"/>
                </c:manualLayout>
              </c:layout>
              <c:tx>
                <c:rich>
                  <a:bodyPr/>
                  <a:lstStyle/>
                  <a:p>
                    <a:fld id="{530CD4C7-E315-40A7-B5EF-485D048E85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A-9EBB-4DC0-93D2-EC2C916907B2}"/>
                </c:ext>
              </c:extLst>
            </c:dLbl>
            <c:dLbl>
              <c:idx val="15"/>
              <c:layout>
                <c:manualLayout>
                  <c:x val="-8.6790175881327619E-2"/>
                  <c:y val="-1.7491037421388047E-2"/>
                </c:manualLayout>
              </c:layout>
              <c:tx>
                <c:rich>
                  <a:bodyPr/>
                  <a:lstStyle/>
                  <a:p>
                    <a:fld id="{C80B598D-ECDA-4E45-9937-9348D7A31B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C-9EBB-4DC0-93D2-EC2C916907B2}"/>
                </c:ext>
              </c:extLst>
            </c:dLbl>
            <c:dLbl>
              <c:idx val="16"/>
              <c:layout>
                <c:manualLayout>
                  <c:x val="-0.10053358892542134"/>
                  <c:y val="-4.1611539232551502E-2"/>
                </c:manualLayout>
              </c:layout>
              <c:tx>
                <c:rich>
                  <a:bodyPr/>
                  <a:lstStyle/>
                  <a:p>
                    <a:fld id="{6224767F-196B-4FCD-8F35-91FEA433E8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E-9EBB-4DC0-93D2-EC2C916907B2}"/>
                </c:ext>
              </c:extLst>
            </c:dLbl>
            <c:dLbl>
              <c:idx val="17"/>
              <c:layout>
                <c:manualLayout>
                  <c:x val="7.9183399455652805E-3"/>
                  <c:y val="-5.7677328522211829E-2"/>
                </c:manualLayout>
              </c:layout>
              <c:tx>
                <c:rich>
                  <a:bodyPr/>
                  <a:lstStyle/>
                  <a:p>
                    <a:fld id="{EC9F5DB6-75A9-496D-B44A-FC24A2E855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0-9EBB-4DC0-93D2-EC2C916907B2}"/>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dLblPos val="bestFit"/>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'[2]Environmental Indicator'!$K$11:$AB$11</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5="http://schemas.microsoft.com/office/drawing/2012/chart" uri="{02D57815-91ED-43cb-92C2-25804820EDAC}">
              <c15:datalabelsRange>
                <c15:f>'[2]Environmental Indicator'!$D$3:$D$20</c15:f>
                <c15:dlblRangeCache>
                  <c:ptCount val="18"/>
                  <c:pt idx="0">
                    <c:v>mhaz,mat</c:v>
                  </c:pt>
                  <c:pt idx="1">
                    <c:v>mhaz,mat,spec</c:v>
                  </c:pt>
                  <c:pt idx="2">
                    <c:v>SHacute tox</c:v>
                  </c:pt>
                  <c:pt idx="3">
                    <c:v>EQ</c:v>
                  </c:pt>
                  <c:pt idx="4">
                    <c:v>EHair</c:v>
                  </c:pt>
                  <c:pt idx="5">
                    <c:v>EHwater</c:v>
                  </c:pt>
                  <c:pt idx="6">
                    <c:v>EHsolid</c:v>
                  </c:pt>
                  <c:pt idx="7">
                    <c:v>EHbioacc</c:v>
                  </c:pt>
                  <c:pt idx="8">
                    <c:v>ms,tot</c:v>
                  </c:pt>
                  <c:pt idx="9">
                    <c:v>ms,spec</c:v>
                  </c:pt>
                  <c:pt idx="10">
                    <c:v>ms,recov</c:v>
                  </c:pt>
                  <c:pt idx="11">
                    <c:v>ms,disp</c:v>
                  </c:pt>
                  <c:pt idx="12">
                    <c:v>ws,recycl</c:v>
                  </c:pt>
                  <c:pt idx="13">
                    <c:v>ws,non-recycl</c:v>
                  </c:pt>
                  <c:pt idx="14">
                    <c:v>ws,haz</c:v>
                  </c:pt>
                  <c:pt idx="15">
                    <c:v>ms,haz</c:v>
                  </c:pt>
                  <c:pt idx="16">
                    <c:v>ms,haz,spec</c:v>
                  </c:pt>
                  <c:pt idx="17">
                    <c:v>ms,n-haz</c:v>
                  </c:pt>
                </c15:dlblRangeCache>
              </c15:datalabelsRange>
            </c:ext>
            <c:ext xmlns:c16="http://schemas.microsoft.com/office/drawing/2014/chart" uri="{C3380CC4-5D6E-409C-BE32-E72D297353CC}">
              <c16:uniqueId val="{00000171-9EBB-4DC0-93D2-EC2C916907B2}"/>
            </c:ext>
          </c:extLst>
        </c:ser>
        <c:dLbls>
          <c:showLegendKey val="0"/>
          <c:showVal val="0"/>
          <c:showCatName val="0"/>
          <c:showSerName val="0"/>
          <c:showPercent val="0"/>
          <c:showBubbleSize val="0"/>
          <c:showLeaderLines val="1"/>
        </c:dLbls>
        <c:firstSliceAng val="20"/>
        <c:holeSize val="0"/>
      </c:doughnutChart>
      <c:scatterChart>
        <c:scatterStyle val="smoothMarker"/>
        <c:varyColors val="0"/>
        <c:ser>
          <c:idx val="10"/>
          <c:order val="10"/>
          <c:tx>
            <c:strRef>
              <c:f>'Environmental Indicator'!$A$2</c:f>
              <c:strCache>
                <c:ptCount val="1"/>
                <c:pt idx="0">
                  <c:v>Indicators</c:v>
                </c:pt>
              </c:strCache>
            </c:strRef>
          </c:tx>
          <c:spPr>
            <a:ln w="28575" cap="sq">
              <a:solidFill>
                <a:schemeClr val="accent6">
                  <a:lumMod val="75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xVal>
            <c:numRef>
              <c:f>'Environmental Indicator'!$G$2:$G$20</c:f>
              <c:numCache>
                <c:formatCode>General</c:formatCode>
                <c:ptCount val="19"/>
                <c:pt idx="0">
                  <c:v>0</c:v>
                </c:pt>
                <c:pt idx="1">
                  <c:v>0.74902411388321444</c:v>
                </c:pt>
                <c:pt idx="2">
                  <c:v>1.4077048652135209</c:v>
                </c:pt>
                <c:pt idx="3">
                  <c:v>8.1492990496115674</c:v>
                </c:pt>
                <c:pt idx="4">
                  <c:v>3.4369790580126058</c:v>
                </c:pt>
                <c:pt idx="5">
                  <c:v>9.4443063513870751</c:v>
                </c:pt>
                <c:pt idx="6">
                  <c:v>8.2012605738386348</c:v>
                </c:pt>
                <c:pt idx="7">
                  <c:v>6.4278760968653952</c:v>
                </c:pt>
                <c:pt idx="8">
                  <c:v>2.5993530892750836</c:v>
                </c:pt>
                <c:pt idx="9">
                  <c:v>2.3277820643263779E-17</c:v>
                </c:pt>
                <c:pt idx="10">
                  <c:v>-6.4983827231877039E-2</c:v>
                </c:pt>
                <c:pt idx="11">
                  <c:v>-1.7740938027348485</c:v>
                </c:pt>
                <c:pt idx="12">
                  <c:v>-2.3902301144450502</c:v>
                </c:pt>
                <c:pt idx="13">
                  <c:v>-2.7180693983136943</c:v>
                </c:pt>
                <c:pt idx="14">
                  <c:v>-2.7180693983136948</c:v>
                </c:pt>
                <c:pt idx="15">
                  <c:v>-8.6602540378443855</c:v>
                </c:pt>
                <c:pt idx="16">
                  <c:v>-6.4278760968653961</c:v>
                </c:pt>
                <c:pt idx="17">
                  <c:v>-3.4202014332566941</c:v>
                </c:pt>
                <c:pt idx="18">
                  <c:v>-2.45029690981724E-15</c:v>
                </c:pt>
              </c:numCache>
            </c:numRef>
          </c:xVal>
          <c:yVal>
            <c:numRef>
              <c:f>'Environmental Indicator'!$H$2:$H$20</c:f>
              <c:numCache>
                <c:formatCode>General</c:formatCode>
                <c:ptCount val="19"/>
                <c:pt idx="0">
                  <c:v>10</c:v>
                </c:pt>
                <c:pt idx="1">
                  <c:v>2.0579268395211394</c:v>
                </c:pt>
                <c:pt idx="2">
                  <c:v>1.6776373304305618</c:v>
                </c:pt>
                <c:pt idx="3">
                  <c:v>4.705000000000001</c:v>
                </c:pt>
                <c:pt idx="4">
                  <c:v>0.6060321400575871</c:v>
                </c:pt>
                <c:pt idx="5">
                  <c:v>-1.6652860238258615</c:v>
                </c:pt>
                <c:pt idx="6">
                  <c:v>-4.7349999999999985</c:v>
                </c:pt>
                <c:pt idx="7">
                  <c:v>-7.660444431189779</c:v>
                </c:pt>
                <c:pt idx="8">
                  <c:v>-7.1416639179729025</c:v>
                </c:pt>
                <c:pt idx="9">
                  <c:v>-0.19</c:v>
                </c:pt>
                <c:pt idx="10">
                  <c:v>-0.17854159794932262</c:v>
                </c:pt>
                <c:pt idx="11">
                  <c:v>-2.1142826630083795</c:v>
                </c:pt>
                <c:pt idx="12">
                  <c:v>-1.3800000000000014</c:v>
                </c:pt>
                <c:pt idx="13">
                  <c:v>-0.47926897036072774</c:v>
                </c:pt>
                <c:pt idx="14">
                  <c:v>0.47926897036072674</c:v>
                </c:pt>
                <c:pt idx="15">
                  <c:v>5.0000000000000009</c:v>
                </c:pt>
                <c:pt idx="16">
                  <c:v>7.6604444311897781</c:v>
                </c:pt>
                <c:pt idx="17">
                  <c:v>9.3969262078590816</c:v>
                </c:pt>
                <c:pt idx="18">
                  <c:v>10</c:v>
                </c:pt>
              </c:numCache>
            </c:numRef>
          </c:yVal>
          <c:smooth val="0"/>
          <c:extLst>
            <c:ext xmlns:c16="http://schemas.microsoft.com/office/drawing/2014/chart" uri="{C3380CC4-5D6E-409C-BE32-E72D297353CC}">
              <c16:uniqueId val="{00000172-9EBB-4DC0-93D2-EC2C916907B2}"/>
            </c:ext>
          </c:extLst>
        </c:ser>
        <c:dLbls>
          <c:showLegendKey val="0"/>
          <c:showVal val="0"/>
          <c:showCatName val="0"/>
          <c:showSerName val="0"/>
          <c:showPercent val="0"/>
          <c:showBubbleSize val="0"/>
        </c:dLbls>
        <c:axId val="1162121535"/>
        <c:axId val="1162115295"/>
      </c:scatterChart>
      <c:valAx>
        <c:axId val="1162115295"/>
        <c:scaling>
          <c:orientation val="minMax"/>
          <c:max val="10"/>
          <c:min val="-10"/>
        </c:scaling>
        <c:delete val="1"/>
        <c:axPos val="l"/>
        <c:numFmt formatCode="General" sourceLinked="1"/>
        <c:majorTickMark val="out"/>
        <c:minorTickMark val="none"/>
        <c:tickLblPos val="nextTo"/>
        <c:crossAx val="1162121535"/>
        <c:crosses val="autoZero"/>
        <c:crossBetween val="midCat"/>
      </c:valAx>
      <c:valAx>
        <c:axId val="1162121535"/>
        <c:scaling>
          <c:orientation val="minMax"/>
          <c:max val="10"/>
          <c:min val="-10"/>
        </c:scaling>
        <c:delete val="1"/>
        <c:axPos val="b"/>
        <c:numFmt formatCode="General" sourceLinked="1"/>
        <c:majorTickMark val="out"/>
        <c:minorTickMark val="none"/>
        <c:tickLblPos val="nextTo"/>
        <c:crossAx val="11621152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en-US"/>
              <a:t>GREENSCOPE Energy Indicator Results</a:t>
            </a:r>
          </a:p>
        </c:rich>
      </c:tx>
      <c:layout>
        <c:manualLayout>
          <c:xMode val="edge"/>
          <c:yMode val="edge"/>
          <c:x val="0.18751377317925289"/>
          <c:y val="7.0211903131105965E-2"/>
        </c:manualLayout>
      </c:layout>
      <c:overlay val="0"/>
      <c:spPr>
        <a:noFill/>
        <a:ln>
          <a:noFill/>
        </a:ln>
        <a:effectLst/>
      </c:spPr>
      <c:txPr>
        <a:bodyPr rot="0" spcFirstLastPara="1" vertOverflow="ellipsis" vert="horz" wrap="square" anchor="ctr" anchorCtr="1"/>
        <a:lstStyle/>
        <a:p>
          <a:pPr algn="ctr">
            <a:defRPr sz="168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25706368965030885"/>
          <c:y val="0.16414222510514798"/>
          <c:w val="0.47719416645619378"/>
          <c:h val="0.69558661341399863"/>
        </c:manualLayout>
      </c:layout>
      <c:doughnutChart>
        <c:varyColors val="1"/>
        <c:ser>
          <c:idx val="0"/>
          <c:order val="0"/>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01-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03-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05-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07-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09-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0B-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0D-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0F-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11-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Indicator'!$K$2:$S$2</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24-9E1C-4822-B8A4-C2D13B681C46}"/>
            </c:ext>
          </c:extLst>
        </c:ser>
        <c:ser>
          <c:idx val="1"/>
          <c:order val="1"/>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26-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28-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2A-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2C-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2E-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30-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32-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34-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36-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Indicator'!$K$3:$S$3</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49-9E1C-4822-B8A4-C2D13B681C46}"/>
            </c:ext>
          </c:extLst>
        </c:ser>
        <c:ser>
          <c:idx val="2"/>
          <c:order val="2"/>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4B-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4D-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4F-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51-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53-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55-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57-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59-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5B-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Indicator'!$K$4:$S$4</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6E-9E1C-4822-B8A4-C2D13B681C46}"/>
            </c:ext>
          </c:extLst>
        </c:ser>
        <c:ser>
          <c:idx val="3"/>
          <c:order val="3"/>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70-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72-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74-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76-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78-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7A-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7C-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7E-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80-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Indicator'!$K$5:$S$5</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93-9E1C-4822-B8A4-C2D13B681C46}"/>
            </c:ext>
          </c:extLst>
        </c:ser>
        <c:ser>
          <c:idx val="4"/>
          <c:order val="4"/>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95-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97-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99-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9B-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9D-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9F-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A1-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A3-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A5-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Indicator'!$K$6:$S$6</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B8-9E1C-4822-B8A4-C2D13B681C46}"/>
            </c:ext>
          </c:extLst>
        </c:ser>
        <c:ser>
          <c:idx val="5"/>
          <c:order val="5"/>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BA-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BC-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BE-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C0-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C2-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C4-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C6-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C8-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CA-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Indicator'!$K$7:$S$7</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DD-9E1C-4822-B8A4-C2D13B681C46}"/>
            </c:ext>
          </c:extLst>
        </c:ser>
        <c:ser>
          <c:idx val="6"/>
          <c:order val="6"/>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DF-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E1-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E3-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E5-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E7-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E9-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EB-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ED-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EF-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Indicator'!$K$8:$S$8</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102-9E1C-4822-B8A4-C2D13B681C46}"/>
            </c:ext>
          </c:extLst>
        </c:ser>
        <c:ser>
          <c:idx val="7"/>
          <c:order val="7"/>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104-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106-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108-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10A-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10C-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10E-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110-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112-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114-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Indicator'!$K$9:$S$9</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127-9E1C-4822-B8A4-C2D13B681C46}"/>
            </c:ext>
          </c:extLst>
        </c:ser>
        <c:ser>
          <c:idx val="8"/>
          <c:order val="8"/>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129-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12B-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12D-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12F-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131-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133-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135-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137-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139-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Indicator'!$K$10:$S$10</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14C-9E1C-4822-B8A4-C2D13B681C46}"/>
            </c:ext>
          </c:extLst>
        </c:ser>
        <c:ser>
          <c:idx val="9"/>
          <c:order val="9"/>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14E-9E1C-4822-B8A4-C2D13B681C46}"/>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150-9E1C-4822-B8A4-C2D13B681C46}"/>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152-9E1C-4822-B8A4-C2D13B681C46}"/>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154-9E1C-4822-B8A4-C2D13B681C46}"/>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156-9E1C-4822-B8A4-C2D13B681C46}"/>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158-9E1C-4822-B8A4-C2D13B681C46}"/>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15A-9E1C-4822-B8A4-C2D13B681C46}"/>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15C-9E1C-4822-B8A4-C2D13B681C46}"/>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15E-9E1C-4822-B8A4-C2D13B681C46}"/>
              </c:ext>
            </c:extLst>
          </c:dPt>
          <c:cat>
            <c:strRef>
              <c:f>'Energy Indicator'!$A$3:$A$11</c:f>
              <c:strCache>
                <c:ptCount val="9"/>
                <c:pt idx="0">
                  <c:v>Etotal</c:v>
                </c:pt>
                <c:pt idx="1">
                  <c:v>RSEI</c:v>
                </c:pt>
                <c:pt idx="2">
                  <c:v>REI</c:v>
                </c:pt>
                <c:pt idx="3">
                  <c:v>WTE</c:v>
                </c:pt>
                <c:pt idx="4">
                  <c:v>SRE</c:v>
                </c:pt>
                <c:pt idx="5">
                  <c:v>ηE</c:v>
                </c:pt>
                <c:pt idx="6">
                  <c:v>RIE</c:v>
                </c:pt>
                <c:pt idx="7">
                  <c:v>BFE</c:v>
                </c:pt>
                <c:pt idx="8">
                  <c:v>Erecycl</c:v>
                </c:pt>
              </c:strCache>
            </c:strRef>
          </c:cat>
          <c:val>
            <c:numRef>
              <c:f>'Energy Indicator'!$K$11:$S$11</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171-9E1C-4822-B8A4-C2D13B681C46}"/>
            </c:ext>
          </c:extLst>
        </c:ser>
        <c:dLbls>
          <c:showLegendKey val="0"/>
          <c:showVal val="0"/>
          <c:showCatName val="0"/>
          <c:showSerName val="0"/>
          <c:showPercent val="0"/>
          <c:showBubbleSize val="0"/>
          <c:showLeaderLines val="1"/>
        </c:dLbls>
        <c:firstSliceAng val="40"/>
        <c:holeSize val="0"/>
      </c:doughnutChart>
      <c:scatterChart>
        <c:scatterStyle val="smoothMarker"/>
        <c:varyColors val="0"/>
        <c:ser>
          <c:idx val="10"/>
          <c:order val="10"/>
          <c:tx>
            <c:strRef>
              <c:f>'Energy Indicator'!$A$2</c:f>
              <c:strCache>
                <c:ptCount val="1"/>
                <c:pt idx="0">
                  <c:v>Indicators</c:v>
                </c:pt>
              </c:strCache>
            </c:strRef>
          </c:tx>
          <c:spPr>
            <a:ln w="28575" cap="sq">
              <a:solidFill>
                <a:schemeClr val="accent2">
                  <a:lumMod val="75000"/>
                </a:schemeClr>
              </a:solidFill>
              <a:round/>
            </a:ln>
            <a:effectLst/>
          </c:spPr>
          <c:marker>
            <c:symbol val="circle"/>
            <c:size val="5"/>
            <c:spPr>
              <a:solidFill>
                <a:schemeClr val="accent6">
                  <a:lumMod val="50000"/>
                </a:schemeClr>
              </a:solidFill>
              <a:ln w="9525">
                <a:solidFill>
                  <a:schemeClr val="accent2">
                    <a:lumMod val="75000"/>
                  </a:schemeClr>
                </a:solidFill>
              </a:ln>
              <a:effectLst/>
            </c:spPr>
          </c:marker>
          <c:dLbls>
            <c:dLbl>
              <c:idx val="0"/>
              <c:layout>
                <c:manualLayout>
                  <c:x val="0.1992809450436569"/>
                  <c:y val="0.15867377146240369"/>
                </c:manualLayout>
              </c:layout>
              <c:tx>
                <c:rich>
                  <a:bodyPr/>
                  <a:lstStyle/>
                  <a:p>
                    <a:fld id="{5A9EB9D7-C4F7-42C3-97A0-24CCAC3207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A-9E1C-4822-B8A4-C2D13B681C46}"/>
                </c:ext>
              </c:extLst>
            </c:dLbl>
            <c:dLbl>
              <c:idx val="1"/>
              <c:layout>
                <c:manualLayout>
                  <c:x val="8.4232152028762192E-2"/>
                  <c:y val="0.1492007104795737"/>
                </c:manualLayout>
              </c:layout>
              <c:tx>
                <c:rich>
                  <a:bodyPr/>
                  <a:lstStyle/>
                  <a:p>
                    <a:fld id="{5390C912-BC18-47C1-894E-68AD1D0C48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3-9E1C-4822-B8A4-C2D13B681C46}"/>
                </c:ext>
              </c:extLst>
            </c:dLbl>
            <c:dLbl>
              <c:idx val="2"/>
              <c:layout>
                <c:manualLayout>
                  <c:x val="-7.6014381099126935E-2"/>
                  <c:y val="-0.18709295441089402"/>
                </c:manualLayout>
              </c:layout>
              <c:tx>
                <c:rich>
                  <a:bodyPr/>
                  <a:lstStyle/>
                  <a:p>
                    <a:fld id="{DDDF9FFF-1AC3-4D29-BF8A-A047B85DF4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4-9E1C-4822-B8A4-C2D13B681C46}"/>
                </c:ext>
              </c:extLst>
            </c:dLbl>
            <c:dLbl>
              <c:idx val="3"/>
              <c:layout>
                <c:manualLayout>
                  <c:x val="-0.36363636363636365"/>
                  <c:y val="0.16814683244523387"/>
                </c:manualLayout>
              </c:layout>
              <c:tx>
                <c:rich>
                  <a:bodyPr/>
                  <a:lstStyle/>
                  <a:p>
                    <a:fld id="{DF4563A4-A5D7-4C66-9B81-10CD511806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5-9E1C-4822-B8A4-C2D13B681C46}"/>
                </c:ext>
              </c:extLst>
            </c:dLbl>
            <c:dLbl>
              <c:idx val="4"/>
              <c:layout>
                <c:manualLayout>
                  <c:x val="-2.0544427324088267E-2"/>
                  <c:y val="3.078744819419775E-2"/>
                </c:manualLayout>
              </c:layout>
              <c:tx>
                <c:rich>
                  <a:bodyPr/>
                  <a:lstStyle/>
                  <a:p>
                    <a:fld id="{FEA3B233-9091-403F-9F24-89D751217B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B-9E1C-4822-B8A4-C2D13B681C46}"/>
                </c:ext>
              </c:extLst>
            </c:dLbl>
            <c:dLbl>
              <c:idx val="5"/>
              <c:layout>
                <c:manualLayout>
                  <c:x val="-0.19106317411402157"/>
                  <c:y val="-0.10657193605683846"/>
                </c:manualLayout>
              </c:layout>
              <c:tx>
                <c:rich>
                  <a:bodyPr/>
                  <a:lstStyle/>
                  <a:p>
                    <a:fld id="{D7C17D60-1436-4064-A1F2-353DE3BD3F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7-9E1C-4822-B8A4-C2D13B681C46}"/>
                </c:ext>
              </c:extLst>
            </c:dLbl>
            <c:dLbl>
              <c:idx val="6"/>
              <c:layout>
                <c:manualLayout>
                  <c:x val="-0.30200308166409867"/>
                  <c:y val="-6.8679692125518055E-2"/>
                </c:manualLayout>
              </c:layout>
              <c:tx>
                <c:rich>
                  <a:bodyPr/>
                  <a:lstStyle/>
                  <a:p>
                    <a:fld id="{DB0751E6-AB91-483F-AA90-3CA6395D9E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9-9E1C-4822-B8A4-C2D13B681C46}"/>
                </c:ext>
              </c:extLst>
            </c:dLbl>
            <c:dLbl>
              <c:idx val="7"/>
              <c:layout>
                <c:manualLayout>
                  <c:x val="-0.23626091422701589"/>
                  <c:y val="-0.23919478981645947"/>
                </c:manualLayout>
              </c:layout>
              <c:tx>
                <c:rich>
                  <a:bodyPr/>
                  <a:lstStyle/>
                  <a:p>
                    <a:fld id="{9697F0B7-CE34-478D-830B-6E65E6A215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8-9E1C-4822-B8A4-C2D13B681C46}"/>
                </c:ext>
              </c:extLst>
            </c:dLbl>
            <c:dLbl>
              <c:idx val="8"/>
              <c:layout>
                <c:manualLayout>
                  <c:x val="-7.8068823831535697E-2"/>
                  <c:y val="-0.30550621669626998"/>
                </c:manualLayout>
              </c:layout>
              <c:tx>
                <c:rich>
                  <a:bodyPr/>
                  <a:lstStyle/>
                  <a:p>
                    <a:fld id="{144B0100-8F63-4F68-8ECB-B11F2C627D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6-9E1C-4822-B8A4-C2D13B681C46}"/>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C-9E1C-4822-B8A4-C2D13B681C4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'Energy Indicator'!$G$2:$G$11</c:f>
              <c:numCache>
                <c:formatCode>General</c:formatCode>
                <c:ptCount val="10"/>
                <c:pt idx="0">
                  <c:v>0</c:v>
                </c:pt>
                <c:pt idx="1">
                  <c:v>6.1329951775984908</c:v>
                </c:pt>
                <c:pt idx="2">
                  <c:v>9.396293750949626</c:v>
                </c:pt>
                <c:pt idx="3">
                  <c:v>8.2629620500585883</c:v>
                </c:pt>
                <c:pt idx="4">
                  <c:v>3.4202014332566888</c:v>
                </c:pt>
                <c:pt idx="5">
                  <c:v>-3.4202014332566866</c:v>
                </c:pt>
                <c:pt idx="6">
                  <c:v>-0.49063173607750465</c:v>
                </c:pt>
                <c:pt idx="7">
                  <c:v>-2.4620151849289371E-2</c:v>
                </c:pt>
                <c:pt idx="8">
                  <c:v>-3.6507289988753591E-2</c:v>
                </c:pt>
                <c:pt idx="9">
                  <c:v>0</c:v>
                </c:pt>
              </c:numCache>
            </c:numRef>
          </c:xVal>
          <c:yVal>
            <c:numRef>
              <c:f>'Energy Indicator'!$H$2:$H$11</c:f>
              <c:numCache>
                <c:formatCode>General</c:formatCode>
                <c:ptCount val="10"/>
                <c:pt idx="0">
                  <c:v>0</c:v>
                </c:pt>
                <c:pt idx="1">
                  <c:v>7.3090190362659664</c:v>
                </c:pt>
                <c:pt idx="2">
                  <c:v>1.6568201069547652</c:v>
                </c:pt>
                <c:pt idx="3">
                  <c:v>-4.7706233639049858</c:v>
                </c:pt>
                <c:pt idx="4">
                  <c:v>-9.3969262078590834</c:v>
                </c:pt>
                <c:pt idx="5">
                  <c:v>-9.3969262078590852</c:v>
                </c:pt>
                <c:pt idx="6">
                  <c:v>-0.2832663648973211</c:v>
                </c:pt>
                <c:pt idx="7">
                  <c:v>4.3411970401691152E-3</c:v>
                </c:pt>
                <c:pt idx="8">
                  <c:v>4.35076939999757E-2</c:v>
                </c:pt>
                <c:pt idx="9">
                  <c:v>0</c:v>
                </c:pt>
              </c:numCache>
            </c:numRef>
          </c:yVal>
          <c:smooth val="0"/>
          <c:extLst>
            <c:ext xmlns:c15="http://schemas.microsoft.com/office/drawing/2012/chart" uri="{02D57815-91ED-43cb-92C2-25804820EDAC}">
              <c15:datalabelsRange>
                <c15:f>'Energy Indicator'!$A$3:$A$11</c15:f>
                <c15:dlblRangeCache>
                  <c:ptCount val="9"/>
                  <c:pt idx="0">
                    <c:v>Etotal</c:v>
                  </c:pt>
                  <c:pt idx="1">
                    <c:v>RSEI</c:v>
                  </c:pt>
                  <c:pt idx="2">
                    <c:v>REI</c:v>
                  </c:pt>
                  <c:pt idx="3">
                    <c:v>WTE</c:v>
                  </c:pt>
                  <c:pt idx="4">
                    <c:v>SRE</c:v>
                  </c:pt>
                  <c:pt idx="5">
                    <c:v>ηE</c:v>
                  </c:pt>
                  <c:pt idx="6">
                    <c:v>RIE</c:v>
                  </c:pt>
                  <c:pt idx="7">
                    <c:v>BFE</c:v>
                  </c:pt>
                  <c:pt idx="8">
                    <c:v>Erecycl</c:v>
                  </c:pt>
                </c15:dlblRangeCache>
              </c15:datalabelsRange>
            </c:ext>
            <c:ext xmlns:c16="http://schemas.microsoft.com/office/drawing/2014/chart" uri="{C3380CC4-5D6E-409C-BE32-E72D297353CC}">
              <c16:uniqueId val="{00000172-9E1C-4822-B8A4-C2D13B681C46}"/>
            </c:ext>
          </c:extLst>
        </c:ser>
        <c:dLbls>
          <c:showLegendKey val="0"/>
          <c:showVal val="0"/>
          <c:showCatName val="0"/>
          <c:showSerName val="0"/>
          <c:showPercent val="0"/>
          <c:showBubbleSize val="0"/>
        </c:dLbls>
        <c:axId val="1162121535"/>
        <c:axId val="1162115295"/>
      </c:scatterChart>
      <c:valAx>
        <c:axId val="1162115295"/>
        <c:scaling>
          <c:orientation val="minMax"/>
          <c:max val="10"/>
          <c:min val="-10"/>
        </c:scaling>
        <c:delete val="1"/>
        <c:axPos val="l"/>
        <c:numFmt formatCode="General" sourceLinked="1"/>
        <c:majorTickMark val="out"/>
        <c:minorTickMark val="none"/>
        <c:tickLblPos val="nextTo"/>
        <c:crossAx val="1162121535"/>
        <c:crosses val="autoZero"/>
        <c:crossBetween val="midCat"/>
      </c:valAx>
      <c:valAx>
        <c:axId val="1162121535"/>
        <c:scaling>
          <c:orientation val="minMax"/>
          <c:max val="10"/>
          <c:min val="-10"/>
        </c:scaling>
        <c:delete val="1"/>
        <c:axPos val="b"/>
        <c:numFmt formatCode="General" sourceLinked="1"/>
        <c:majorTickMark val="out"/>
        <c:minorTickMark val="none"/>
        <c:tickLblPos val="nextTo"/>
        <c:crossAx val="11621152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a:t>GREENSCOPE Economic Indicator Results</a:t>
            </a:r>
          </a:p>
        </c:rich>
      </c:tx>
      <c:layout>
        <c:manualLayout>
          <c:xMode val="edge"/>
          <c:yMode val="edge"/>
          <c:x val="0.18751377317925289"/>
          <c:y val="7.0211903131105965E-2"/>
        </c:manualLayout>
      </c:layout>
      <c:overlay val="0"/>
      <c:spPr>
        <a:noFill/>
        <a:ln>
          <a:noFill/>
        </a:ln>
        <a:effectLst/>
      </c:spPr>
      <c:txPr>
        <a:bodyPr rot="0" spcFirstLastPara="1" vertOverflow="ellipsis" vert="horz" wrap="square" anchor="ctr" anchorCtr="1"/>
        <a:lstStyle/>
        <a:p>
          <a:pPr algn="ctr">
            <a:defRPr sz="168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25706368965030885"/>
          <c:y val="0.16414222510514798"/>
          <c:w val="0.47719416645619378"/>
          <c:h val="0.69558661341399863"/>
        </c:manualLayout>
      </c:layout>
      <c:doughnutChart>
        <c:varyColors val="1"/>
        <c:ser>
          <c:idx val="0"/>
          <c:order val="0"/>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01-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03-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05-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07-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09-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0B-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0D-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0F-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11-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13-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15-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17-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19-A6D1-4004-815F-C2F16452444F}"/>
              </c:ext>
            </c:extLst>
          </c:dPt>
          <c:val>
            <c:numRef>
              <c:f>'Economic Indicator'!$K$2:$W$2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24-A6D1-4004-815F-C2F16452444F}"/>
            </c:ext>
          </c:extLst>
        </c:ser>
        <c:ser>
          <c:idx val="1"/>
          <c:order val="1"/>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26-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28-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2A-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2C-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2E-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30-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32-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34-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36-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38-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3A-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3C-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3E-A6D1-4004-815F-C2F16452444F}"/>
              </c:ext>
            </c:extLst>
          </c:dPt>
          <c:val>
            <c:numRef>
              <c:f>'Economic Indicator'!$K$3:$W$3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49-A6D1-4004-815F-C2F16452444F}"/>
            </c:ext>
          </c:extLst>
        </c:ser>
        <c:ser>
          <c:idx val="2"/>
          <c:order val="2"/>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4B-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4D-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4F-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51-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53-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55-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57-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59-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5B-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5D-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5F-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61-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63-A6D1-4004-815F-C2F16452444F}"/>
              </c:ext>
            </c:extLst>
          </c:dPt>
          <c:val>
            <c:numRef>
              <c:f>'Economic Indicator'!$K$4:$W$4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6E-A6D1-4004-815F-C2F16452444F}"/>
            </c:ext>
          </c:extLst>
        </c:ser>
        <c:ser>
          <c:idx val="3"/>
          <c:order val="3"/>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70-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72-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74-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76-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78-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7A-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7C-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7E-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80-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82-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84-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86-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88-A6D1-4004-815F-C2F16452444F}"/>
              </c:ext>
            </c:extLst>
          </c:dPt>
          <c:val>
            <c:numRef>
              <c:f>'Economic Indicator'!$K$5:$W$5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93-A6D1-4004-815F-C2F16452444F}"/>
            </c:ext>
          </c:extLst>
        </c:ser>
        <c:ser>
          <c:idx val="4"/>
          <c:order val="4"/>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95-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97-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99-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9B-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9D-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9F-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A1-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A3-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A5-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A7-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A9-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AB-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AD-A6D1-4004-815F-C2F16452444F}"/>
              </c:ext>
            </c:extLst>
          </c:dPt>
          <c:val>
            <c:numRef>
              <c:f>'Economic Indicator'!$K$6:$W$6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B8-A6D1-4004-815F-C2F16452444F}"/>
            </c:ext>
          </c:extLst>
        </c:ser>
        <c:ser>
          <c:idx val="5"/>
          <c:order val="5"/>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BA-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BC-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BE-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C0-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C2-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C4-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C6-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C8-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CA-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CC-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CE-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D0-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D2-A6D1-4004-815F-C2F16452444F}"/>
              </c:ext>
            </c:extLst>
          </c:dPt>
          <c:val>
            <c:numRef>
              <c:f>'Economic Indicator'!$K$7:$W$7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DD-A6D1-4004-815F-C2F16452444F}"/>
            </c:ext>
          </c:extLst>
        </c:ser>
        <c:ser>
          <c:idx val="6"/>
          <c:order val="6"/>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0DF-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0E1-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0E3-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0E5-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0E7-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0E9-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0EB-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0ED-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0EF-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0F1-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0F3-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0F5-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0F7-A6D1-4004-815F-C2F16452444F}"/>
              </c:ext>
            </c:extLst>
          </c:dPt>
          <c:val>
            <c:numRef>
              <c:f>'Economic Indicator'!$K$8:$W$8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102-A6D1-4004-815F-C2F16452444F}"/>
            </c:ext>
          </c:extLst>
        </c:ser>
        <c:ser>
          <c:idx val="7"/>
          <c:order val="7"/>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104-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106-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108-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10A-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10C-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10E-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110-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112-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114-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116-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118-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11A-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11C-A6D1-4004-815F-C2F16452444F}"/>
              </c:ext>
            </c:extLst>
          </c:dPt>
          <c:val>
            <c:numRef>
              <c:f>'Economic Indicator'!$K$9:$W$9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127-A6D1-4004-815F-C2F16452444F}"/>
            </c:ext>
          </c:extLst>
        </c:ser>
        <c:ser>
          <c:idx val="8"/>
          <c:order val="8"/>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129-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12B-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12D-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12F-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131-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133-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135-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137-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139-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13B-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13D-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13F-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141-A6D1-4004-815F-C2F16452444F}"/>
              </c:ext>
            </c:extLst>
          </c:dPt>
          <c:val>
            <c:numRef>
              <c:f>'Economic Indicator'!$K$10:$W$10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14C-A6D1-4004-815F-C2F16452444F}"/>
            </c:ext>
          </c:extLst>
        </c:ser>
        <c:ser>
          <c:idx val="9"/>
          <c:order val="9"/>
          <c:spPr>
            <a:noFill/>
            <a:ln w="6350">
              <a:solidFill>
                <a:schemeClr val="bg2">
                  <a:lumMod val="90000"/>
                </a:schemeClr>
              </a:solidFill>
            </a:ln>
          </c:spPr>
          <c:dPt>
            <c:idx val="0"/>
            <c:bubble3D val="0"/>
            <c:spPr>
              <a:noFill/>
              <a:ln w="6350">
                <a:solidFill>
                  <a:schemeClr val="bg2">
                    <a:lumMod val="90000"/>
                  </a:schemeClr>
                </a:solidFill>
              </a:ln>
              <a:effectLst/>
            </c:spPr>
            <c:extLst>
              <c:ext xmlns:c16="http://schemas.microsoft.com/office/drawing/2014/chart" uri="{C3380CC4-5D6E-409C-BE32-E72D297353CC}">
                <c16:uniqueId val="{0000014E-A6D1-4004-815F-C2F16452444F}"/>
              </c:ext>
            </c:extLst>
          </c:dPt>
          <c:dPt>
            <c:idx val="1"/>
            <c:bubble3D val="0"/>
            <c:spPr>
              <a:noFill/>
              <a:ln w="6350">
                <a:solidFill>
                  <a:schemeClr val="bg2">
                    <a:lumMod val="90000"/>
                  </a:schemeClr>
                </a:solidFill>
              </a:ln>
              <a:effectLst/>
            </c:spPr>
            <c:extLst>
              <c:ext xmlns:c16="http://schemas.microsoft.com/office/drawing/2014/chart" uri="{C3380CC4-5D6E-409C-BE32-E72D297353CC}">
                <c16:uniqueId val="{00000150-A6D1-4004-815F-C2F16452444F}"/>
              </c:ext>
            </c:extLst>
          </c:dPt>
          <c:dPt>
            <c:idx val="2"/>
            <c:bubble3D val="0"/>
            <c:spPr>
              <a:noFill/>
              <a:ln w="6350">
                <a:solidFill>
                  <a:schemeClr val="bg2">
                    <a:lumMod val="90000"/>
                  </a:schemeClr>
                </a:solidFill>
              </a:ln>
              <a:effectLst/>
            </c:spPr>
            <c:extLst>
              <c:ext xmlns:c16="http://schemas.microsoft.com/office/drawing/2014/chart" uri="{C3380CC4-5D6E-409C-BE32-E72D297353CC}">
                <c16:uniqueId val="{00000152-A6D1-4004-815F-C2F16452444F}"/>
              </c:ext>
            </c:extLst>
          </c:dPt>
          <c:dPt>
            <c:idx val="3"/>
            <c:bubble3D val="0"/>
            <c:spPr>
              <a:noFill/>
              <a:ln w="6350">
                <a:solidFill>
                  <a:schemeClr val="bg2">
                    <a:lumMod val="90000"/>
                  </a:schemeClr>
                </a:solidFill>
              </a:ln>
              <a:effectLst/>
            </c:spPr>
            <c:extLst>
              <c:ext xmlns:c16="http://schemas.microsoft.com/office/drawing/2014/chart" uri="{C3380CC4-5D6E-409C-BE32-E72D297353CC}">
                <c16:uniqueId val="{00000154-A6D1-4004-815F-C2F16452444F}"/>
              </c:ext>
            </c:extLst>
          </c:dPt>
          <c:dPt>
            <c:idx val="4"/>
            <c:bubble3D val="0"/>
            <c:spPr>
              <a:noFill/>
              <a:ln w="6350">
                <a:solidFill>
                  <a:schemeClr val="bg2">
                    <a:lumMod val="90000"/>
                  </a:schemeClr>
                </a:solidFill>
              </a:ln>
              <a:effectLst/>
            </c:spPr>
            <c:extLst>
              <c:ext xmlns:c16="http://schemas.microsoft.com/office/drawing/2014/chart" uri="{C3380CC4-5D6E-409C-BE32-E72D297353CC}">
                <c16:uniqueId val="{00000156-A6D1-4004-815F-C2F16452444F}"/>
              </c:ext>
            </c:extLst>
          </c:dPt>
          <c:dPt>
            <c:idx val="5"/>
            <c:bubble3D val="0"/>
            <c:spPr>
              <a:noFill/>
              <a:ln w="6350">
                <a:solidFill>
                  <a:schemeClr val="bg2">
                    <a:lumMod val="90000"/>
                  </a:schemeClr>
                </a:solidFill>
              </a:ln>
              <a:effectLst/>
            </c:spPr>
            <c:extLst>
              <c:ext xmlns:c16="http://schemas.microsoft.com/office/drawing/2014/chart" uri="{C3380CC4-5D6E-409C-BE32-E72D297353CC}">
                <c16:uniqueId val="{00000158-A6D1-4004-815F-C2F16452444F}"/>
              </c:ext>
            </c:extLst>
          </c:dPt>
          <c:dPt>
            <c:idx val="6"/>
            <c:bubble3D val="0"/>
            <c:spPr>
              <a:noFill/>
              <a:ln w="6350">
                <a:solidFill>
                  <a:schemeClr val="bg2">
                    <a:lumMod val="90000"/>
                  </a:schemeClr>
                </a:solidFill>
              </a:ln>
              <a:effectLst/>
            </c:spPr>
            <c:extLst>
              <c:ext xmlns:c16="http://schemas.microsoft.com/office/drawing/2014/chart" uri="{C3380CC4-5D6E-409C-BE32-E72D297353CC}">
                <c16:uniqueId val="{0000015A-A6D1-4004-815F-C2F16452444F}"/>
              </c:ext>
            </c:extLst>
          </c:dPt>
          <c:dPt>
            <c:idx val="7"/>
            <c:bubble3D val="0"/>
            <c:spPr>
              <a:noFill/>
              <a:ln w="6350">
                <a:solidFill>
                  <a:schemeClr val="bg2">
                    <a:lumMod val="90000"/>
                  </a:schemeClr>
                </a:solidFill>
              </a:ln>
              <a:effectLst/>
            </c:spPr>
            <c:extLst>
              <c:ext xmlns:c16="http://schemas.microsoft.com/office/drawing/2014/chart" uri="{C3380CC4-5D6E-409C-BE32-E72D297353CC}">
                <c16:uniqueId val="{0000015C-A6D1-4004-815F-C2F16452444F}"/>
              </c:ext>
            </c:extLst>
          </c:dPt>
          <c:dPt>
            <c:idx val="8"/>
            <c:bubble3D val="0"/>
            <c:spPr>
              <a:noFill/>
              <a:ln w="6350">
                <a:solidFill>
                  <a:schemeClr val="bg2">
                    <a:lumMod val="90000"/>
                  </a:schemeClr>
                </a:solidFill>
              </a:ln>
              <a:effectLst/>
            </c:spPr>
            <c:extLst>
              <c:ext xmlns:c16="http://schemas.microsoft.com/office/drawing/2014/chart" uri="{C3380CC4-5D6E-409C-BE32-E72D297353CC}">
                <c16:uniqueId val="{0000015E-A6D1-4004-815F-C2F16452444F}"/>
              </c:ext>
            </c:extLst>
          </c:dPt>
          <c:dPt>
            <c:idx val="9"/>
            <c:bubble3D val="0"/>
            <c:spPr>
              <a:noFill/>
              <a:ln w="6350">
                <a:solidFill>
                  <a:schemeClr val="bg2">
                    <a:lumMod val="90000"/>
                  </a:schemeClr>
                </a:solidFill>
              </a:ln>
              <a:effectLst/>
            </c:spPr>
            <c:extLst>
              <c:ext xmlns:c16="http://schemas.microsoft.com/office/drawing/2014/chart" uri="{C3380CC4-5D6E-409C-BE32-E72D297353CC}">
                <c16:uniqueId val="{00000160-A6D1-4004-815F-C2F16452444F}"/>
              </c:ext>
            </c:extLst>
          </c:dPt>
          <c:dPt>
            <c:idx val="10"/>
            <c:bubble3D val="0"/>
            <c:spPr>
              <a:noFill/>
              <a:ln w="6350">
                <a:solidFill>
                  <a:schemeClr val="bg2">
                    <a:lumMod val="90000"/>
                  </a:schemeClr>
                </a:solidFill>
              </a:ln>
              <a:effectLst/>
            </c:spPr>
            <c:extLst>
              <c:ext xmlns:c16="http://schemas.microsoft.com/office/drawing/2014/chart" uri="{C3380CC4-5D6E-409C-BE32-E72D297353CC}">
                <c16:uniqueId val="{00000162-A6D1-4004-815F-C2F16452444F}"/>
              </c:ext>
            </c:extLst>
          </c:dPt>
          <c:dPt>
            <c:idx val="11"/>
            <c:bubble3D val="0"/>
            <c:spPr>
              <a:noFill/>
              <a:ln w="6350">
                <a:solidFill>
                  <a:schemeClr val="bg2">
                    <a:lumMod val="90000"/>
                  </a:schemeClr>
                </a:solidFill>
              </a:ln>
              <a:effectLst/>
            </c:spPr>
            <c:extLst>
              <c:ext xmlns:c16="http://schemas.microsoft.com/office/drawing/2014/chart" uri="{C3380CC4-5D6E-409C-BE32-E72D297353CC}">
                <c16:uniqueId val="{00000164-A6D1-4004-815F-C2F16452444F}"/>
              </c:ext>
            </c:extLst>
          </c:dPt>
          <c:dPt>
            <c:idx val="12"/>
            <c:bubble3D val="0"/>
            <c:spPr>
              <a:noFill/>
              <a:ln w="6350">
                <a:solidFill>
                  <a:schemeClr val="bg2">
                    <a:lumMod val="90000"/>
                  </a:schemeClr>
                </a:solidFill>
              </a:ln>
              <a:effectLst/>
            </c:spPr>
            <c:extLst>
              <c:ext xmlns:c16="http://schemas.microsoft.com/office/drawing/2014/chart" uri="{C3380CC4-5D6E-409C-BE32-E72D297353CC}">
                <c16:uniqueId val="{00000166-A6D1-4004-815F-C2F16452444F}"/>
              </c:ext>
            </c:extLst>
          </c:dPt>
          <c:dLbls>
            <c:dLbl>
              <c:idx val="0"/>
              <c:layout>
                <c:manualLayout>
                  <c:x val="8.6441405918250974E-2"/>
                  <c:y val="-2.1627111098745166E-2"/>
                </c:manualLayout>
              </c:layout>
              <c:tx>
                <c:rich>
                  <a:bodyPr/>
                  <a:lstStyle/>
                  <a:p>
                    <a:fld id="{A05A2775-18E2-444C-9D52-9DAEA16D4D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E-A6D1-4004-815F-C2F16452444F}"/>
                </c:ext>
              </c:extLst>
            </c:dLbl>
            <c:dLbl>
              <c:idx val="1"/>
              <c:layout>
                <c:manualLayout>
                  <c:x val="9.4646397243487709E-2"/>
                  <c:y val="2.6324068148725184E-2"/>
                </c:manualLayout>
              </c:layout>
              <c:tx>
                <c:rich>
                  <a:bodyPr/>
                  <a:lstStyle/>
                  <a:p>
                    <a:fld id="{6241DB3C-9E21-4E83-95C5-7D47EC85D6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0-A6D1-4004-815F-C2F16452444F}"/>
                </c:ext>
              </c:extLst>
            </c:dLbl>
            <c:dLbl>
              <c:idx val="2"/>
              <c:layout>
                <c:manualLayout>
                  <c:x val="8.3925926824632138E-2"/>
                  <c:y val="5.6798827708373911E-2"/>
                </c:manualLayout>
              </c:layout>
              <c:tx>
                <c:rich>
                  <a:bodyPr/>
                  <a:lstStyle/>
                  <a:p>
                    <a:fld id="{4215C9D8-4BC6-44D5-A7E6-21D5BD0E04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2-A6D1-4004-815F-C2F16452444F}"/>
                </c:ext>
              </c:extLst>
            </c:dLbl>
            <c:dLbl>
              <c:idx val="3"/>
              <c:layout>
                <c:manualLayout>
                  <c:x val="7.1652330053504479E-2"/>
                  <c:y val="8.5067378945123021E-2"/>
                </c:manualLayout>
              </c:layout>
              <c:tx>
                <c:rich>
                  <a:bodyPr/>
                  <a:lstStyle/>
                  <a:p>
                    <a:fld id="{95D6A587-23FB-490B-A443-CF701578B2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4-A6D1-4004-815F-C2F16452444F}"/>
                </c:ext>
              </c:extLst>
            </c:dLbl>
            <c:dLbl>
              <c:idx val="4"/>
              <c:layout>
                <c:manualLayout>
                  <c:x val="1.4624235144720782E-2"/>
                  <c:y val="8.3756897878931216E-2"/>
                </c:manualLayout>
              </c:layout>
              <c:tx>
                <c:rich>
                  <a:bodyPr/>
                  <a:lstStyle/>
                  <a:p>
                    <a:fld id="{A02C8156-0F12-4C4C-8691-E2CDD92B2F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6-A6D1-4004-815F-C2F16452444F}"/>
                </c:ext>
              </c:extLst>
            </c:dLbl>
            <c:dLbl>
              <c:idx val="5"/>
              <c:layout>
                <c:manualLayout>
                  <c:x val="-3.0132204198666229E-2"/>
                  <c:y val="6.8345900225369349E-2"/>
                </c:manualLayout>
              </c:layout>
              <c:tx>
                <c:rich>
                  <a:bodyPr/>
                  <a:lstStyle/>
                  <a:p>
                    <a:fld id="{7336EA95-E0E1-4F16-9CB6-C71A34781B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8-A6D1-4004-815F-C2F16452444F}"/>
                </c:ext>
              </c:extLst>
            </c:dLbl>
            <c:dLbl>
              <c:idx val="6"/>
              <c:layout>
                <c:manualLayout>
                  <c:x val="-9.3142771637366589E-2"/>
                  <c:y val="4.0065477681014081E-2"/>
                </c:manualLayout>
              </c:layout>
              <c:tx>
                <c:rich>
                  <a:bodyPr/>
                  <a:lstStyle/>
                  <a:p>
                    <a:fld id="{9AA74352-CF40-448E-9A23-FCCA6446FC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A-A6D1-4004-815F-C2F16452444F}"/>
                </c:ext>
              </c:extLst>
            </c:dLbl>
            <c:dLbl>
              <c:idx val="7"/>
              <c:layout>
                <c:manualLayout>
                  <c:x val="-0.10966615305598361"/>
                  <c:y val="1.6042402826855037E-2"/>
                </c:manualLayout>
              </c:layout>
              <c:tx>
                <c:rich>
                  <a:bodyPr/>
                  <a:lstStyle/>
                  <a:p>
                    <a:fld id="{3AA00B39-98A6-4BBB-B0B0-921F7997F8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C-A6D1-4004-815F-C2F16452444F}"/>
                </c:ext>
              </c:extLst>
            </c:dLbl>
            <c:dLbl>
              <c:idx val="8"/>
              <c:layout>
                <c:manualLayout>
                  <c:x val="-0.10189194763597541"/>
                  <c:y val="-4.0690761711323187E-2"/>
                </c:manualLayout>
              </c:layout>
              <c:tx>
                <c:rich>
                  <a:bodyPr/>
                  <a:lstStyle/>
                  <a:p>
                    <a:fld id="{8549C679-02AE-4365-89AC-882FAFC555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E-A6D1-4004-815F-C2F16452444F}"/>
                </c:ext>
              </c:extLst>
            </c:dLbl>
            <c:dLbl>
              <c:idx val="9"/>
              <c:layout>
                <c:manualLayout>
                  <c:x val="-6.4080980632428675E-2"/>
                  <c:y val="-7.5510419854761965E-2"/>
                </c:manualLayout>
              </c:layout>
              <c:tx>
                <c:rich>
                  <a:bodyPr/>
                  <a:lstStyle/>
                  <a:p>
                    <a:fld id="{808A1F48-1A2F-41D2-9471-3CEE8F6E26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0-A6D1-4004-815F-C2F16452444F}"/>
                </c:ext>
              </c:extLst>
            </c:dLbl>
            <c:dLbl>
              <c:idx val="10"/>
              <c:layout>
                <c:manualLayout>
                  <c:x val="-5.5925651820486998E-2"/>
                  <c:y val="-9.0484034018715895E-2"/>
                </c:manualLayout>
              </c:layout>
              <c:tx>
                <c:rich>
                  <a:bodyPr/>
                  <a:lstStyle/>
                  <a:p>
                    <a:fld id="{05B86BEC-4331-4C9F-957B-B1A164B02F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2-A6D1-4004-815F-C2F16452444F}"/>
                </c:ext>
              </c:extLst>
            </c:dLbl>
            <c:dLbl>
              <c:idx val="11"/>
              <c:layout>
                <c:manualLayout>
                  <c:x val="-8.1024309557607681E-3"/>
                  <c:y val="-6.4345455051334127E-2"/>
                </c:manualLayout>
              </c:layout>
              <c:tx>
                <c:rich>
                  <a:bodyPr/>
                  <a:lstStyle/>
                  <a:p>
                    <a:fld id="{A6124459-89ED-4D25-BA83-79CED79631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4-A6D1-4004-815F-C2F16452444F}"/>
                </c:ext>
              </c:extLst>
            </c:dLbl>
            <c:dLbl>
              <c:idx val="12"/>
              <c:layout>
                <c:manualLayout>
                  <c:x val="6.0783680930484536E-2"/>
                  <c:y val="-5.9850124741474456E-2"/>
                </c:manualLayout>
              </c:layout>
              <c:tx>
                <c:rich>
                  <a:bodyPr/>
                  <a:lstStyle/>
                  <a:p>
                    <a:fld id="{F294FAFB-6FF5-4934-877D-C5635AA4F4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6-A6D1-4004-815F-C2F16452444F}"/>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bestFit"/>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'Economic Indicator'!$K$11:$W$11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5="http://schemas.microsoft.com/office/drawing/2012/chart" uri="{02D57815-91ED-43cb-92C2-25804820EDAC}">
              <c15:datalabelsRange>
                <c15:f>'Economic Indicator'!$A$3:$A$15</c15:f>
                <c15:dlblRangeCache>
                  <c:ptCount val="13"/>
                  <c:pt idx="0">
                    <c:v>TPC</c:v>
                  </c:pt>
                  <c:pt idx="1">
                    <c:v>COM</c:v>
                  </c:pt>
                  <c:pt idx="2">
                    <c:v>CSRM</c:v>
                  </c:pt>
                  <c:pt idx="3">
                    <c:v>Cmat. tot.</c:v>
                  </c:pt>
                  <c:pt idx="4">
                    <c:v>CE, tot.</c:v>
                  </c:pt>
                  <c:pt idx="5">
                    <c:v>CE, source</c:v>
                  </c:pt>
                  <c:pt idx="6">
                    <c:v>CE, spec.</c:v>
                  </c:pt>
                  <c:pt idx="7">
                    <c:v>Cs tot.</c:v>
                  </c:pt>
                  <c:pt idx="8">
                    <c:v>Cs, spec.</c:v>
                  </c:pt>
                  <c:pt idx="9">
                    <c:v>Cl tot.</c:v>
                  </c:pt>
                  <c:pt idx="10">
                    <c:v>Cl, spec.</c:v>
                  </c:pt>
                  <c:pt idx="11">
                    <c:v>REV</c:v>
                  </c:pt>
                  <c:pt idx="12">
                    <c:v> REVeco-prod</c:v>
                  </c:pt>
                </c15:dlblRangeCache>
              </c15:datalabelsRange>
            </c:ext>
            <c:ext xmlns:c16="http://schemas.microsoft.com/office/drawing/2014/chart" uri="{C3380CC4-5D6E-409C-BE32-E72D297353CC}">
              <c16:uniqueId val="{00000171-A6D1-4004-815F-C2F16452444F}"/>
            </c:ext>
          </c:extLst>
        </c:ser>
        <c:dLbls>
          <c:showLegendKey val="0"/>
          <c:showVal val="0"/>
          <c:showCatName val="0"/>
          <c:showSerName val="0"/>
          <c:showPercent val="0"/>
          <c:showBubbleSize val="0"/>
          <c:showLeaderLines val="1"/>
        </c:dLbls>
        <c:firstSliceAng val="0"/>
        <c:holeSize val="0"/>
      </c:doughnutChart>
      <c:scatterChart>
        <c:scatterStyle val="smoothMarker"/>
        <c:varyColors val="0"/>
        <c:ser>
          <c:idx val="10"/>
          <c:order val="10"/>
          <c:tx>
            <c:strRef>
              <c:f>'Economic Indicator'!$A$2</c:f>
              <c:strCache>
                <c:ptCount val="1"/>
                <c:pt idx="0">
                  <c:v>Indicators</c:v>
                </c:pt>
              </c:strCache>
            </c:strRef>
          </c:tx>
          <c:spPr>
            <a:ln w="28575" cap="sq">
              <a:solidFill>
                <a:srgbClr val="7030A0"/>
              </a:solidFill>
              <a:round/>
            </a:ln>
            <a:effectLst/>
          </c:spPr>
          <c:marker>
            <c:symbol val="circle"/>
            <c:size val="5"/>
            <c:spPr>
              <a:solidFill>
                <a:schemeClr val="accent6">
                  <a:lumMod val="50000"/>
                </a:schemeClr>
              </a:solidFill>
              <a:ln w="9525">
                <a:solidFill>
                  <a:srgbClr val="7030A0"/>
                </a:solidFill>
              </a:ln>
              <a:effectLst/>
            </c:spPr>
          </c:marker>
          <c:xVal>
            <c:numRef>
              <c:f>'Economic Indicator'!$G$2:$G$15</c:f>
              <c:numCache>
                <c:formatCode>@</c:formatCode>
                <c:ptCount val="14"/>
                <c:pt idx="0" formatCode="General">
                  <c:v>0</c:v>
                </c:pt>
                <c:pt idx="1">
                  <c:v>3.4784104049958673</c:v>
                </c:pt>
                <c:pt idx="2" formatCode="General">
                  <c:v>5.6112536310931125</c:v>
                </c:pt>
                <c:pt idx="3" formatCode="General">
                  <c:v>8.5005997708217809</c:v>
                </c:pt>
                <c:pt idx="4" formatCode="General">
                  <c:v>8.0065758105645823</c:v>
                </c:pt>
                <c:pt idx="5" formatCode="General">
                  <c:v>5.752451887247239</c:v>
                </c:pt>
                <c:pt idx="6" formatCode="General">
                  <c:v>2.0760138830588684</c:v>
                </c:pt>
                <c:pt idx="7" formatCode="General">
                  <c:v>-2.014367092413639</c:v>
                </c:pt>
                <c:pt idx="8" formatCode="General">
                  <c:v>-6.1012752194284232</c:v>
                </c:pt>
                <c:pt idx="9" formatCode="General">
                  <c:v>-8.6029203803620558</c:v>
                </c:pt>
                <c:pt idx="10" formatCode="General">
                  <c:v>-9.1337401585843505</c:v>
                </c:pt>
                <c:pt idx="11" formatCode="General">
                  <c:v>-7.5721301399763847</c:v>
                </c:pt>
                <c:pt idx="12" formatCode="General">
                  <c:v>-4.6472317204376994</c:v>
                </c:pt>
                <c:pt idx="13" formatCode="General">
                  <c:v>-2.0213865303819745E-14</c:v>
                </c:pt>
              </c:numCache>
            </c:numRef>
          </c:xVal>
          <c:yVal>
            <c:numRef>
              <c:f>'Economic Indicator'!$H$2:$H$15</c:f>
              <c:numCache>
                <c:formatCode>General</c:formatCode>
                <c:ptCount val="14"/>
                <c:pt idx="0">
                  <c:v>10</c:v>
                </c:pt>
                <c:pt idx="1">
                  <c:v>6.6275573030998647</c:v>
                </c:pt>
                <c:pt idx="2">
                  <c:v>3.873168727712426</c:v>
                </c:pt>
                <c:pt idx="3" formatCode="@">
                  <c:v>1.0321596827518735</c:v>
                </c:pt>
                <c:pt idx="4">
                  <c:v>-3.036493679241878</c:v>
                </c:pt>
                <c:pt idx="5">
                  <c:v>-6.4931759040846471</c:v>
                </c:pt>
                <c:pt idx="6">
                  <c:v>-8.4227194179686773</c:v>
                </c:pt>
                <c:pt idx="7">
                  <c:v>-8.1726085565432953</c:v>
                </c:pt>
                <c:pt idx="8">
                  <c:v>-6.8869160517115713</c:v>
                </c:pt>
                <c:pt idx="9" formatCode="@">
                  <c:v>-3.2626573426710075</c:v>
                </c:pt>
                <c:pt idx="10">
                  <c:v>1.1090368442921013</c:v>
                </c:pt>
                <c:pt idx="11">
                  <c:v>5.2266640555707315</c:v>
                </c:pt>
                <c:pt idx="12">
                  <c:v>8.8545602565320909</c:v>
                </c:pt>
                <c:pt idx="13">
                  <c:v>10</c:v>
                </c:pt>
              </c:numCache>
            </c:numRef>
          </c:yVal>
          <c:smooth val="0"/>
          <c:extLst>
            <c:ext xmlns:c16="http://schemas.microsoft.com/office/drawing/2014/chart" uri="{C3380CC4-5D6E-409C-BE32-E72D297353CC}">
              <c16:uniqueId val="{00000172-A6D1-4004-815F-C2F16452444F}"/>
            </c:ext>
          </c:extLst>
        </c:ser>
        <c:dLbls>
          <c:showLegendKey val="0"/>
          <c:showVal val="0"/>
          <c:showCatName val="0"/>
          <c:showSerName val="0"/>
          <c:showPercent val="0"/>
          <c:showBubbleSize val="0"/>
        </c:dLbls>
        <c:axId val="1162121535"/>
        <c:axId val="1162115295"/>
      </c:scatterChart>
      <c:valAx>
        <c:axId val="1162115295"/>
        <c:scaling>
          <c:orientation val="minMax"/>
          <c:max val="10"/>
          <c:min val="-10"/>
        </c:scaling>
        <c:delete val="1"/>
        <c:axPos val="l"/>
        <c:numFmt formatCode="General" sourceLinked="1"/>
        <c:majorTickMark val="out"/>
        <c:minorTickMark val="none"/>
        <c:tickLblPos val="nextTo"/>
        <c:crossAx val="1162121535"/>
        <c:crosses val="autoZero"/>
        <c:crossBetween val="midCat"/>
      </c:valAx>
      <c:valAx>
        <c:axId val="1162121535"/>
        <c:scaling>
          <c:orientation val="minMax"/>
          <c:max val="10"/>
          <c:min val="-10"/>
        </c:scaling>
        <c:delete val="1"/>
        <c:axPos val="b"/>
        <c:numFmt formatCode="General" sourceLinked="1"/>
        <c:majorTickMark val="out"/>
        <c:minorTickMark val="none"/>
        <c:tickLblPos val="nextTo"/>
        <c:crossAx val="11621152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5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49.png"/><Relationship Id="rId7" Type="http://schemas.openxmlformats.org/officeDocument/2006/relationships/image" Target="../media/image53.pn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 Id="rId9" Type="http://schemas.openxmlformats.org/officeDocument/2006/relationships/image" Target="../media/image55.png"/></Relationships>
</file>

<file path=xl/drawings/_rels/vmlDrawing9.vml.rels><?xml version="1.0" encoding="UTF-8" standalone="yes"?>
<Relationships xmlns="http://schemas.openxmlformats.org/package/2006/relationships"><Relationship Id="rId13" Type="http://schemas.openxmlformats.org/officeDocument/2006/relationships/image" Target="../media/image17.emf"/><Relationship Id="rId18" Type="http://schemas.openxmlformats.org/officeDocument/2006/relationships/image" Target="../media/image22.emf"/><Relationship Id="rId26" Type="http://schemas.openxmlformats.org/officeDocument/2006/relationships/image" Target="../media/image30.emf"/><Relationship Id="rId39" Type="http://schemas.openxmlformats.org/officeDocument/2006/relationships/image" Target="../media/image43.emf"/><Relationship Id="rId21" Type="http://schemas.openxmlformats.org/officeDocument/2006/relationships/image" Target="../media/image25.wmf"/><Relationship Id="rId34" Type="http://schemas.openxmlformats.org/officeDocument/2006/relationships/image" Target="../media/image38.wmf"/><Relationship Id="rId42" Type="http://schemas.openxmlformats.org/officeDocument/2006/relationships/image" Target="../media/image46.wmf"/><Relationship Id="rId7" Type="http://schemas.openxmlformats.org/officeDocument/2006/relationships/image" Target="../media/image11.wmf"/><Relationship Id="rId2" Type="http://schemas.openxmlformats.org/officeDocument/2006/relationships/image" Target="../media/image6.emf"/><Relationship Id="rId16" Type="http://schemas.openxmlformats.org/officeDocument/2006/relationships/image" Target="../media/image20.emf"/><Relationship Id="rId20" Type="http://schemas.openxmlformats.org/officeDocument/2006/relationships/image" Target="../media/image24.emf"/><Relationship Id="rId29" Type="http://schemas.openxmlformats.org/officeDocument/2006/relationships/image" Target="../media/image33.emf"/><Relationship Id="rId41" Type="http://schemas.openxmlformats.org/officeDocument/2006/relationships/image" Target="../media/image45.wmf"/><Relationship Id="rId1" Type="http://schemas.openxmlformats.org/officeDocument/2006/relationships/image" Target="../media/image5.emf"/><Relationship Id="rId6" Type="http://schemas.openxmlformats.org/officeDocument/2006/relationships/image" Target="../media/image10.wmf"/><Relationship Id="rId11" Type="http://schemas.openxmlformats.org/officeDocument/2006/relationships/image" Target="../media/image15.emf"/><Relationship Id="rId24" Type="http://schemas.openxmlformats.org/officeDocument/2006/relationships/image" Target="../media/image28.emf"/><Relationship Id="rId32" Type="http://schemas.openxmlformats.org/officeDocument/2006/relationships/image" Target="../media/image36.emf"/><Relationship Id="rId37" Type="http://schemas.openxmlformats.org/officeDocument/2006/relationships/image" Target="../media/image41.wmf"/><Relationship Id="rId40" Type="http://schemas.openxmlformats.org/officeDocument/2006/relationships/image" Target="../media/image44.wmf"/><Relationship Id="rId5" Type="http://schemas.openxmlformats.org/officeDocument/2006/relationships/image" Target="../media/image9.emf"/><Relationship Id="rId15" Type="http://schemas.openxmlformats.org/officeDocument/2006/relationships/image" Target="../media/image19.emf"/><Relationship Id="rId23" Type="http://schemas.openxmlformats.org/officeDocument/2006/relationships/image" Target="../media/image27.emf"/><Relationship Id="rId28" Type="http://schemas.openxmlformats.org/officeDocument/2006/relationships/image" Target="../media/image32.emf"/><Relationship Id="rId36" Type="http://schemas.openxmlformats.org/officeDocument/2006/relationships/image" Target="../media/image40.wmf"/><Relationship Id="rId10" Type="http://schemas.openxmlformats.org/officeDocument/2006/relationships/image" Target="../media/image14.emf"/><Relationship Id="rId19" Type="http://schemas.openxmlformats.org/officeDocument/2006/relationships/image" Target="../media/image23.wmf"/><Relationship Id="rId31" Type="http://schemas.openxmlformats.org/officeDocument/2006/relationships/image" Target="../media/image35.emf"/><Relationship Id="rId4" Type="http://schemas.openxmlformats.org/officeDocument/2006/relationships/image" Target="../media/image8.emf"/><Relationship Id="rId9" Type="http://schemas.openxmlformats.org/officeDocument/2006/relationships/image" Target="../media/image13.emf"/><Relationship Id="rId14" Type="http://schemas.openxmlformats.org/officeDocument/2006/relationships/image" Target="../media/image18.emf"/><Relationship Id="rId22" Type="http://schemas.openxmlformats.org/officeDocument/2006/relationships/image" Target="../media/image26.emf"/><Relationship Id="rId27" Type="http://schemas.openxmlformats.org/officeDocument/2006/relationships/image" Target="../media/image31.emf"/><Relationship Id="rId30" Type="http://schemas.openxmlformats.org/officeDocument/2006/relationships/image" Target="../media/image34.emf"/><Relationship Id="rId35" Type="http://schemas.openxmlformats.org/officeDocument/2006/relationships/image" Target="../media/image39.wmf"/><Relationship Id="rId8" Type="http://schemas.openxmlformats.org/officeDocument/2006/relationships/image" Target="../media/image12.emf"/><Relationship Id="rId3" Type="http://schemas.openxmlformats.org/officeDocument/2006/relationships/image" Target="../media/image7.emf"/><Relationship Id="rId12" Type="http://schemas.openxmlformats.org/officeDocument/2006/relationships/image" Target="../media/image16.emf"/><Relationship Id="rId17" Type="http://schemas.openxmlformats.org/officeDocument/2006/relationships/image" Target="../media/image21.emf"/><Relationship Id="rId25" Type="http://schemas.openxmlformats.org/officeDocument/2006/relationships/image" Target="../media/image29.emf"/><Relationship Id="rId33" Type="http://schemas.openxmlformats.org/officeDocument/2006/relationships/image" Target="../media/image37.emf"/><Relationship Id="rId38" Type="http://schemas.openxmlformats.org/officeDocument/2006/relationships/image" Target="../media/image42.wmf"/></Relationships>
</file>

<file path=xl/drawings/drawing1.xml><?xml version="1.0" encoding="utf-8"?>
<xdr:wsDr xmlns:xdr="http://schemas.openxmlformats.org/drawingml/2006/spreadsheetDrawing" xmlns:a="http://schemas.openxmlformats.org/drawingml/2006/main">
  <xdr:twoCellAnchor>
    <xdr:from>
      <xdr:col>3</xdr:col>
      <xdr:colOff>704850</xdr:colOff>
      <xdr:row>53</xdr:row>
      <xdr:rowOff>85722</xdr:rowOff>
    </xdr:from>
    <xdr:to>
      <xdr:col>6</xdr:col>
      <xdr:colOff>333375</xdr:colOff>
      <xdr:row>81</xdr:row>
      <xdr:rowOff>133350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172325" y="9991722"/>
          <a:ext cx="9010650" cy="5619753"/>
        </a:xfrm>
        <a:prstGeom prst="rect">
          <a:avLst/>
        </a:prstGeom>
        <a:solidFill>
          <a:schemeClr val="lt1"/>
        </a:solidFill>
        <a:ln w="5715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dk1"/>
              </a:solidFill>
              <a:effectLst/>
              <a:latin typeface="+mn-lt"/>
              <a:ea typeface="+mn-ea"/>
              <a:cs typeface="+mn-cs"/>
            </a:rPr>
            <a:t>CREATING A GENERIC ADDITIVE MANUFACTURING WASTE STREAM</a:t>
          </a:r>
          <a:r>
            <a:rPr lang="en-US" sz="2000">
              <a:solidFill>
                <a:schemeClr val="dk1"/>
              </a:solidFill>
              <a:effectLst/>
              <a:latin typeface="+mn-lt"/>
              <a:ea typeface="+mn-ea"/>
              <a:cs typeface="+mn-cs"/>
            </a:rPr>
            <a:t> </a:t>
          </a:r>
        </a:p>
        <a:p>
          <a:r>
            <a:rPr lang="en-US" sz="1600" b="1">
              <a:solidFill>
                <a:schemeClr val="dk1"/>
              </a:solidFill>
              <a:effectLst/>
              <a:latin typeface="+mn-lt"/>
              <a:ea typeface="+mn-ea"/>
              <a:cs typeface="+mn-cs"/>
            </a:rPr>
            <a:t>Major Tasks</a:t>
          </a:r>
          <a:endParaRPr lang="en-US" sz="1600">
            <a:solidFill>
              <a:schemeClr val="dk1"/>
            </a:solidFill>
            <a:effectLst/>
            <a:latin typeface="+mn-lt"/>
            <a:ea typeface="+mn-ea"/>
            <a:cs typeface="+mn-cs"/>
          </a:endParaRPr>
        </a:p>
        <a:p>
          <a:r>
            <a:rPr lang="en-US" sz="1600">
              <a:solidFill>
                <a:schemeClr val="dk1"/>
              </a:solidFill>
              <a:effectLst/>
              <a:latin typeface="+mn-lt"/>
              <a:ea typeface="+mn-ea"/>
              <a:cs typeface="+mn-cs"/>
            </a:rPr>
            <a:t>- Identify and categorize AM Processes (23 so far)</a:t>
          </a:r>
        </a:p>
        <a:p>
          <a:r>
            <a:rPr lang="en-US" sz="1600">
              <a:solidFill>
                <a:schemeClr val="dk1"/>
              </a:solidFill>
              <a:effectLst/>
              <a:latin typeface="+mn-lt"/>
              <a:ea typeface="+mn-ea"/>
              <a:cs typeface="+mn-cs"/>
            </a:rPr>
            <a:t>- Process Efficiencies of each AM Processes (Excluding failure rate)</a:t>
          </a:r>
        </a:p>
        <a:p>
          <a:r>
            <a:rPr lang="en-US" sz="1600">
              <a:solidFill>
                <a:schemeClr val="dk1"/>
              </a:solidFill>
              <a:effectLst/>
              <a:latin typeface="+mn-lt"/>
              <a:ea typeface="+mn-ea"/>
              <a:cs typeface="+mn-cs"/>
            </a:rPr>
            <a:t>- Post-processing (Washing, Machining, Heat Treatment, Cleaning, ...)</a:t>
          </a:r>
        </a:p>
        <a:p>
          <a:endParaRPr lang="en-US" sz="1600">
            <a:solidFill>
              <a:schemeClr val="dk1"/>
            </a:solidFill>
            <a:effectLst/>
            <a:latin typeface="+mn-lt"/>
            <a:ea typeface="+mn-ea"/>
            <a:cs typeface="+mn-cs"/>
          </a:endParaRPr>
        </a:p>
        <a:p>
          <a:r>
            <a:rPr lang="en-US" sz="1600" b="1">
              <a:solidFill>
                <a:schemeClr val="dk1"/>
              </a:solidFill>
              <a:effectLst/>
              <a:latin typeface="+mn-lt"/>
              <a:ea typeface="+mn-ea"/>
              <a:cs typeface="+mn-cs"/>
            </a:rPr>
            <a:t>Additional Questions</a:t>
          </a:r>
        </a:p>
        <a:p>
          <a:r>
            <a:rPr lang="en-US" sz="1600">
              <a:solidFill>
                <a:schemeClr val="dk1"/>
              </a:solidFill>
              <a:effectLst/>
              <a:latin typeface="+mn-lt"/>
              <a:ea typeface="+mn-ea"/>
              <a:cs typeface="+mn-cs"/>
            </a:rPr>
            <a:t>- Boundary of analysis? US Only? </a:t>
          </a:r>
        </a:p>
        <a:p>
          <a:r>
            <a:rPr lang="en-US" sz="1600">
              <a:solidFill>
                <a:schemeClr val="dk1"/>
              </a:solidFill>
              <a:effectLst/>
              <a:latin typeface="+mn-lt"/>
              <a:ea typeface="+mn-ea"/>
              <a:cs typeface="+mn-cs"/>
            </a:rPr>
            <a:t>- Estimated number of AM</a:t>
          </a:r>
          <a:r>
            <a:rPr lang="en-US" sz="1600" baseline="0">
              <a:solidFill>
                <a:schemeClr val="dk1"/>
              </a:solidFill>
              <a:effectLst/>
              <a:latin typeface="+mn-lt"/>
              <a:ea typeface="+mn-ea"/>
              <a:cs typeface="+mn-cs"/>
            </a:rPr>
            <a:t> products synthesized </a:t>
          </a:r>
          <a:r>
            <a:rPr lang="en-US" sz="1600">
              <a:solidFill>
                <a:schemeClr val="dk1"/>
              </a:solidFill>
              <a:effectLst/>
              <a:latin typeface="+mn-lt"/>
              <a:ea typeface="+mn-ea"/>
              <a:cs typeface="+mn-cs"/>
            </a:rPr>
            <a:t>for a given year?</a:t>
          </a:r>
        </a:p>
        <a:p>
          <a:r>
            <a:rPr lang="en-US" sz="1600">
              <a:solidFill>
                <a:schemeClr val="dk1"/>
              </a:solidFill>
              <a:effectLst/>
              <a:latin typeface="+mn-lt"/>
              <a:ea typeface="+mn-ea"/>
              <a:cs typeface="+mn-cs"/>
            </a:rPr>
            <a:t>- Total annual waste generated from AM in general? </a:t>
          </a:r>
        </a:p>
        <a:p>
          <a:r>
            <a:rPr lang="en-US" sz="1600">
              <a:solidFill>
                <a:schemeClr val="dk1"/>
              </a:solidFill>
              <a:effectLst/>
              <a:latin typeface="+mn-lt"/>
              <a:ea typeface="+mn-ea"/>
              <a:cs typeface="+mn-cs"/>
            </a:rPr>
            <a:t>- Usage rate of each method? If</a:t>
          </a:r>
          <a:r>
            <a:rPr lang="en-US" sz="1600" baseline="0">
              <a:solidFill>
                <a:schemeClr val="dk1"/>
              </a:solidFill>
              <a:effectLst/>
              <a:latin typeface="+mn-lt"/>
              <a:ea typeface="+mn-ea"/>
              <a:cs typeface="+mn-cs"/>
            </a:rPr>
            <a:t> unavailable, try the 7 categories instead.</a:t>
          </a:r>
          <a:endParaRPr lang="en-US" sz="1600">
            <a:solidFill>
              <a:schemeClr val="dk1"/>
            </a:solidFill>
            <a:effectLst/>
            <a:latin typeface="+mn-lt"/>
            <a:ea typeface="+mn-ea"/>
            <a:cs typeface="+mn-cs"/>
          </a:endParaRPr>
        </a:p>
        <a:p>
          <a:r>
            <a:rPr lang="en-US" sz="1600">
              <a:solidFill>
                <a:schemeClr val="dk1"/>
              </a:solidFill>
              <a:effectLst/>
              <a:latin typeface="+mn-lt"/>
              <a:ea typeface="+mn-ea"/>
              <a:cs typeface="+mn-cs"/>
            </a:rPr>
            <a:t>- Data on the amount of waste generated for each method? (rare)</a:t>
          </a:r>
        </a:p>
        <a:p>
          <a:r>
            <a:rPr lang="en-US" sz="1600">
              <a:solidFill>
                <a:schemeClr val="dk1"/>
              </a:solidFill>
              <a:effectLst/>
              <a:latin typeface="+mn-lt"/>
              <a:ea typeface="+mn-ea"/>
              <a:cs typeface="+mn-cs"/>
            </a:rPr>
            <a:t>	-</a:t>
          </a:r>
          <a:r>
            <a:rPr lang="en-US" sz="1600" baseline="0">
              <a:solidFill>
                <a:schemeClr val="dk1"/>
              </a:solidFill>
              <a:effectLst/>
              <a:latin typeface="+mn-lt"/>
              <a:ea typeface="+mn-ea"/>
              <a:cs typeface="+mn-cs"/>
            </a:rPr>
            <a:t> What kind of material can be found in the waste?</a:t>
          </a:r>
          <a:endParaRPr lang="en-US" sz="1600">
            <a:solidFill>
              <a:schemeClr val="dk1"/>
            </a:solidFill>
            <a:effectLst/>
            <a:latin typeface="+mn-lt"/>
            <a:ea typeface="+mn-ea"/>
            <a:cs typeface="+mn-cs"/>
          </a:endParaRPr>
        </a:p>
        <a:p>
          <a:r>
            <a:rPr lang="en-US" sz="1600">
              <a:solidFill>
                <a:schemeClr val="dk1"/>
              </a:solidFill>
              <a:effectLst/>
              <a:latin typeface="+mn-lt"/>
              <a:ea typeface="+mn-ea"/>
              <a:cs typeface="+mn-cs"/>
            </a:rPr>
            <a:t>- Any EoL or manufacturing emission data? </a:t>
          </a:r>
        </a:p>
        <a:p>
          <a:endParaRPr lang="en-US" sz="1600">
            <a:solidFill>
              <a:schemeClr val="dk1"/>
            </a:solidFill>
            <a:effectLst/>
            <a:latin typeface="+mn-lt"/>
            <a:ea typeface="+mn-ea"/>
            <a:cs typeface="+mn-cs"/>
          </a:endParaRPr>
        </a:p>
        <a:p>
          <a:r>
            <a:rPr lang="en-US" sz="1600" b="1">
              <a:solidFill>
                <a:schemeClr val="dk1"/>
              </a:solidFill>
              <a:effectLst/>
              <a:latin typeface="+mn-lt"/>
              <a:ea typeface="+mn-ea"/>
              <a:cs typeface="+mn-cs"/>
            </a:rPr>
            <a:t>Next Steps (Generic Scenario Analysis on End-of-Life</a:t>
          </a:r>
          <a:r>
            <a:rPr lang="en-US" sz="1600" b="1" baseline="0">
              <a:solidFill>
                <a:schemeClr val="dk1"/>
              </a:solidFill>
              <a:effectLst/>
              <a:latin typeface="+mn-lt"/>
              <a:ea typeface="+mn-ea"/>
              <a:cs typeface="+mn-cs"/>
            </a:rPr>
            <a:t> of Additive Manufacturing Techniques)</a:t>
          </a:r>
          <a:endParaRPr lang="en-US" sz="1600">
            <a:solidFill>
              <a:schemeClr val="dk1"/>
            </a:solidFill>
            <a:effectLst/>
            <a:latin typeface="+mn-lt"/>
            <a:ea typeface="+mn-ea"/>
            <a:cs typeface="+mn-cs"/>
          </a:endParaRPr>
        </a:p>
        <a:p>
          <a:r>
            <a:rPr lang="en-US" sz="1600">
              <a:solidFill>
                <a:schemeClr val="dk1"/>
              </a:solidFill>
              <a:effectLst/>
              <a:latin typeface="+mn-lt"/>
              <a:ea typeface="+mn-ea"/>
              <a:cs typeface="+mn-cs"/>
            </a:rPr>
            <a:t>-</a:t>
          </a:r>
          <a:r>
            <a:rPr lang="en-US" sz="1600" baseline="0">
              <a:solidFill>
                <a:schemeClr val="dk1"/>
              </a:solidFill>
              <a:effectLst/>
              <a:latin typeface="+mn-lt"/>
              <a:ea typeface="+mn-ea"/>
              <a:cs typeface="+mn-cs"/>
            </a:rPr>
            <a:t> Illustrate the connection between manufacturing, usage, transportation, and the EoL stages</a:t>
          </a:r>
        </a:p>
        <a:p>
          <a:r>
            <a:rPr lang="en-US" sz="1600" baseline="0">
              <a:solidFill>
                <a:schemeClr val="dk1"/>
              </a:solidFill>
              <a:effectLst/>
              <a:latin typeface="+mn-lt"/>
              <a:ea typeface="+mn-ea"/>
              <a:cs typeface="+mn-cs"/>
            </a:rPr>
            <a:t>- Facility-level EoL operation information</a:t>
          </a:r>
        </a:p>
        <a:p>
          <a:r>
            <a:rPr lang="en-US" sz="1600" baseline="0">
              <a:solidFill>
                <a:schemeClr val="dk1"/>
              </a:solidFill>
              <a:effectLst/>
              <a:latin typeface="+mn-lt"/>
              <a:ea typeface="+mn-ea"/>
              <a:cs typeface="+mn-cs"/>
            </a:rPr>
            <a:t>- Identify Releases, Emissions, Occupational Hazards</a:t>
          </a:r>
        </a:p>
      </xdr:txBody>
    </xdr:sp>
    <xdr:clientData/>
  </xdr:twoCellAnchor>
  <xdr:twoCellAnchor>
    <xdr:from>
      <xdr:col>4</xdr:col>
      <xdr:colOff>3757451</xdr:colOff>
      <xdr:row>49</xdr:row>
      <xdr:rowOff>189576</xdr:rowOff>
    </xdr:from>
    <xdr:to>
      <xdr:col>4</xdr:col>
      <xdr:colOff>4709951</xdr:colOff>
      <xdr:row>54</xdr:row>
      <xdr:rowOff>49920</xdr:rowOff>
    </xdr:to>
    <xdr:sp macro="" textlink="">
      <xdr:nvSpPr>
        <xdr:cNvPr id="3" name="Arrow: Down 2">
          <a:extLst>
            <a:ext uri="{FF2B5EF4-FFF2-40B4-BE49-F238E27FC236}">
              <a16:creationId xmlns:a16="http://schemas.microsoft.com/office/drawing/2014/main" id="{00000000-0008-0000-0000-000003000000}"/>
            </a:ext>
          </a:extLst>
        </xdr:cNvPr>
        <xdr:cNvSpPr/>
      </xdr:nvSpPr>
      <xdr:spPr>
        <a:xfrm rot="2174920">
          <a:off x="12244226" y="9333576"/>
          <a:ext cx="952500" cy="81284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228600</xdr:colOff>
      <xdr:row>12</xdr:row>
      <xdr:rowOff>171449</xdr:rowOff>
    </xdr:from>
    <xdr:to>
      <xdr:col>15</xdr:col>
      <xdr:colOff>142875</xdr:colOff>
      <xdr:row>37</xdr:row>
      <xdr:rowOff>76200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123825</xdr:colOff>
      <xdr:row>12</xdr:row>
      <xdr:rowOff>0</xdr:rowOff>
    </xdr:from>
    <xdr:to>
      <xdr:col>23</xdr:col>
      <xdr:colOff>485775</xdr:colOff>
      <xdr:row>40</xdr:row>
      <xdr:rowOff>19050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123825</xdr:colOff>
      <xdr:row>12</xdr:row>
      <xdr:rowOff>0</xdr:rowOff>
    </xdr:from>
    <xdr:to>
      <xdr:col>23</xdr:col>
      <xdr:colOff>485775</xdr:colOff>
      <xdr:row>40</xdr:row>
      <xdr:rowOff>19050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352425</xdr:colOff>
      <xdr:row>11</xdr:row>
      <xdr:rowOff>104775</xdr:rowOff>
    </xdr:from>
    <xdr:to>
      <xdr:col>24</xdr:col>
      <xdr:colOff>104775</xdr:colOff>
      <xdr:row>39</xdr:row>
      <xdr:rowOff>104775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64</xdr:row>
      <xdr:rowOff>62801</xdr:rowOff>
    </xdr:from>
    <xdr:to>
      <xdr:col>5</xdr:col>
      <xdr:colOff>735614</xdr:colOff>
      <xdr:row>91</xdr:row>
      <xdr:rowOff>17178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11367197"/>
          <a:ext cx="8261411" cy="50413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19051</xdr:colOff>
      <xdr:row>9</xdr:row>
      <xdr:rowOff>1117215</xdr:rowOff>
    </xdr:from>
    <xdr:to>
      <xdr:col>4</xdr:col>
      <xdr:colOff>3549387</xdr:colOff>
      <xdr:row>9</xdr:row>
      <xdr:rowOff>3238500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6200776" y="14947515"/>
          <a:ext cx="3530336" cy="2121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123824</xdr:rowOff>
    </xdr:from>
    <xdr:to>
      <xdr:col>15</xdr:col>
      <xdr:colOff>533400</xdr:colOff>
      <xdr:row>4</xdr:row>
      <xdr:rowOff>28575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876800" y="123824"/>
          <a:ext cx="4800600" cy="666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3D Printers:</a:t>
          </a:r>
          <a:r>
            <a:rPr lang="en-US" sz="1100" baseline="0"/>
            <a:t> 870,000 units (Wohlers Associate Inc)</a:t>
          </a:r>
        </a:p>
        <a:p>
          <a:r>
            <a:rPr lang="en-US" sz="1100" baseline="0"/>
            <a:t>Typical Consumption: 12 kg materials/(operator*yr) (Filamentive Research)</a:t>
          </a:r>
        </a:p>
        <a:p>
          <a:r>
            <a:rPr lang="en-US" sz="1100" baseline="0"/>
            <a:t>Waste rate: 1 - 40% (Most common is 10%)</a:t>
          </a:r>
        </a:p>
        <a:p>
          <a:endParaRPr lang="en-US" sz="1100" baseline="0"/>
        </a:p>
      </xdr:txBody>
    </xdr:sp>
    <xdr:clientData/>
  </xdr:twoCellAnchor>
  <xdr:twoCellAnchor editAs="oneCell">
    <xdr:from>
      <xdr:col>0</xdr:col>
      <xdr:colOff>228599</xdr:colOff>
      <xdr:row>4</xdr:row>
      <xdr:rowOff>19050</xdr:rowOff>
    </xdr:from>
    <xdr:to>
      <xdr:col>13</xdr:col>
      <xdr:colOff>433284</xdr:colOff>
      <xdr:row>46</xdr:row>
      <xdr:rowOff>38100</xdr:rowOff>
    </xdr:to>
    <xdr:pic>
      <xdr:nvPicPr>
        <xdr:cNvPr id="2" name="Picture 1" descr="Diagram&#10;&#10;Description automatically generated">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28599" y="781050"/>
          <a:ext cx="8129485" cy="8020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506126</xdr:colOff>
      <xdr:row>67</xdr:row>
      <xdr:rowOff>14007</xdr:rowOff>
    </xdr:from>
    <xdr:to>
      <xdr:col>27</xdr:col>
      <xdr:colOff>374119</xdr:colOff>
      <xdr:row>120</xdr:row>
      <xdr:rowOff>86176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048185" y="9216838"/>
          <a:ext cx="12902488" cy="12728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390525</xdr:colOff>
      <xdr:row>49</xdr:row>
      <xdr:rowOff>38100</xdr:rowOff>
    </xdr:from>
    <xdr:to>
      <xdr:col>16</xdr:col>
      <xdr:colOff>523875</xdr:colOff>
      <xdr:row>70</xdr:row>
      <xdr:rowOff>45720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0275" y="9601200"/>
          <a:ext cx="5010150" cy="400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648246</xdr:colOff>
      <xdr:row>2</xdr:row>
      <xdr:rowOff>39143</xdr:rowOff>
    </xdr:from>
    <xdr:to>
      <xdr:col>31</xdr:col>
      <xdr:colOff>233685</xdr:colOff>
      <xdr:row>40</xdr:row>
      <xdr:rowOff>109923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9943587" y="601984"/>
          <a:ext cx="9860893" cy="7200099"/>
        </a:xfrm>
        <a:prstGeom prst="rect">
          <a:avLst/>
        </a:prstGeom>
      </xdr:spPr>
    </xdr:pic>
    <xdr:clientData/>
  </xdr:twoCellAnchor>
  <xdr:twoCellAnchor editAs="oneCell">
    <xdr:from>
      <xdr:col>16</xdr:col>
      <xdr:colOff>145109</xdr:colOff>
      <xdr:row>44</xdr:row>
      <xdr:rowOff>97550</xdr:rowOff>
    </xdr:from>
    <xdr:to>
      <xdr:col>26</xdr:col>
      <xdr:colOff>589530</xdr:colOff>
      <xdr:row>63</xdr:row>
      <xdr:rowOff>32643</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20176473" y="8540164"/>
          <a:ext cx="6953171" cy="36873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648246</xdr:colOff>
      <xdr:row>2</xdr:row>
      <xdr:rowOff>39143</xdr:rowOff>
    </xdr:from>
    <xdr:to>
      <xdr:col>31</xdr:col>
      <xdr:colOff>233685</xdr:colOff>
      <xdr:row>40</xdr:row>
      <xdr:rowOff>109923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4117846" y="1286918"/>
          <a:ext cx="9910539" cy="7309780"/>
        </a:xfrm>
        <a:prstGeom prst="rect">
          <a:avLst/>
        </a:prstGeom>
      </xdr:spPr>
    </xdr:pic>
    <xdr:clientData/>
  </xdr:twoCellAnchor>
  <xdr:twoCellAnchor editAs="oneCell">
    <xdr:from>
      <xdr:col>16</xdr:col>
      <xdr:colOff>145109</xdr:colOff>
      <xdr:row>44</xdr:row>
      <xdr:rowOff>97550</xdr:rowOff>
    </xdr:from>
    <xdr:to>
      <xdr:col>26</xdr:col>
      <xdr:colOff>589530</xdr:colOff>
      <xdr:row>63</xdr:row>
      <xdr:rowOff>32643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24348134" y="9346325"/>
          <a:ext cx="6988096" cy="37450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269920</xdr:colOff>
      <xdr:row>0</xdr:row>
      <xdr:rowOff>95250</xdr:rowOff>
    </xdr:from>
    <xdr:to>
      <xdr:col>20</xdr:col>
      <xdr:colOff>109292</xdr:colOff>
      <xdr:row>40</xdr:row>
      <xdr:rowOff>72746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452020" y="95250"/>
          <a:ext cx="7773697" cy="75974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269920</xdr:colOff>
      <xdr:row>0</xdr:row>
      <xdr:rowOff>95250</xdr:rowOff>
    </xdr:from>
    <xdr:to>
      <xdr:col>20</xdr:col>
      <xdr:colOff>109292</xdr:colOff>
      <xdr:row>40</xdr:row>
      <xdr:rowOff>72746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452020" y="95250"/>
          <a:ext cx="7773697" cy="75974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1136650</xdr:colOff>
          <xdr:row>3</xdr:row>
          <xdr:rowOff>114300</xdr:rowOff>
        </xdr:from>
        <xdr:to>
          <xdr:col>6</xdr:col>
          <xdr:colOff>2209800</xdr:colOff>
          <xdr:row>3</xdr:row>
          <xdr:rowOff>895350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971550</xdr:colOff>
          <xdr:row>5</xdr:row>
          <xdr:rowOff>222250</xdr:rowOff>
        </xdr:from>
        <xdr:to>
          <xdr:col>6</xdr:col>
          <xdr:colOff>2324100</xdr:colOff>
          <xdr:row>5</xdr:row>
          <xdr:rowOff>781050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476250</xdr:colOff>
          <xdr:row>7</xdr:row>
          <xdr:rowOff>38100</xdr:rowOff>
        </xdr:from>
        <xdr:to>
          <xdr:col>6</xdr:col>
          <xdr:colOff>2927350</xdr:colOff>
          <xdr:row>8</xdr:row>
          <xdr:rowOff>12700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B00-00000A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488950</xdr:colOff>
          <xdr:row>8</xdr:row>
          <xdr:rowOff>279400</xdr:rowOff>
        </xdr:from>
        <xdr:to>
          <xdr:col>6</xdr:col>
          <xdr:colOff>3327400</xdr:colOff>
          <xdr:row>8</xdr:row>
          <xdr:rowOff>755650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B00-00000B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1136650</xdr:colOff>
          <xdr:row>4</xdr:row>
          <xdr:rowOff>165100</xdr:rowOff>
        </xdr:from>
        <xdr:to>
          <xdr:col>6</xdr:col>
          <xdr:colOff>2165350</xdr:colOff>
          <xdr:row>4</xdr:row>
          <xdr:rowOff>965200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B00-00000D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495300</xdr:colOff>
          <xdr:row>6</xdr:row>
          <xdr:rowOff>114300</xdr:rowOff>
        </xdr:from>
        <xdr:to>
          <xdr:col>6</xdr:col>
          <xdr:colOff>3003550</xdr:colOff>
          <xdr:row>6</xdr:row>
          <xdr:rowOff>647700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B00-00000E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133350</xdr:colOff>
          <xdr:row>9</xdr:row>
          <xdr:rowOff>165100</xdr:rowOff>
        </xdr:from>
        <xdr:to>
          <xdr:col>6</xdr:col>
          <xdr:colOff>3238500</xdr:colOff>
          <xdr:row>9</xdr:row>
          <xdr:rowOff>685800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B00-00000F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831850</xdr:colOff>
          <xdr:row>10</xdr:row>
          <xdr:rowOff>0</xdr:rowOff>
        </xdr:from>
        <xdr:to>
          <xdr:col>6</xdr:col>
          <xdr:colOff>4324350</xdr:colOff>
          <xdr:row>10</xdr:row>
          <xdr:rowOff>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B00-000010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1041400</xdr:colOff>
          <xdr:row>2</xdr:row>
          <xdr:rowOff>127000</xdr:rowOff>
        </xdr:from>
        <xdr:to>
          <xdr:col>6</xdr:col>
          <xdr:colOff>2343150</xdr:colOff>
          <xdr:row>2</xdr:row>
          <xdr:rowOff>666750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B00-00001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10</xdr:row>
          <xdr:rowOff>88900</xdr:rowOff>
        </xdr:from>
        <xdr:to>
          <xdr:col>6</xdr:col>
          <xdr:colOff>3194050</xdr:colOff>
          <xdr:row>10</xdr:row>
          <xdr:rowOff>679450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B00-00001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723900</xdr:colOff>
          <xdr:row>12</xdr:row>
          <xdr:rowOff>203200</xdr:rowOff>
        </xdr:from>
        <xdr:to>
          <xdr:col>6</xdr:col>
          <xdr:colOff>2476500</xdr:colOff>
          <xdr:row>12</xdr:row>
          <xdr:rowOff>755650</xdr:rowOff>
        </xdr:to>
        <xdr:sp macro="" textlink="">
          <xdr:nvSpPr>
            <xdr:cNvPr id="11300" name="Object 36" hidden="1">
              <a:extLst>
                <a:ext uri="{63B3BB69-23CF-44E3-9099-C40C66FF867C}">
                  <a14:compatExt spid="_x0000_s11300"/>
                </a:ext>
                <a:ext uri="{FF2B5EF4-FFF2-40B4-BE49-F238E27FC236}">
                  <a16:creationId xmlns:a16="http://schemas.microsoft.com/office/drawing/2014/main" id="{00000000-0008-0000-0B00-00002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533400</xdr:colOff>
          <xdr:row>13</xdr:row>
          <xdr:rowOff>19050</xdr:rowOff>
        </xdr:from>
        <xdr:to>
          <xdr:col>6</xdr:col>
          <xdr:colOff>2774950</xdr:colOff>
          <xdr:row>13</xdr:row>
          <xdr:rowOff>1009650</xdr:rowOff>
        </xdr:to>
        <xdr:sp macro="" textlink="">
          <xdr:nvSpPr>
            <xdr:cNvPr id="11301" name="Object 37" hidden="1">
              <a:extLst>
                <a:ext uri="{63B3BB69-23CF-44E3-9099-C40C66FF867C}">
                  <a14:compatExt spid="_x0000_s11301"/>
                </a:ext>
                <a:ext uri="{FF2B5EF4-FFF2-40B4-BE49-F238E27FC236}">
                  <a16:creationId xmlns:a16="http://schemas.microsoft.com/office/drawing/2014/main" id="{00000000-0008-0000-0B00-00002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1295400</xdr:colOff>
          <xdr:row>15</xdr:row>
          <xdr:rowOff>190500</xdr:rowOff>
        </xdr:from>
        <xdr:to>
          <xdr:col>6</xdr:col>
          <xdr:colOff>2279650</xdr:colOff>
          <xdr:row>15</xdr:row>
          <xdr:rowOff>457200</xdr:rowOff>
        </xdr:to>
        <xdr:sp macro="" textlink="">
          <xdr:nvSpPr>
            <xdr:cNvPr id="11305" name="Object 41" hidden="1">
              <a:extLst>
                <a:ext uri="{63B3BB69-23CF-44E3-9099-C40C66FF867C}">
                  <a14:compatExt spid="_x0000_s11305"/>
                </a:ext>
                <a:ext uri="{FF2B5EF4-FFF2-40B4-BE49-F238E27FC236}">
                  <a16:creationId xmlns:a16="http://schemas.microsoft.com/office/drawing/2014/main" id="{00000000-0008-0000-0B00-000029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1003300</xdr:colOff>
          <xdr:row>15</xdr:row>
          <xdr:rowOff>603250</xdr:rowOff>
        </xdr:from>
        <xdr:to>
          <xdr:col>6</xdr:col>
          <xdr:colOff>2451100</xdr:colOff>
          <xdr:row>15</xdr:row>
          <xdr:rowOff>1238250</xdr:rowOff>
        </xdr:to>
        <xdr:sp macro="" textlink="">
          <xdr:nvSpPr>
            <xdr:cNvPr id="11306" name="Object 42" hidden="1">
              <a:extLst>
                <a:ext uri="{63B3BB69-23CF-44E3-9099-C40C66FF867C}">
                  <a14:compatExt spid="_x0000_s11306"/>
                </a:ext>
                <a:ext uri="{FF2B5EF4-FFF2-40B4-BE49-F238E27FC236}">
                  <a16:creationId xmlns:a16="http://schemas.microsoft.com/office/drawing/2014/main" id="{00000000-0008-0000-0B00-00002A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1174750</xdr:colOff>
          <xdr:row>16</xdr:row>
          <xdr:rowOff>69850</xdr:rowOff>
        </xdr:from>
        <xdr:to>
          <xdr:col>6</xdr:col>
          <xdr:colOff>2800350</xdr:colOff>
          <xdr:row>16</xdr:row>
          <xdr:rowOff>355600</xdr:rowOff>
        </xdr:to>
        <xdr:sp macro="" textlink="">
          <xdr:nvSpPr>
            <xdr:cNvPr id="11308" name="Object 44" hidden="1">
              <a:extLst>
                <a:ext uri="{63B3BB69-23CF-44E3-9099-C40C66FF867C}">
                  <a14:compatExt spid="_x0000_s11308"/>
                </a:ext>
                <a:ext uri="{FF2B5EF4-FFF2-40B4-BE49-F238E27FC236}">
                  <a16:creationId xmlns:a16="http://schemas.microsoft.com/office/drawing/2014/main" id="{00000000-0008-0000-0B00-00002C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736600</xdr:colOff>
          <xdr:row>18</xdr:row>
          <xdr:rowOff>133350</xdr:rowOff>
        </xdr:from>
        <xdr:to>
          <xdr:col>6</xdr:col>
          <xdr:colOff>2927350</xdr:colOff>
          <xdr:row>18</xdr:row>
          <xdr:rowOff>990600</xdr:rowOff>
        </xdr:to>
        <xdr:sp macro="" textlink="">
          <xdr:nvSpPr>
            <xdr:cNvPr id="11309" name="Object 45" hidden="1">
              <a:extLst>
                <a:ext uri="{63B3BB69-23CF-44E3-9099-C40C66FF867C}">
                  <a14:compatExt spid="_x0000_s11309"/>
                </a:ext>
                <a:ext uri="{FF2B5EF4-FFF2-40B4-BE49-F238E27FC236}">
                  <a16:creationId xmlns:a16="http://schemas.microsoft.com/office/drawing/2014/main" id="{00000000-0008-0000-0B00-00002D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1314450</xdr:colOff>
          <xdr:row>20</xdr:row>
          <xdr:rowOff>203200</xdr:rowOff>
        </xdr:from>
        <xdr:to>
          <xdr:col>6</xdr:col>
          <xdr:colOff>2895600</xdr:colOff>
          <xdr:row>20</xdr:row>
          <xdr:rowOff>831850</xdr:rowOff>
        </xdr:to>
        <xdr:sp macro="" textlink="">
          <xdr:nvSpPr>
            <xdr:cNvPr id="11333" name="Object 69" hidden="1">
              <a:extLst>
                <a:ext uri="{63B3BB69-23CF-44E3-9099-C40C66FF867C}">
                  <a14:compatExt spid="_x0000_s11333"/>
                </a:ext>
                <a:ext uri="{FF2B5EF4-FFF2-40B4-BE49-F238E27FC236}">
                  <a16:creationId xmlns:a16="http://schemas.microsoft.com/office/drawing/2014/main" id="{00000000-0008-0000-0B00-00004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1066800</xdr:colOff>
          <xdr:row>21</xdr:row>
          <xdr:rowOff>19050</xdr:rowOff>
        </xdr:from>
        <xdr:to>
          <xdr:col>6</xdr:col>
          <xdr:colOff>2667000</xdr:colOff>
          <xdr:row>21</xdr:row>
          <xdr:rowOff>895350</xdr:rowOff>
        </xdr:to>
        <xdr:sp macro="" textlink="">
          <xdr:nvSpPr>
            <xdr:cNvPr id="11334" name="Object 70" hidden="1">
              <a:extLst>
                <a:ext uri="{63B3BB69-23CF-44E3-9099-C40C66FF867C}">
                  <a14:compatExt spid="_x0000_s11334"/>
                </a:ext>
                <a:ext uri="{FF2B5EF4-FFF2-40B4-BE49-F238E27FC236}">
                  <a16:creationId xmlns:a16="http://schemas.microsoft.com/office/drawing/2014/main" id="{00000000-0008-0000-0B00-000046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1041400</xdr:colOff>
          <xdr:row>22</xdr:row>
          <xdr:rowOff>146050</xdr:rowOff>
        </xdr:from>
        <xdr:to>
          <xdr:col>6</xdr:col>
          <xdr:colOff>3365500</xdr:colOff>
          <xdr:row>22</xdr:row>
          <xdr:rowOff>723900</xdr:rowOff>
        </xdr:to>
        <xdr:sp macro="" textlink="">
          <xdr:nvSpPr>
            <xdr:cNvPr id="11335" name="Object 71" hidden="1">
              <a:extLst>
                <a:ext uri="{63B3BB69-23CF-44E3-9099-C40C66FF867C}">
                  <a14:compatExt spid="_x0000_s11335"/>
                </a:ext>
                <a:ext uri="{FF2B5EF4-FFF2-40B4-BE49-F238E27FC236}">
                  <a16:creationId xmlns:a16="http://schemas.microsoft.com/office/drawing/2014/main" id="{00000000-0008-0000-0B00-00004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1047750</xdr:colOff>
          <xdr:row>23</xdr:row>
          <xdr:rowOff>165100</xdr:rowOff>
        </xdr:from>
        <xdr:to>
          <xdr:col>6</xdr:col>
          <xdr:colOff>3517900</xdr:colOff>
          <xdr:row>23</xdr:row>
          <xdr:rowOff>717550</xdr:rowOff>
        </xdr:to>
        <xdr:sp macro="" textlink="">
          <xdr:nvSpPr>
            <xdr:cNvPr id="11336" name="Object 72" hidden="1">
              <a:extLst>
                <a:ext uri="{63B3BB69-23CF-44E3-9099-C40C66FF867C}">
                  <a14:compatExt spid="_x0000_s11336"/>
                </a:ext>
                <a:ext uri="{FF2B5EF4-FFF2-40B4-BE49-F238E27FC236}">
                  <a16:creationId xmlns:a16="http://schemas.microsoft.com/office/drawing/2014/main" id="{00000000-0008-0000-0B00-00004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895350</xdr:colOff>
          <xdr:row>24</xdr:row>
          <xdr:rowOff>165100</xdr:rowOff>
        </xdr:from>
        <xdr:to>
          <xdr:col>6</xdr:col>
          <xdr:colOff>3333750</xdr:colOff>
          <xdr:row>24</xdr:row>
          <xdr:rowOff>1276350</xdr:rowOff>
        </xdr:to>
        <xdr:sp macro="" textlink="">
          <xdr:nvSpPr>
            <xdr:cNvPr id="11337" name="Object 73" hidden="1">
              <a:extLst>
                <a:ext uri="{63B3BB69-23CF-44E3-9099-C40C66FF867C}">
                  <a14:compatExt spid="_x0000_s11337"/>
                </a:ext>
                <a:ext uri="{FF2B5EF4-FFF2-40B4-BE49-F238E27FC236}">
                  <a16:creationId xmlns:a16="http://schemas.microsoft.com/office/drawing/2014/main" id="{00000000-0008-0000-0B00-000049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857250</xdr:colOff>
          <xdr:row>25</xdr:row>
          <xdr:rowOff>107950</xdr:rowOff>
        </xdr:from>
        <xdr:to>
          <xdr:col>6</xdr:col>
          <xdr:colOff>3365500</xdr:colOff>
          <xdr:row>25</xdr:row>
          <xdr:rowOff>1079500</xdr:rowOff>
        </xdr:to>
        <xdr:sp macro="" textlink="">
          <xdr:nvSpPr>
            <xdr:cNvPr id="11338" name="Object 74" hidden="1">
              <a:extLst>
                <a:ext uri="{63B3BB69-23CF-44E3-9099-C40C66FF867C}">
                  <a14:compatExt spid="_x0000_s11338"/>
                </a:ext>
                <a:ext uri="{FF2B5EF4-FFF2-40B4-BE49-F238E27FC236}">
                  <a16:creationId xmlns:a16="http://schemas.microsoft.com/office/drawing/2014/main" id="{00000000-0008-0000-0B00-00004A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869950</xdr:colOff>
          <xdr:row>26</xdr:row>
          <xdr:rowOff>209550</xdr:rowOff>
        </xdr:from>
        <xdr:to>
          <xdr:col>6</xdr:col>
          <xdr:colOff>3403600</xdr:colOff>
          <xdr:row>26</xdr:row>
          <xdr:rowOff>1289050</xdr:rowOff>
        </xdr:to>
        <xdr:sp macro="" textlink="">
          <xdr:nvSpPr>
            <xdr:cNvPr id="11339" name="Object 75" hidden="1">
              <a:extLst>
                <a:ext uri="{63B3BB69-23CF-44E3-9099-C40C66FF867C}">
                  <a14:compatExt spid="_x0000_s11339"/>
                </a:ext>
                <a:ext uri="{FF2B5EF4-FFF2-40B4-BE49-F238E27FC236}">
                  <a16:creationId xmlns:a16="http://schemas.microsoft.com/office/drawing/2014/main" id="{00000000-0008-0000-0B00-00004B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1028700</xdr:colOff>
          <xdr:row>27</xdr:row>
          <xdr:rowOff>209550</xdr:rowOff>
        </xdr:from>
        <xdr:to>
          <xdr:col>6</xdr:col>
          <xdr:colOff>3429000</xdr:colOff>
          <xdr:row>27</xdr:row>
          <xdr:rowOff>927100</xdr:rowOff>
        </xdr:to>
        <xdr:sp macro="" textlink="">
          <xdr:nvSpPr>
            <xdr:cNvPr id="11340" name="Object 76" hidden="1">
              <a:extLst>
                <a:ext uri="{63B3BB69-23CF-44E3-9099-C40C66FF867C}">
                  <a14:compatExt spid="_x0000_s11340"/>
                </a:ext>
                <a:ext uri="{FF2B5EF4-FFF2-40B4-BE49-F238E27FC236}">
                  <a16:creationId xmlns:a16="http://schemas.microsoft.com/office/drawing/2014/main" id="{00000000-0008-0000-0B00-00004C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800100</xdr:colOff>
          <xdr:row>28</xdr:row>
          <xdr:rowOff>76200</xdr:rowOff>
        </xdr:from>
        <xdr:to>
          <xdr:col>6</xdr:col>
          <xdr:colOff>3505200</xdr:colOff>
          <xdr:row>28</xdr:row>
          <xdr:rowOff>952500</xdr:rowOff>
        </xdr:to>
        <xdr:sp macro="" textlink="">
          <xdr:nvSpPr>
            <xdr:cNvPr id="11341" name="Object 77" hidden="1">
              <a:extLst>
                <a:ext uri="{63B3BB69-23CF-44E3-9099-C40C66FF867C}">
                  <a14:compatExt spid="_x0000_s11341"/>
                </a:ext>
                <a:ext uri="{FF2B5EF4-FFF2-40B4-BE49-F238E27FC236}">
                  <a16:creationId xmlns:a16="http://schemas.microsoft.com/office/drawing/2014/main" id="{00000000-0008-0000-0B00-00004D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228600</xdr:colOff>
          <xdr:row>29</xdr:row>
          <xdr:rowOff>260350</xdr:rowOff>
        </xdr:from>
        <xdr:to>
          <xdr:col>6</xdr:col>
          <xdr:colOff>3994150</xdr:colOff>
          <xdr:row>29</xdr:row>
          <xdr:rowOff>793750</xdr:rowOff>
        </xdr:to>
        <xdr:sp macro="" textlink="">
          <xdr:nvSpPr>
            <xdr:cNvPr id="11342" name="Object 78" hidden="1">
              <a:extLst>
                <a:ext uri="{63B3BB69-23CF-44E3-9099-C40C66FF867C}">
                  <a14:compatExt spid="_x0000_s11342"/>
                </a:ext>
                <a:ext uri="{FF2B5EF4-FFF2-40B4-BE49-F238E27FC236}">
                  <a16:creationId xmlns:a16="http://schemas.microsoft.com/office/drawing/2014/main" id="{00000000-0008-0000-0B00-00004E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184150</xdr:colOff>
          <xdr:row>30</xdr:row>
          <xdr:rowOff>0</xdr:rowOff>
        </xdr:from>
        <xdr:to>
          <xdr:col>6</xdr:col>
          <xdr:colOff>4857750</xdr:colOff>
          <xdr:row>30</xdr:row>
          <xdr:rowOff>0</xdr:rowOff>
        </xdr:to>
        <xdr:sp macro="" textlink="">
          <xdr:nvSpPr>
            <xdr:cNvPr id="11343" name="Object 79" hidden="1">
              <a:extLst>
                <a:ext uri="{63B3BB69-23CF-44E3-9099-C40C66FF867C}">
                  <a14:compatExt spid="_x0000_s11343"/>
                </a:ext>
                <a:ext uri="{FF2B5EF4-FFF2-40B4-BE49-F238E27FC236}">
                  <a16:creationId xmlns:a16="http://schemas.microsoft.com/office/drawing/2014/main" id="{00000000-0008-0000-0B00-00004F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14</xdr:row>
          <xdr:rowOff>203200</xdr:rowOff>
        </xdr:from>
        <xdr:to>
          <xdr:col>6</xdr:col>
          <xdr:colOff>3860800</xdr:colOff>
          <xdr:row>14</xdr:row>
          <xdr:rowOff>5048250</xdr:rowOff>
        </xdr:to>
        <xdr:sp macro="" textlink="">
          <xdr:nvSpPr>
            <xdr:cNvPr id="11356" name="Object 92" hidden="1">
              <a:extLst>
                <a:ext uri="{63B3BB69-23CF-44E3-9099-C40C66FF867C}">
                  <a14:compatExt spid="_x0000_s11356"/>
                </a:ext>
                <a:ext uri="{FF2B5EF4-FFF2-40B4-BE49-F238E27FC236}">
                  <a16:creationId xmlns:a16="http://schemas.microsoft.com/office/drawing/2014/main" id="{00000000-0008-0000-0B00-00005C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19</xdr:row>
          <xdr:rowOff>285750</xdr:rowOff>
        </xdr:from>
        <xdr:to>
          <xdr:col>6</xdr:col>
          <xdr:colOff>4800600</xdr:colOff>
          <xdr:row>19</xdr:row>
          <xdr:rowOff>4870450</xdr:rowOff>
        </xdr:to>
        <xdr:sp macro="" textlink="">
          <xdr:nvSpPr>
            <xdr:cNvPr id="11357" name="Object 93" hidden="1">
              <a:extLst>
                <a:ext uri="{63B3BB69-23CF-44E3-9099-C40C66FF867C}">
                  <a14:compatExt spid="_x0000_s11357"/>
                </a:ext>
                <a:ext uri="{FF2B5EF4-FFF2-40B4-BE49-F238E27FC236}">
                  <a16:creationId xmlns:a16="http://schemas.microsoft.com/office/drawing/2014/main" id="{00000000-0008-0000-0B00-00005D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342900</xdr:colOff>
          <xdr:row>17</xdr:row>
          <xdr:rowOff>184150</xdr:rowOff>
        </xdr:from>
        <xdr:to>
          <xdr:col>6</xdr:col>
          <xdr:colOff>4775200</xdr:colOff>
          <xdr:row>17</xdr:row>
          <xdr:rowOff>4489450</xdr:rowOff>
        </xdr:to>
        <xdr:sp macro="" textlink="">
          <xdr:nvSpPr>
            <xdr:cNvPr id="11358" name="Object 94" hidden="1">
              <a:extLst>
                <a:ext uri="{63B3BB69-23CF-44E3-9099-C40C66FF867C}">
                  <a14:compatExt spid="_x0000_s11358"/>
                </a:ext>
                <a:ext uri="{FF2B5EF4-FFF2-40B4-BE49-F238E27FC236}">
                  <a16:creationId xmlns:a16="http://schemas.microsoft.com/office/drawing/2014/main" id="{00000000-0008-0000-0B00-00005E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88900</xdr:colOff>
          <xdr:row>16</xdr:row>
          <xdr:rowOff>0</xdr:rowOff>
        </xdr:from>
        <xdr:to>
          <xdr:col>6</xdr:col>
          <xdr:colOff>4876800</xdr:colOff>
          <xdr:row>16</xdr:row>
          <xdr:rowOff>0</xdr:rowOff>
        </xdr:to>
        <xdr:sp macro="" textlink="">
          <xdr:nvSpPr>
            <xdr:cNvPr id="11359" name="Object 95" hidden="1">
              <a:extLst>
                <a:ext uri="{63B3BB69-23CF-44E3-9099-C40C66FF867C}">
                  <a14:compatExt spid="_x0000_s11359"/>
                </a:ext>
                <a:ext uri="{FF2B5EF4-FFF2-40B4-BE49-F238E27FC236}">
                  <a16:creationId xmlns:a16="http://schemas.microsoft.com/office/drawing/2014/main" id="{00000000-0008-0000-0B00-00005F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16</xdr:row>
          <xdr:rowOff>361950</xdr:rowOff>
        </xdr:from>
        <xdr:to>
          <xdr:col>6</xdr:col>
          <xdr:colOff>4070350</xdr:colOff>
          <xdr:row>16</xdr:row>
          <xdr:rowOff>5143500</xdr:rowOff>
        </xdr:to>
        <xdr:sp macro="" textlink="">
          <xdr:nvSpPr>
            <xdr:cNvPr id="11369" name="Object 105" hidden="1">
              <a:extLst>
                <a:ext uri="{63B3BB69-23CF-44E3-9099-C40C66FF867C}">
                  <a14:compatExt spid="_x0000_s11369"/>
                </a:ext>
                <a:ext uri="{FF2B5EF4-FFF2-40B4-BE49-F238E27FC236}">
                  <a16:creationId xmlns:a16="http://schemas.microsoft.com/office/drawing/2014/main" id="{00000000-0008-0000-0B00-000069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6</xdr:col>
      <xdr:colOff>38100</xdr:colOff>
      <xdr:row>31</xdr:row>
      <xdr:rowOff>466725</xdr:rowOff>
    </xdr:from>
    <xdr:to>
      <xdr:col>6</xdr:col>
      <xdr:colOff>4034559</xdr:colOff>
      <xdr:row>31</xdr:row>
      <xdr:rowOff>1685924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076950" y="45815250"/>
          <a:ext cx="3996459" cy="1219199"/>
        </a:xfrm>
        <a:prstGeom prst="rect">
          <a:avLst/>
        </a:prstGeom>
      </xdr:spPr>
    </xdr:pic>
    <xdr:clientData/>
  </xdr:twoCellAnchor>
  <xdr:twoCellAnchor editAs="oneCell">
    <xdr:from>
      <xdr:col>6</xdr:col>
      <xdr:colOff>19050</xdr:colOff>
      <xdr:row>32</xdr:row>
      <xdr:rowOff>857251</xdr:rowOff>
    </xdr:from>
    <xdr:to>
      <xdr:col>6</xdr:col>
      <xdr:colOff>4066549</xdr:colOff>
      <xdr:row>32</xdr:row>
      <xdr:rowOff>1295401</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6057900" y="48472726"/>
          <a:ext cx="4047499" cy="438150"/>
        </a:xfrm>
        <a:prstGeom prst="rect">
          <a:avLst/>
        </a:prstGeom>
      </xdr:spPr>
    </xdr:pic>
    <xdr:clientData/>
  </xdr:twoCellAnchor>
  <xdr:twoCellAnchor editAs="oneCell">
    <xdr:from>
      <xdr:col>6</xdr:col>
      <xdr:colOff>85726</xdr:colOff>
      <xdr:row>33</xdr:row>
      <xdr:rowOff>590550</xdr:rowOff>
    </xdr:from>
    <xdr:to>
      <xdr:col>6</xdr:col>
      <xdr:colOff>4029075</xdr:colOff>
      <xdr:row>33</xdr:row>
      <xdr:rowOff>1096463</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6124576" y="50282475"/>
          <a:ext cx="3943349" cy="505913"/>
        </a:xfrm>
        <a:prstGeom prst="rect">
          <a:avLst/>
        </a:prstGeom>
      </xdr:spPr>
    </xdr:pic>
    <xdr:clientData/>
  </xdr:twoCellAnchor>
  <xdr:twoCellAnchor editAs="oneCell">
    <xdr:from>
      <xdr:col>6</xdr:col>
      <xdr:colOff>38101</xdr:colOff>
      <xdr:row>34</xdr:row>
      <xdr:rowOff>609600</xdr:rowOff>
    </xdr:from>
    <xdr:to>
      <xdr:col>6</xdr:col>
      <xdr:colOff>4038601</xdr:colOff>
      <xdr:row>34</xdr:row>
      <xdr:rowOff>1164222</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6076951" y="51920775"/>
          <a:ext cx="4000500" cy="554622"/>
        </a:xfrm>
        <a:prstGeom prst="rect">
          <a:avLst/>
        </a:prstGeom>
      </xdr:spPr>
    </xdr:pic>
    <xdr:clientData/>
  </xdr:twoCellAnchor>
  <xdr:twoCellAnchor editAs="oneCell">
    <xdr:from>
      <xdr:col>6</xdr:col>
      <xdr:colOff>38101</xdr:colOff>
      <xdr:row>35</xdr:row>
      <xdr:rowOff>695326</xdr:rowOff>
    </xdr:from>
    <xdr:to>
      <xdr:col>6</xdr:col>
      <xdr:colOff>3952875</xdr:colOff>
      <xdr:row>35</xdr:row>
      <xdr:rowOff>1285876</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6076951" y="53721001"/>
          <a:ext cx="3914774" cy="590550"/>
        </a:xfrm>
        <a:prstGeom prst="rect">
          <a:avLst/>
        </a:prstGeom>
      </xdr:spPr>
    </xdr:pic>
    <xdr:clientData/>
  </xdr:twoCellAnchor>
  <xdr:twoCellAnchor editAs="oneCell">
    <xdr:from>
      <xdr:col>6</xdr:col>
      <xdr:colOff>1047750</xdr:colOff>
      <xdr:row>36</xdr:row>
      <xdr:rowOff>342900</xdr:rowOff>
    </xdr:from>
    <xdr:to>
      <xdr:col>6</xdr:col>
      <xdr:colOff>3000375</xdr:colOff>
      <xdr:row>36</xdr:row>
      <xdr:rowOff>1246594</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7086600" y="55283100"/>
          <a:ext cx="1952625" cy="903694"/>
        </a:xfrm>
        <a:prstGeom prst="rect">
          <a:avLst/>
        </a:prstGeom>
      </xdr:spPr>
    </xdr:pic>
    <xdr:clientData/>
  </xdr:twoCellAnchor>
  <xdr:twoCellAnchor editAs="oneCell">
    <xdr:from>
      <xdr:col>6</xdr:col>
      <xdr:colOff>1285876</xdr:colOff>
      <xdr:row>37</xdr:row>
      <xdr:rowOff>171450</xdr:rowOff>
    </xdr:from>
    <xdr:to>
      <xdr:col>6</xdr:col>
      <xdr:colOff>2798752</xdr:colOff>
      <xdr:row>37</xdr:row>
      <xdr:rowOff>819150</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7324726" y="56654700"/>
          <a:ext cx="1512876" cy="647700"/>
        </a:xfrm>
        <a:prstGeom prst="rect">
          <a:avLst/>
        </a:prstGeom>
      </xdr:spPr>
    </xdr:pic>
    <xdr:clientData/>
  </xdr:twoCellAnchor>
  <xdr:twoCellAnchor editAs="oneCell">
    <xdr:from>
      <xdr:col>6</xdr:col>
      <xdr:colOff>990600</xdr:colOff>
      <xdr:row>38</xdr:row>
      <xdr:rowOff>209550</xdr:rowOff>
    </xdr:from>
    <xdr:to>
      <xdr:col>6</xdr:col>
      <xdr:colOff>2872971</xdr:colOff>
      <xdr:row>38</xdr:row>
      <xdr:rowOff>885825</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7029450" y="57797700"/>
          <a:ext cx="1882371" cy="676275"/>
        </a:xfrm>
        <a:prstGeom prst="rect">
          <a:avLst/>
        </a:prstGeom>
      </xdr:spPr>
    </xdr:pic>
    <xdr:clientData/>
  </xdr:twoCellAnchor>
  <xdr:twoCellAnchor editAs="oneCell">
    <xdr:from>
      <xdr:col>6</xdr:col>
      <xdr:colOff>47625</xdr:colOff>
      <xdr:row>39</xdr:row>
      <xdr:rowOff>542927</xdr:rowOff>
    </xdr:from>
    <xdr:to>
      <xdr:col>6</xdr:col>
      <xdr:colOff>3981450</xdr:colOff>
      <xdr:row>39</xdr:row>
      <xdr:rowOff>1493435</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6086475" y="59150252"/>
          <a:ext cx="3933825" cy="950508"/>
        </a:xfrm>
        <a:prstGeom prst="rect">
          <a:avLst/>
        </a:prstGeom>
      </xdr:spPr>
    </xdr:pic>
    <xdr:clientData/>
  </xdr:twoCellAnchor>
  <mc:AlternateContent xmlns:mc="http://schemas.openxmlformats.org/markup-compatibility/2006">
    <mc:Choice xmlns:a14="http://schemas.microsoft.com/office/drawing/2010/main" Requires="a14">
      <xdr:twoCellAnchor>
        <xdr:from>
          <xdr:col>6</xdr:col>
          <xdr:colOff>1041400</xdr:colOff>
          <xdr:row>48</xdr:row>
          <xdr:rowOff>266700</xdr:rowOff>
        </xdr:from>
        <xdr:to>
          <xdr:col>6</xdr:col>
          <xdr:colOff>3524250</xdr:colOff>
          <xdr:row>48</xdr:row>
          <xdr:rowOff>1003300</xdr:rowOff>
        </xdr:to>
        <xdr:sp macro="" textlink="">
          <xdr:nvSpPr>
            <xdr:cNvPr id="11375" name="Object 111" hidden="1">
              <a:extLst>
                <a:ext uri="{63B3BB69-23CF-44E3-9099-C40C66FF867C}">
                  <a14:compatExt spid="_x0000_s11375"/>
                </a:ext>
                <a:ext uri="{FF2B5EF4-FFF2-40B4-BE49-F238E27FC236}">
                  <a16:creationId xmlns:a16="http://schemas.microsoft.com/office/drawing/2014/main" id="{00000000-0008-0000-0B00-00006F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984250</xdr:colOff>
          <xdr:row>49</xdr:row>
          <xdr:rowOff>133350</xdr:rowOff>
        </xdr:from>
        <xdr:to>
          <xdr:col>6</xdr:col>
          <xdr:colOff>3543300</xdr:colOff>
          <xdr:row>49</xdr:row>
          <xdr:rowOff>1003300</xdr:rowOff>
        </xdr:to>
        <xdr:sp macro="" textlink="">
          <xdr:nvSpPr>
            <xdr:cNvPr id="11376" name="Object 112" hidden="1">
              <a:extLst>
                <a:ext uri="{63B3BB69-23CF-44E3-9099-C40C66FF867C}">
                  <a14:compatExt spid="_x0000_s11376"/>
                </a:ext>
                <a:ext uri="{FF2B5EF4-FFF2-40B4-BE49-F238E27FC236}">
                  <a16:creationId xmlns:a16="http://schemas.microsoft.com/office/drawing/2014/main" id="{00000000-0008-0000-0B00-000070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1104900</xdr:colOff>
          <xdr:row>50</xdr:row>
          <xdr:rowOff>190500</xdr:rowOff>
        </xdr:from>
        <xdr:to>
          <xdr:col>6</xdr:col>
          <xdr:colOff>3632200</xdr:colOff>
          <xdr:row>50</xdr:row>
          <xdr:rowOff>927100</xdr:rowOff>
        </xdr:to>
        <xdr:sp macro="" textlink="">
          <xdr:nvSpPr>
            <xdr:cNvPr id="11377" name="Object 113" hidden="1">
              <a:extLst>
                <a:ext uri="{63B3BB69-23CF-44E3-9099-C40C66FF867C}">
                  <a14:compatExt spid="_x0000_s11377"/>
                </a:ext>
                <a:ext uri="{FF2B5EF4-FFF2-40B4-BE49-F238E27FC236}">
                  <a16:creationId xmlns:a16="http://schemas.microsoft.com/office/drawing/2014/main" id="{00000000-0008-0000-0B00-00007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704850</xdr:colOff>
          <xdr:row>51</xdr:row>
          <xdr:rowOff>57150</xdr:rowOff>
        </xdr:from>
        <xdr:to>
          <xdr:col>6</xdr:col>
          <xdr:colOff>3771900</xdr:colOff>
          <xdr:row>51</xdr:row>
          <xdr:rowOff>1003300</xdr:rowOff>
        </xdr:to>
        <xdr:sp macro="" textlink="">
          <xdr:nvSpPr>
            <xdr:cNvPr id="11378" name="Object 114" hidden="1">
              <a:extLst>
                <a:ext uri="{63B3BB69-23CF-44E3-9099-C40C66FF867C}">
                  <a14:compatExt spid="_x0000_s11378"/>
                </a:ext>
                <a:ext uri="{FF2B5EF4-FFF2-40B4-BE49-F238E27FC236}">
                  <a16:creationId xmlns:a16="http://schemas.microsoft.com/office/drawing/2014/main" id="{00000000-0008-0000-0B00-00007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984250</xdr:colOff>
          <xdr:row>47</xdr:row>
          <xdr:rowOff>76200</xdr:rowOff>
        </xdr:from>
        <xdr:to>
          <xdr:col>6</xdr:col>
          <xdr:colOff>3600450</xdr:colOff>
          <xdr:row>47</xdr:row>
          <xdr:rowOff>723900</xdr:rowOff>
        </xdr:to>
        <xdr:sp macro="" textlink="">
          <xdr:nvSpPr>
            <xdr:cNvPr id="11379" name="Object 115" hidden="1">
              <a:extLst>
                <a:ext uri="{63B3BB69-23CF-44E3-9099-C40C66FF867C}">
                  <a14:compatExt spid="_x0000_s11379"/>
                </a:ext>
                <a:ext uri="{FF2B5EF4-FFF2-40B4-BE49-F238E27FC236}">
                  <a16:creationId xmlns:a16="http://schemas.microsoft.com/office/drawing/2014/main" id="{00000000-0008-0000-0B00-000073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1143000</xdr:colOff>
          <xdr:row>46</xdr:row>
          <xdr:rowOff>50800</xdr:rowOff>
        </xdr:from>
        <xdr:to>
          <xdr:col>6</xdr:col>
          <xdr:colOff>3498850</xdr:colOff>
          <xdr:row>46</xdr:row>
          <xdr:rowOff>812800</xdr:rowOff>
        </xdr:to>
        <xdr:sp macro="" textlink="">
          <xdr:nvSpPr>
            <xdr:cNvPr id="11380" name="Object 116" hidden="1">
              <a:extLst>
                <a:ext uri="{63B3BB69-23CF-44E3-9099-C40C66FF867C}">
                  <a14:compatExt spid="_x0000_s11380"/>
                </a:ext>
                <a:ext uri="{FF2B5EF4-FFF2-40B4-BE49-F238E27FC236}">
                  <a16:creationId xmlns:a16="http://schemas.microsoft.com/office/drawing/2014/main" id="{00000000-0008-0000-0B00-00007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812800</xdr:colOff>
          <xdr:row>42</xdr:row>
          <xdr:rowOff>133350</xdr:rowOff>
        </xdr:from>
        <xdr:to>
          <xdr:col>6</xdr:col>
          <xdr:colOff>3314700</xdr:colOff>
          <xdr:row>42</xdr:row>
          <xdr:rowOff>889000</xdr:rowOff>
        </xdr:to>
        <xdr:sp macro="" textlink="">
          <xdr:nvSpPr>
            <xdr:cNvPr id="11381" name="Object 117" hidden="1">
              <a:extLst>
                <a:ext uri="{63B3BB69-23CF-44E3-9099-C40C66FF867C}">
                  <a14:compatExt spid="_x0000_s11381"/>
                </a:ext>
                <a:ext uri="{FF2B5EF4-FFF2-40B4-BE49-F238E27FC236}">
                  <a16:creationId xmlns:a16="http://schemas.microsoft.com/office/drawing/2014/main" id="{00000000-0008-0000-0B00-00007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1155700</xdr:colOff>
          <xdr:row>43</xdr:row>
          <xdr:rowOff>146050</xdr:rowOff>
        </xdr:from>
        <xdr:to>
          <xdr:col>6</xdr:col>
          <xdr:colOff>3067050</xdr:colOff>
          <xdr:row>43</xdr:row>
          <xdr:rowOff>1123950</xdr:rowOff>
        </xdr:to>
        <xdr:sp macro="" textlink="">
          <xdr:nvSpPr>
            <xdr:cNvPr id="11382" name="Object 118" hidden="1">
              <a:extLst>
                <a:ext uri="{63B3BB69-23CF-44E3-9099-C40C66FF867C}">
                  <a14:compatExt spid="_x0000_s11382"/>
                </a:ext>
                <a:ext uri="{FF2B5EF4-FFF2-40B4-BE49-F238E27FC236}">
                  <a16:creationId xmlns:a16="http://schemas.microsoft.com/office/drawing/2014/main" id="{00000000-0008-0000-0B00-000076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1231900</xdr:colOff>
          <xdr:row>44</xdr:row>
          <xdr:rowOff>355600</xdr:rowOff>
        </xdr:from>
        <xdr:to>
          <xdr:col>6</xdr:col>
          <xdr:colOff>3181350</xdr:colOff>
          <xdr:row>44</xdr:row>
          <xdr:rowOff>838200</xdr:rowOff>
        </xdr:to>
        <xdr:sp macro="" textlink="">
          <xdr:nvSpPr>
            <xdr:cNvPr id="11383" name="Object 119" hidden="1">
              <a:extLst>
                <a:ext uri="{63B3BB69-23CF-44E3-9099-C40C66FF867C}">
                  <a14:compatExt spid="_x0000_s11383"/>
                </a:ext>
                <a:ext uri="{FF2B5EF4-FFF2-40B4-BE49-F238E27FC236}">
                  <a16:creationId xmlns:a16="http://schemas.microsoft.com/office/drawing/2014/main" id="{00000000-0008-0000-0B00-00007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1174750</xdr:colOff>
          <xdr:row>45</xdr:row>
          <xdr:rowOff>133350</xdr:rowOff>
        </xdr:from>
        <xdr:to>
          <xdr:col>6</xdr:col>
          <xdr:colOff>3276600</xdr:colOff>
          <xdr:row>45</xdr:row>
          <xdr:rowOff>685800</xdr:rowOff>
        </xdr:to>
        <xdr:sp macro="" textlink="">
          <xdr:nvSpPr>
            <xdr:cNvPr id="11384" name="Object 120" hidden="1">
              <a:extLst>
                <a:ext uri="{63B3BB69-23CF-44E3-9099-C40C66FF867C}">
                  <a14:compatExt spid="_x0000_s11384"/>
                </a:ext>
                <a:ext uri="{FF2B5EF4-FFF2-40B4-BE49-F238E27FC236}">
                  <a16:creationId xmlns:a16="http://schemas.microsoft.com/office/drawing/2014/main" id="{00000000-0008-0000-0B00-00007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1104900</xdr:colOff>
          <xdr:row>52</xdr:row>
          <xdr:rowOff>127000</xdr:rowOff>
        </xdr:from>
        <xdr:to>
          <xdr:col>6</xdr:col>
          <xdr:colOff>3498850</xdr:colOff>
          <xdr:row>52</xdr:row>
          <xdr:rowOff>698500</xdr:rowOff>
        </xdr:to>
        <xdr:sp macro="" textlink="">
          <xdr:nvSpPr>
            <xdr:cNvPr id="11385" name="Object 121" hidden="1">
              <a:extLst>
                <a:ext uri="{63B3BB69-23CF-44E3-9099-C40C66FF867C}">
                  <a14:compatExt spid="_x0000_s11385"/>
                </a:ext>
                <a:ext uri="{FF2B5EF4-FFF2-40B4-BE49-F238E27FC236}">
                  <a16:creationId xmlns:a16="http://schemas.microsoft.com/office/drawing/2014/main" id="{00000000-0008-0000-0B00-000079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965200</xdr:colOff>
          <xdr:row>53</xdr:row>
          <xdr:rowOff>31750</xdr:rowOff>
        </xdr:from>
        <xdr:to>
          <xdr:col>6</xdr:col>
          <xdr:colOff>3486150</xdr:colOff>
          <xdr:row>53</xdr:row>
          <xdr:rowOff>800100</xdr:rowOff>
        </xdr:to>
        <xdr:sp macro="" textlink="">
          <xdr:nvSpPr>
            <xdr:cNvPr id="11386" name="Object 122" hidden="1">
              <a:extLst>
                <a:ext uri="{63B3BB69-23CF-44E3-9099-C40C66FF867C}">
                  <a14:compatExt spid="_x0000_s11386"/>
                </a:ext>
                <a:ext uri="{FF2B5EF4-FFF2-40B4-BE49-F238E27FC236}">
                  <a16:creationId xmlns:a16="http://schemas.microsoft.com/office/drawing/2014/main" id="{00000000-0008-0000-0B00-00007A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wnloads/GRNS%20DEMO-LCI%20v1_2%2011-16-17_jd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wnloads/polar_pl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Stream &amp; Compound Data"/>
      <sheetName val="II. Equipment &amp; Cost Data"/>
      <sheetName val="III. Utility Data"/>
      <sheetName val="IV. Material Efficiency"/>
      <sheetName val="V. Environmental"/>
      <sheetName val="VI. Energy"/>
      <sheetName val="VII. Economic"/>
      <sheetName val="VIII. Plots"/>
      <sheetName val="GREENSCOPE-LCI"/>
      <sheetName val="Solid Estimation"/>
      <sheetName val="Best&amp;Worst-Economics"/>
      <sheetName val="Potency Factors "/>
      <sheetName val="Emergy"/>
      <sheetName val="Ex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e"/>
      <sheetName val="Efficiency Indicator"/>
      <sheetName val="Environmental Indicator"/>
    </sheetNames>
    <sheetDataSet>
      <sheetData sheetId="0">
        <row r="2">
          <cell r="K2">
            <v>1</v>
          </cell>
          <cell r="L2">
            <v>1</v>
          </cell>
          <cell r="M2">
            <v>1</v>
          </cell>
          <cell r="N2">
            <v>1</v>
          </cell>
          <cell r="O2">
            <v>1</v>
          </cell>
          <cell r="P2">
            <v>1</v>
          </cell>
          <cell r="Q2">
            <v>1</v>
          </cell>
          <cell r="R2">
            <v>1</v>
          </cell>
          <cell r="S2">
            <v>1</v>
          </cell>
        </row>
        <row r="3">
          <cell r="K3">
            <v>1</v>
          </cell>
          <cell r="L3">
            <v>1</v>
          </cell>
          <cell r="M3">
            <v>1</v>
          </cell>
          <cell r="N3">
            <v>1</v>
          </cell>
          <cell r="O3">
            <v>1</v>
          </cell>
          <cell r="P3">
            <v>1</v>
          </cell>
          <cell r="Q3">
            <v>1</v>
          </cell>
          <cell r="R3">
            <v>1</v>
          </cell>
          <cell r="S3">
            <v>1</v>
          </cell>
        </row>
        <row r="4">
          <cell r="K4">
            <v>1</v>
          </cell>
          <cell r="L4">
            <v>1</v>
          </cell>
          <cell r="M4">
            <v>1</v>
          </cell>
          <cell r="N4">
            <v>1</v>
          </cell>
          <cell r="O4">
            <v>1</v>
          </cell>
          <cell r="P4">
            <v>1</v>
          </cell>
          <cell r="Q4">
            <v>1</v>
          </cell>
          <cell r="R4">
            <v>1</v>
          </cell>
          <cell r="S4">
            <v>1</v>
          </cell>
        </row>
        <row r="5">
          <cell r="K5">
            <v>1</v>
          </cell>
          <cell r="L5">
            <v>1</v>
          </cell>
          <cell r="M5">
            <v>1</v>
          </cell>
          <cell r="N5">
            <v>1</v>
          </cell>
          <cell r="O5">
            <v>1</v>
          </cell>
          <cell r="P5">
            <v>1</v>
          </cell>
          <cell r="Q5">
            <v>1</v>
          </cell>
          <cell r="R5">
            <v>1</v>
          </cell>
          <cell r="S5">
            <v>1</v>
          </cell>
        </row>
        <row r="6">
          <cell r="K6">
            <v>1</v>
          </cell>
          <cell r="L6">
            <v>1</v>
          </cell>
          <cell r="M6">
            <v>1</v>
          </cell>
          <cell r="N6">
            <v>1</v>
          </cell>
          <cell r="O6">
            <v>1</v>
          </cell>
          <cell r="P6">
            <v>1</v>
          </cell>
          <cell r="Q6">
            <v>1</v>
          </cell>
          <cell r="R6">
            <v>1</v>
          </cell>
          <cell r="S6">
            <v>1</v>
          </cell>
        </row>
        <row r="7">
          <cell r="K7">
            <v>1</v>
          </cell>
          <cell r="L7">
            <v>1</v>
          </cell>
          <cell r="M7">
            <v>1</v>
          </cell>
          <cell r="N7">
            <v>1</v>
          </cell>
          <cell r="O7">
            <v>1</v>
          </cell>
          <cell r="P7">
            <v>1</v>
          </cell>
          <cell r="Q7">
            <v>1</v>
          </cell>
          <cell r="R7">
            <v>1</v>
          </cell>
          <cell r="S7">
            <v>1</v>
          </cell>
        </row>
        <row r="8">
          <cell r="K8">
            <v>1</v>
          </cell>
          <cell r="L8">
            <v>1</v>
          </cell>
          <cell r="M8">
            <v>1</v>
          </cell>
          <cell r="N8">
            <v>1</v>
          </cell>
          <cell r="O8">
            <v>1</v>
          </cell>
          <cell r="P8">
            <v>1</v>
          </cell>
          <cell r="Q8">
            <v>1</v>
          </cell>
          <cell r="R8">
            <v>1</v>
          </cell>
          <cell r="S8">
            <v>1</v>
          </cell>
        </row>
        <row r="9">
          <cell r="K9">
            <v>1</v>
          </cell>
          <cell r="L9">
            <v>1</v>
          </cell>
          <cell r="M9">
            <v>1</v>
          </cell>
          <cell r="N9">
            <v>1</v>
          </cell>
          <cell r="O9">
            <v>1</v>
          </cell>
          <cell r="P9">
            <v>1</v>
          </cell>
          <cell r="Q9">
            <v>1</v>
          </cell>
          <cell r="R9">
            <v>1</v>
          </cell>
          <cell r="S9">
            <v>1</v>
          </cell>
        </row>
        <row r="10">
          <cell r="K10">
            <v>1</v>
          </cell>
          <cell r="L10">
            <v>1</v>
          </cell>
          <cell r="M10">
            <v>1</v>
          </cell>
          <cell r="N10">
            <v>1</v>
          </cell>
          <cell r="O10">
            <v>1</v>
          </cell>
          <cell r="P10">
            <v>1</v>
          </cell>
          <cell r="Q10">
            <v>1</v>
          </cell>
          <cell r="R10">
            <v>1</v>
          </cell>
          <cell r="S10">
            <v>1</v>
          </cell>
        </row>
        <row r="11">
          <cell r="K11">
            <v>1</v>
          </cell>
          <cell r="L11">
            <v>1</v>
          </cell>
          <cell r="M11">
            <v>1</v>
          </cell>
          <cell r="N11">
            <v>1</v>
          </cell>
          <cell r="O11">
            <v>1</v>
          </cell>
          <cell r="P11">
            <v>1</v>
          </cell>
          <cell r="Q11">
            <v>1</v>
          </cell>
          <cell r="R11">
            <v>1</v>
          </cell>
          <cell r="S11">
            <v>1</v>
          </cell>
        </row>
      </sheetData>
      <sheetData sheetId="1">
        <row r="2">
          <cell r="A2" t="str">
            <v>Indicators</v>
          </cell>
        </row>
        <row r="3">
          <cell r="D3" t="str">
            <v>mmat,tot</v>
          </cell>
        </row>
        <row r="4">
          <cell r="D4" t="str">
            <v>MI</v>
          </cell>
        </row>
        <row r="5">
          <cell r="D5" t="str">
            <v>MP</v>
          </cell>
        </row>
        <row r="6">
          <cell r="D6" t="str">
            <v>E</v>
          </cell>
        </row>
        <row r="7">
          <cell r="D7" t="str">
            <v>MLI</v>
          </cell>
        </row>
        <row r="8">
          <cell r="D8" t="str">
            <v>RIM</v>
          </cell>
        </row>
        <row r="9">
          <cell r="D9" t="str">
            <v>BFM</v>
          </cell>
        </row>
        <row r="10">
          <cell r="D10" t="str">
            <v>wrecycl,mat</v>
          </cell>
        </row>
        <row r="11">
          <cell r="D11" t="str">
            <v>wrecov,prod</v>
          </cell>
        </row>
      </sheetData>
      <sheetData sheetId="2">
        <row r="2">
          <cell r="A2" t="str">
            <v>Indicators</v>
          </cell>
          <cell r="K2">
            <v>1</v>
          </cell>
          <cell r="L2">
            <v>1</v>
          </cell>
          <cell r="M2">
            <v>1</v>
          </cell>
          <cell r="N2">
            <v>1</v>
          </cell>
          <cell r="O2">
            <v>1</v>
          </cell>
          <cell r="P2">
            <v>1</v>
          </cell>
          <cell r="Q2">
            <v>1</v>
          </cell>
          <cell r="R2">
            <v>1</v>
          </cell>
          <cell r="S2">
            <v>1</v>
          </cell>
          <cell r="T2">
            <v>1</v>
          </cell>
          <cell r="U2">
            <v>1</v>
          </cell>
          <cell r="V2">
            <v>1</v>
          </cell>
          <cell r="W2">
            <v>1</v>
          </cell>
          <cell r="X2">
            <v>1</v>
          </cell>
          <cell r="Y2">
            <v>1</v>
          </cell>
          <cell r="Z2">
            <v>1</v>
          </cell>
          <cell r="AA2">
            <v>1</v>
          </cell>
          <cell r="AB2">
            <v>1</v>
          </cell>
        </row>
        <row r="3">
          <cell r="D3" t="str">
            <v>mhaz,mat</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row>
        <row r="4">
          <cell r="D4" t="str">
            <v>mhaz,mat,spec</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row>
        <row r="5">
          <cell r="D5" t="str">
            <v>SHacute tox</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row>
        <row r="6">
          <cell r="D6" t="str">
            <v>EQ</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row>
        <row r="7">
          <cell r="D7" t="str">
            <v>EHair</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row>
        <row r="8">
          <cell r="D8" t="str">
            <v>EHwater</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row>
        <row r="9">
          <cell r="D9" t="str">
            <v>EHsolid</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row>
        <row r="10">
          <cell r="D10" t="str">
            <v>EHbioacc</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row>
        <row r="11">
          <cell r="D11" t="str">
            <v>ms,tot</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row>
        <row r="12">
          <cell r="D12" t="str">
            <v>ms,spec</v>
          </cell>
        </row>
        <row r="13">
          <cell r="D13" t="str">
            <v>ms,recov</v>
          </cell>
        </row>
        <row r="14">
          <cell r="D14" t="str">
            <v>ms,disp</v>
          </cell>
        </row>
        <row r="15">
          <cell r="D15" t="str">
            <v>ws,recycl</v>
          </cell>
        </row>
        <row r="16">
          <cell r="D16" t="str">
            <v>ws,non-recycl</v>
          </cell>
        </row>
        <row r="17">
          <cell r="D17" t="str">
            <v>ws,haz</v>
          </cell>
        </row>
        <row r="18">
          <cell r="D18" t="str">
            <v>ms,haz</v>
          </cell>
        </row>
        <row r="19">
          <cell r="D19" t="str">
            <v>ms,haz,spec</v>
          </cell>
        </row>
        <row r="20">
          <cell r="D20" t="str">
            <v>ms,n-haz</v>
          </cell>
        </row>
      </sheetData>
    </sheetDataSet>
  </externalBook>
</externalLink>
</file>

<file path=xl/persons/person.xml><?xml version="1.0" encoding="utf-8"?>
<personList xmlns="http://schemas.microsoft.com/office/spreadsheetml/2018/threadedcomments" xmlns:x="http://schemas.openxmlformats.org/spreadsheetml/2006/main">
  <person displayName="John Chea" id="{1387A8EF-152F-4738-B5AA-9D0022F9187B}" userId="1d46424341f72526" providerId="Windows Live"/>
  <person displayName="Chea, John" id="{64B5C39A-8E79-4FA1-9CCA-EC1EECC13EB2}" userId="S::Chea.John@epa.gov::2def30f0-bc1d-49fc-9919-be36b4188082" providerId="AD"/>
  <person displayName="Chea, John David" id="{04ECE133-7D09-424C-8B3F-48E4ACA1E6DE}" userId="S::cheaj2@students.rowan.edu::c09498ae-bdeb-42ad-9d16-2b149b9d68c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2" dT="2023-07-07T15:39:14.91" personId="{64B5C39A-8E79-4FA1-9CCA-EC1EECC13EB2}" id="{A022234E-48BE-4C4C-BBF3-4359DEA87285}">
    <text>Kim et al. 2011 - 8 - 11% after annualization (% released over a time period).
Smith et al. 2015 - 54% LFG release rate for general MSW landfilled. A lot of organic material is present in here, which does not fully represent the AM EoL landfilled. The lower end range, provided by (Kim et al. 2011's study) should accurately reflect LFG released by the AM EoL materials after landfilling.</text>
  </threadedComment>
  <threadedComment ref="A32" dT="2023-07-07T18:23:52.01" personId="{64B5C39A-8E79-4FA1-9CCA-EC1EECC13EB2}" id="{680490D5-8053-4EF0-89C4-6CC5208CA27C}" parentId="{A022234E-48BE-4C4C-BBF3-4359DEA87285}">
    <text>Chidambarampadmavathy et al. 2017 - estimated approximately 29% LFG generated and the landfills being studied is estimated to have roughly 20% plastics. Again, the AM industry has higher concentration of plastics, metal, glass, ceramics, and composites. The landfill gas generated as a result of AM EoL materials will not be as high.</text>
  </threadedComment>
  <threadedComment ref="AJ45" dT="2023-03-13T15:59:21.23" personId="{04ECE133-7D09-424C-8B3F-48E4ACA1E6DE}" id="{2B089E85-9874-4FB4-8F58-80CE258B480D}">
    <text>Unmitigated release. With gas collection, 60 - 90% of this can be removed.</text>
  </threadedComment>
  <threadedComment ref="AJ63" dT="2023-03-13T15:59:21.23" personId="{04ECE133-7D09-424C-8B3F-48E4ACA1E6DE}" id="{6EF9A3B6-C23B-4BB6-8C5D-6DE839C5E83F}">
    <text>Unmitigated release. With gas collection, 60 - 90% of this can be removed.</text>
  </threadedComment>
</ThreadedComments>
</file>

<file path=xl/threadedComments/threadedComment2.xml><?xml version="1.0" encoding="utf-8"?>
<ThreadedComments xmlns="http://schemas.microsoft.com/office/spreadsheetml/2018/threadedcomments" xmlns:x="http://schemas.openxmlformats.org/spreadsheetml/2006/main">
  <threadedComment ref="B112" dT="2023-06-02T16:25:34.66" personId="{1387A8EF-152F-4738-B5AA-9D0022F9187B}" id="{9C85F3E5-E3EC-4F5D-85DA-55BDBDA4FEA7}">
    <text xml:space="preserve">There are a few reasons why a secondary material might have a negative cost:
Waste disposal: Some materials, such as industrial byproducts or waste materials, may require special handling or disposal processes. If the cost of managing and disposing of these materials is high, suppliers may offer them at a negative cost to incentivize others to take them off their hands and bear the disposal expenses.
Environmental regulations: Certain materials may be subject to strict environmental regulations, requiring expensive treatment or disposal methods to ensure compliance. In such cases, suppliers may opt to offer the material at a negative cost to avoid the higher expenses associated with proper disposal.
Reclamation or recycling: In some instances, companies may offer secondary materials at a negative cost if they can be reclaimed or recycled for value. This approach allows companies to recover some value from the material while reducing waste and environmental impact.
While the material itself may be free or have a negative cost, it's important to consider any associated expenses or risks related to handling, transportation, storage, or potential environmental impacts. Additionally, the availability of materials at negative cost is limited and highly specific to certain industries or situations.
</text>
  </threadedComment>
</ThreadedComments>
</file>

<file path=xl/threadedComments/threadedComment3.xml><?xml version="1.0" encoding="utf-8"?>
<ThreadedComments xmlns="http://schemas.microsoft.com/office/spreadsheetml/2018/threadedcomments" xmlns:x="http://schemas.openxmlformats.org/spreadsheetml/2006/main">
  <threadedComment ref="B8" dT="2023-05-18T22:07:48.56" personId="{1387A8EF-152F-4738-B5AA-9D0022F9187B}" id="{4C641DCA-090E-4976-8C80-C13AEA6F6F3B}">
    <text>Renewability content is only PLA. Nothing else is renewable and PLA only makes up 0.25% of the total plastic mass found in MSW (US EPA 2018)</text>
  </threadedComment>
  <threadedComment ref="B126" dT="2023-05-15T17:52:20.79" personId="{1387A8EF-152F-4738-B5AA-9D0022F9187B}" id="{2EEA0776-AEB4-4E05-A1AC-561F4A2A8376}">
    <text>This energy consumption covers only for end-of-life only. From disposal to recycling/incineration/landfilling</text>
  </threadedComment>
  <threadedComment ref="B128" dT="2023-05-15T19:18:16.42" personId="{1387A8EF-152F-4738-B5AA-9D0022F9187B}" id="{E8B51110-FDE1-408C-8459-CD056A6EE697}">
    <text xml:space="preserve">The cost of recycled materials can be 50 - 100% more than recycled materials. Using the Economic Values from the "Material Cost Data", we can approximate the revenue based on the total mass of product. </text>
  </threadedComment>
  <threadedComment ref="B129" dT="2023-05-15T19:46:49.30" personId="{1387A8EF-152F-4738-B5AA-9D0022F9187B}" id="{B56FB7A4-E915-4680-B8A9-4857671F9985}">
    <text xml:space="preserve">Incineration is considered a waste treatment option and energy can be recovered. In this case, the score is &gt;100% because you can generate up to 5x more than the required energy. </text>
  </threadedComment>
  <threadedComment ref="B129" dT="2023-05-15T19:49:09.61" personId="{1387A8EF-152F-4738-B5AA-9D0022F9187B}" id="{5CEABFB2-F479-4778-89AD-63270D4DBD38}" parentId="{B56FB7A4-E915-4680-B8A9-4857671F9985}">
    <text xml:space="preserve">The negative value indicates the net energy gain from the process. </text>
  </threadedComment>
  <threadedComment ref="B130" dT="2023-05-15T19:52:36.66" personId="{1387A8EF-152F-4738-B5AA-9D0022F9187B}" id="{ABD96DBD-BABA-4E20-9EFB-41BC8889B0DE}">
    <text xml:space="preserve">Assuming no solvent recovery is done from the overall EoL process. It is partly practiced during manufacturing, but solvent eventually become too saturated with contamination, making recovery less feasible. Based on the current infrastructure, in the EoL stages, solvent recovery is a less attractive option than incineration from an economic standpoint. </text>
  </threadedComment>
  <threadedComment ref="C130" dT="2023-11-24T22:32:34.29" personId="{1387A8EF-152F-4738-B5AA-9D0022F9187B}" id="{38E70B49-F15C-4880-9DEF-AAB88FD5285C}">
    <text>Scenario 1 has solvent recovery</text>
  </threadedComment>
  <threadedComment ref="C130" dT="2023-11-26T00:12:23.04" personId="{1387A8EF-152F-4738-B5AA-9D0022F9187B}" id="{6603EFCD-C638-429B-894C-72FFB02CD01C}" parentId="{38E70B49-F15C-4880-9DEF-AAB88FD5285C}">
    <text xml:space="preserve">
P. Fullana I Palmer, R. Puig, A. Bala, G. Baquero, J. Riba, and M. Raugei, “From Life Cycle Assessment to Life Cycle Management: A Case Study on Industrial Waste Management Policy Making,” Journal of Industrial Ecology, vol. 15, no. 3, pp. 458–475, Jun. 2011, doi: 10.1111/j.1530-9290.2011.00338.x.
</text>
    <extLst>
      <x:ext xmlns:xltc2="http://schemas.microsoft.com/office/spreadsheetml/2020/threadedcomments2" uri="{F7C98A9C-CBB3-438F-8F68-D28B6AF4A901}">
        <xltc2:checksum>1697038225</xltc2:checksum>
        <xltc2:hyperlink startIndex="266" length="32" url="https://doi.org/10.1111/j.1530-9290.2011.00338.x"/>
      </x:ext>
    </extLst>
  </threadedComment>
  <threadedComment ref="G132" dT="2023-05-18T22:02:39.66" personId="{1387A8EF-152F-4738-B5AA-9D0022F9187B}" id="{7C74FB5C-FDD5-4AF9-A762-459A9E786FC3}">
    <text xml:space="preserve">Actually PLA is renewable. See if we can use EPA database to figure out what fraction of plastic is renewable. </text>
  </threadedComment>
  <threadedComment ref="B134" dT="2023-05-15T20:20:56.84" personId="{1387A8EF-152F-4738-B5AA-9D0022F9187B}" id="{9C446CDC-360E-4D9B-BDB5-12B8FF0CB4D5}">
    <text xml:space="preserve">Includes sorting, recycling, and transportation. Negative score is set to 0, indicating extraneous use of energy for recycling. </text>
  </threadedComment>
  <threadedComment ref="A136" dT="2023-05-31T15:30:14.74" personId="{64B5C39A-8E79-4FA1-9CCA-EC1EECC13EB2}" id="{ED8193EB-4F6D-4E27-B316-0E7A01F7FC77}">
    <text>Collection and Disposal: $90 - 200/ton 
Recycling: $30 - 80/ton 
Incineration: Capital $600 - 800/annual ton and operating cost of $44 - 55/ton incinerated
Selected the median value with the low and high being uncertainty</text>
  </threadedComment>
  <threadedComment ref="B136" dT="2023-05-31T16:07:14.95" personId="{64B5C39A-8E79-4FA1-9CCA-EC1EECC13EB2}" id="{7200FC97-A66C-4CAD-8343-6EB5306CB9FE}">
    <text>TPC (total process/product cost) = COM (cost of manufacture without depreciation) 
+ GE (general expenses) 
where GE = 15% to 25% of TPC (Peters et al. 2003 pp 259 - 274) [selected 20%]
TPC + 0.20TPC = COM = TPC(1.20) =29016000</text>
  </threadedComment>
  <threadedComment ref="E136" dT="2023-05-31T16:09:34.95" personId="{64B5C39A-8E79-4FA1-9CCA-EC1EECC13EB2}" id="{B59D8D38-4036-484A-BC61-89932650F556}">
    <text>1.4*COM_best-case (pick the lowest value of cost)</text>
  </threadedComment>
  <threadedComment ref="F136" dT="2023-05-31T16:09:51.26" personId="{64B5C39A-8E79-4FA1-9CCA-EC1EECC13EB2}" id="{242440C7-7984-4DE9-B823-F7433B9EAE67}">
    <text>1.2*COM_worst case (Pick the highest value for cost)</text>
  </threadedComment>
  <threadedComment ref="F143" dT="2023-06-01T20:19:40.46" personId="{04ECE133-7D09-424C-8B3F-48E4ACA1E6DE}" id="{189A22DE-7B34-40E4-80D5-B9930F2D52AF}">
    <text>The best case scenario value is a zero Cs tot. moreover, a worst case scenario value is when all solid waste is categorized as hazardous with a Cs tot. unit cost of $2/kg 
Regardless of the "high" value in the Economic Analysis tab, worst case is essentially mass of solid waste * $2/kg (a very expensive disposal and treatment process)</text>
  </threadedComment>
  <threadedComment ref="F143" dT="2023-06-01T20:25:21.44" personId="{04ECE133-7D09-424C-8B3F-48E4ACA1E6DE}" id="{585A9F3E-DF78-4876-A34F-B3F00ACBE514}" parentId="{189A22DE-7B34-40E4-80D5-B9930F2D52AF}">
    <text>The same goes for the remainder of the disposal categories</text>
  </threadedComment>
</ThreadedComments>
</file>

<file path=xl/threadedComments/threadedComment4.xml><?xml version="1.0" encoding="utf-8"?>
<ThreadedComments xmlns="http://schemas.microsoft.com/office/spreadsheetml/2018/threadedcomments" xmlns:x="http://schemas.openxmlformats.org/spreadsheetml/2006/main">
  <threadedComment ref="R14" dT="2023-11-25T16:37:07.90" personId="{1387A8EF-152F-4738-B5AA-9D0022F9187B}" id="{994A193F-23CC-4B4A-BA3A-9FE152E86A6B}">
    <text>Assuming IPA (density = 786 kg/m3 = 2.97533 kg/gal</text>
  </threadedComment>
  <threadedComment ref="V14" dT="2023-11-25T16:59:06.69" personId="{1387A8EF-152F-4738-B5AA-9D0022F9187B}" id="{E658A66A-356A-4AC5-999E-F4CBA7DA2E99}">
    <text xml:space="preserve">ACCR (Annual Capital Charge Ratio) * Total fixed capital cost = Annual Capital Cost.
Low interest = 0.1
High interest = 0.3
Assume life of plant = 20 years
For interest = 0.1; ACCR = 0.117
For interest = 0.2; ACCR = 0.302
Source: Towler and Sinnott 2012
</text>
  </threadedComment>
  <threadedComment ref="W14" dT="2023-11-25T17:24:21.65" personId="{1387A8EF-152F-4738-B5AA-9D0022F9187B}" id="{C87F3B07-8E32-4D49-907C-6EA1A4C2930B}">
    <text>Annualized Cost is very high due to high capital cost. Every individual site cannot justify such purchase because at low volume, solvent recovery is not feasible (https://doi.org/10.1016/j.isci.2021.103114 )</text>
    <extLst>
      <x:ext xmlns:xltc2="http://schemas.microsoft.com/office/spreadsheetml/2020/threadedcomments2" uri="{F7C98A9C-CBB3-438F-8F68-D28B6AF4A901}">
        <xltc2:checksum>270463388</xltc2:checksum>
        <xltc2:hyperlink startIndex="163" length="42" url="https://doi.org/10.1016/j.isci.2021.103114"/>
      </x:ext>
    </extLst>
  </threadedComment>
  <threadedComment ref="Q15" dT="2023-11-25T16:34:09.87" personId="{1387A8EF-152F-4738-B5AA-9D0022F9187B}" id="{1F2975F5-51B4-4192-BD78-F9C60D4ABE51}">
    <text>Mass from base case because this is the actual amount that was processed. The value you see in Scenario 1 is the flow input (solvent purchased). Likewise, the number you see in base case is how much solvent was purchased each year that aren't recovered. This calculation subjects the base case amount of solvent to solvent recovery.</text>
  </threadedComment>
  <threadedComment ref="A19" dT="2023-11-26T00:01:29.51" personId="{1387A8EF-152F-4738-B5AA-9D0022F9187B}" id="{0E246825-D65A-4A21-82AA-D869DDF06506}">
    <text xml:space="preserve">Solvent recovery can range between 15 - 21 MJ/kg depending on continuous vs batch distillation.
The energy cost can also be as low as 5 - 7 MJ/kg if solid content is below 10% within solvent.
Fullana i Palmer, P., Puig, R., Bala, A., Baquero, G., Riba, J., &amp; Raugei, M. (2011). From Life Cycle Assessment to Life Cycle Management. Journal of Industrial Ecology, 15(3), 458–475. doi:10.1111/j.1530-9290.2011.00338.x </text>
  </threadedComment>
  <threadedComment ref="B23" dT="2023-05-31T18:26:59.87" personId="{64B5C39A-8E79-4FA1-9CCA-EC1EECC13EB2}" id="{A3A0C985-464F-4800-85FE-F1A417B0C973}">
    <text>COM_best case</text>
  </threadedComment>
  <threadedComment ref="D23" dT="2023-05-31T18:26:32.74" personId="{64B5C39A-8E79-4FA1-9CCA-EC1EECC13EB2}" id="{BF92E7D6-6150-43CF-BB74-8DE5A6A98A62}">
    <text>COM_worst case</text>
  </threadedComment>
  <threadedComment ref="F23" dT="2023-05-31T18:26:59.87" personId="{64B5C39A-8E79-4FA1-9CCA-EC1EECC13EB2}" id="{C92F9C1E-F1D8-4861-A529-B7F612D6F9B7}">
    <text>COM_best case</text>
  </threadedComment>
  <threadedComment ref="H23" dT="2023-05-31T18:26:32.74" personId="{64B5C39A-8E79-4FA1-9CCA-EC1EECC13EB2}" id="{235647EF-61D5-45ED-9634-24E581F6EFE7}">
    <text>COM_worst case</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3-05-02T14:55:55.92" personId="{64B5C39A-8E79-4FA1-9CCA-EC1EECC13EB2}" id="{3B37C3E6-6B77-4C6E-B976-20A34351E374}">
    <text>Only enter stream directly sent to the processes throughout the additive manufacturing industry. Transportation are handled separately.</text>
  </threadedComment>
  <threadedComment ref="G1" dT="2023-05-04T15:45:17.95" personId="{1387A8EF-152F-4738-B5AA-9D0022F9187B}" id="{DB0BAE14-E78F-45D4-BE05-E14113FBD38D}">
    <text xml:space="preserve">We must consider the allocation of industrial vs residential vs commercial. What is the allocation?  </text>
  </threadedComment>
  <threadedComment ref="G1" dT="2023-05-04T16:44:57.54" personId="{1387A8EF-152F-4738-B5AA-9D0022F9187B}" id="{3DDB6FAD-7E27-48A9-8E6F-22760E359817}" parentId="{DB0BAE14-E78F-45D4-BE05-E14113FBD38D}">
    <text xml:space="preserve">According to NIST in 2011, Consumer AM products make up 33.6% of the market. We will assume it falls in the "residential electricity category" and the remainder, 10.8%, and 55% commercial use. </text>
  </threadedComment>
  <threadedComment ref="G1" dT="2023-05-04T16:45:36.44" personId="{1387A8EF-152F-4738-B5AA-9D0022F9187B}" id="{2768FCCC-03E9-4448-9D49-213ED0BA1035}" parentId="{DB0BAE14-E78F-45D4-BE05-E14113FBD38D}">
    <text xml:space="preserve">This review was conducted in 2011 and the number has likely changed since then, promoting to uncertainty. </text>
  </threadedComment>
  <threadedComment ref="H1" dT="2023-05-16T18:31:49.72" personId="{64B5C39A-8E79-4FA1-9CCA-EC1EECC13EB2}" id="{E08E02BF-7E92-4FC4-87E3-9EB43D60AA91}">
    <text>The user should specify what fraction of operation requires electrical power vs heating/cooling. These fractions can allow utility costs to be determined.</text>
  </threadedComment>
  <threadedComment ref="G3" dT="2023-06-01T18:28:56.53" personId="{04ECE133-7D09-424C-8B3F-48E4ACA1E6DE}" id="{1A781F67-ADA2-41A5-8580-96C056DC774B}">
    <text>76% industrial, 24% desktop/residential
https://www.globenewswire.com/en/news-release/2023/03/28/2635882/0/en/3D-Printing-Market-Size-to-Worth-Around-USD-98-31-BN-by-2032.html</text>
    <extLst>
      <x:ext xmlns:xltc2="http://schemas.microsoft.com/office/spreadsheetml/2020/threadedcomments2" uri="{F7C98A9C-CBB3-438F-8F68-D28B6AF4A901}">
        <xltc2:checksum>4123590188</xltc2:checksum>
        <xltc2:hyperlink startIndex="41" length="135" url="https://www.globenewswire.com/en/news-release/2023/03/28/2635882/0/en/3D-Printing-Market-Size-to-Worth-Around-USD-98-31-BN-by-2032.html"/>
      </x:ext>
    </extLst>
  </threadedComment>
  <threadedComment ref="G5" dT="2023-05-18T22:18:14.95" personId="{1387A8EF-152F-4738-B5AA-9D0022F9187B}" id="{F2909BD3-336A-4070-A807-9138B6C92D5E}">
    <text>0.25% of this value came from renewable source (Polylactic acid - PLA)</text>
  </threadedComment>
  <threadedComment ref="D7" dT="2023-05-04T16:11:45.96" personId="{1387A8EF-152F-4738-B5AA-9D0022F9187B}" id="{EC2DE477-E7D0-4D3A-9CFA-5E775BA76462}">
    <text>Beyond the scope of our study. There are far too many uncertainty regarding how the material is used after printing.</text>
  </threadedComment>
  <threadedComment ref="H11" dT="2023-05-16T19:57:27.05" personId="{64B5C39A-8E79-4FA1-9CCA-EC1EECC13EB2}" id="{61B2ED19-A944-422B-81A7-8BEA2190CA7B}">
    <text>Purchased electricity</text>
  </threadedComment>
  <threadedComment ref="C12" dT="2023-05-02T19:18:03.66" personId="{64B5C39A-8E79-4FA1-9CCA-EC1EECC13EB2}" id="{8047B434-6982-411E-BFD7-AE2E99DD9E46}">
    <text>Plastics make up 20.9% of the additive manufacturing End-of-Life materials after normalizing from the municipal solid waste "recycled" from 2018. Metal = 58.6% and Glass = 20.5%</text>
  </threadedComment>
  <threadedComment ref="C59" dT="2023-05-18T21:29:22.50" personId="{1387A8EF-152F-4738-B5AA-9D0022F9187B}" id="{A302635E-B79A-4C63-80A6-1EBF863BB1DA}">
    <text>High uncertainty because there is no specific correlation that relates landfill gas generation to the amount of AM EoL material feed into landfill</text>
  </threadedComment>
  <threadedComment ref="P101" dT="2023-05-02T18:13:31.05" personId="{64B5C39A-8E79-4FA1-9CCA-EC1EECC13EB2}" id="{2FAD1AF0-A432-4401-B016-668AE08134BC}">
    <text>It is possible to backcalculate for mass, based on Hopkins et al 2021 data. 2.2 kJ/kg was approximated to be the energy required for curing. This specific energy can help us calculate the mass throughput
Hopkins, N., Jiang, L., Brooks, H., 2021. 
Energy consumption of common desktop additive manufacturing technologies. Cleaner Engineering and Technology 2, 100068. https://doi.org/10.1016/j.clet.2021.100068</text>
  </threadedComment>
  <threadedComment ref="P101" dT="2023-05-02T18:15:19.23" personId="{64B5C39A-8E79-4FA1-9CCA-EC1EECC13EB2}" id="{9D46D6B3-59C5-4414-980E-2A7F4B66D0B0}" parentId="{2FAD1AF0-A432-4401-B016-668AE08134BC}">
    <text>It is still important to note, however, that the mass throughput greatly varies between processes. We can expect uncertainties with these calculated values.</text>
  </threadedComment>
  <threadedComment ref="D195" dT="2023-05-01T16:45:53.29" personId="{1387A8EF-152F-4738-B5AA-9D0022F9187B}" id="{D37E7B3D-0628-4D03-B4C5-6C07C04F4BEF}">
    <text>Based on 960 tons/day flow rate.
Source: Haukohl, J., Rand, T., Marxen of Rambøll, U., 1999. Municipal Solid Waste Incineration, World Bank Technical Guidance Report. The World Bank, Washington D.C.</text>
  </threadedComment>
  <threadedComment ref="E195" dT="2023-05-01T18:11:13.97" personId="{1387A8EF-152F-4738-B5AA-9D0022F9187B}" id="{62928834-7821-4785-A6B4-A5F7D13557B4}">
    <text>87.7% bottom ash, 12.3% air pollution control residue (fly ash).</text>
  </threadedComment>
  <threadedComment ref="K195" dT="2023-05-02T17:53:26.80" personId="{64B5C39A-8E79-4FA1-9CCA-EC1EECC13EB2}" id="{BDAD1BB0-1219-4A88-B0A1-980A3A41D86F}">
    <text>$9.4 million cost (annual) reported for operation. It is possible to back calculate for the actual energy used based on the cost of electricity at the time ($35/MWh). The incineration plant ran for 7500 hrs in a year. 
Haukohl, J., Rand, T., Marxen of Rambøll, U., 1999. Municipal Solid Waste Incineration, World Bank Technical Guidance Report. The World Bank, Washington D.C.</text>
  </threadedComment>
  <threadedComment ref="M195" dT="2023-05-01T18:21:20.93" personId="{1387A8EF-152F-4738-B5AA-9D0022F9187B}" id="{B49E97A0-DE4D-43CC-9B59-DF65A1493490}">
    <text xml:space="preserve">Scaled from 1999 data of 22.4 million USD. This cost includes administration, salaries, electricity, utility, disposal of residue, disposal of bottom ash, and maintenance.
Note (1999 data)
Disposal of residue = $100/metric ton
Disp/re-use of bottom ash: $5/metric ton </text>
  </threadedComment>
  <threadedComment ref="M195" dT="2023-05-02T17:55:46.17" personId="{64B5C39A-8E79-4FA1-9CCA-EC1EECC13EB2}" id="{10834492-5654-4629-ABF8-C7D10D5C204E}" parentId="{B49E97A0-DE4D-43CC-9B59-DF65A1493490}">
    <text>$9.4 million is from energy</text>
  </threadedComment>
  <threadedComment ref="E199" dT="2023-05-01T16:17:36.69" personId="{1387A8EF-152F-4738-B5AA-9D0022F9187B}" id="{BE190349-460C-48BC-ADC3-82A152ED9DA5}">
    <text>Steam</text>
  </threadedComment>
  <threadedComment ref="E199" dT="2023-05-01T16:21:04.65" personId="{1387A8EF-152F-4738-B5AA-9D0022F9187B}" id="{7DAB2723-10DF-44CE-91E7-0C279135F9F0}" parentId="{BE190349-460C-48BC-ADC3-82A152ED9DA5}">
    <text>15000 lbs/hr</text>
  </threadedComment>
  <threadedComment ref="N199" dT="2023-05-01T16:29:04.78" personId="{1387A8EF-152F-4738-B5AA-9D0022F9187B}" id="{42BC632E-E8FB-4CB8-8993-11883ABECDE5}">
    <text>Steam generated</text>
  </threadedComment>
  <threadedComment ref="D203" dT="2023-05-02T16:50:06.78" personId="{64B5C39A-8E79-4FA1-9CCA-EC1EECC13EB2}" id="{D81D230D-C5F8-41FC-BB5E-65E520F7A766}">
    <text>EPA 2018 - 292 million tons of MSW were generated with 146.1 million tons (132,540,000,000 kg/yr) landfilled with a minimum of 2635 landfills. 
Assuming 365 days (8760 hrs) of operation/yr, then the hourly rate of feed to landfills include 
https://www.epa.gov/lmop/project-and-landfill-data-state#:~:text=The%20LMOP%20Landfill%20and%20Landfill,more%20than%202%2C600%20MSW%20landfills.</text>
  </threadedComment>
  <threadedComment ref="D203" dT="2023-05-02T17:44:55.77" personId="{64B5C39A-8E79-4FA1-9CCA-EC1EECC13EB2}" id="{2349EA32-76DC-4E6B-8122-84A44D7308DF}" parentId="{D81D230D-C5F8-41FC-BB5E-65E520F7A766}">
    <text>In the US, the incineration facility can range between &gt;0 - 3000 tons/day. The majority of the sites, however, fall between &gt;0 - 2000 tons/day. 
Table 2-1
https://kingcounty.gov/~/media/Lambert/documents/waste-to-energy-options-considerations.ashx?la=en</text>
  </threadedComment>
  <threadedComment ref="H203" dT="2023-05-01T20:20:46.32" personId="{1387A8EF-152F-4738-B5AA-9D0022F9187B}" id="{CAF839AA-BC94-4B49-81F9-DC17E336FDDE}">
    <text>15 billion kWh of electricity with 100 billion cubic feet of landfill gas for use annually. Specific gravity of landfill gas is 1.02 - 1.06 (selected 1.04). Density of air is 1.293 kg/m^3. Thus, density of landfill gas is 1.345 kg/m^3 or 0.038 kg/ft^3. There is 3.6 MJ/kWh.</text>
  </threadedComment>
  <threadedComment ref="H203" dT="2023-05-01T20:47:09.24" personId="{1387A8EF-152F-4738-B5AA-9D0022F9187B}" id="{E4973FFA-808F-4CCC-AFB3-60E4D6F09C55}" parentId="{CAF839AA-BC94-4B49-81F9-DC17E336FDDE}">
    <text xml:space="preserve">Pierson, R., 2013. Fact Sheet - Landfill Metahne.
</text>
  </threadedComment>
</ThreadedComments>
</file>

<file path=xl/threadedComments/threadedComment6.xml><?xml version="1.0" encoding="utf-8"?>
<ThreadedComments xmlns="http://schemas.microsoft.com/office/spreadsheetml/2018/threadedcomments" xmlns:x="http://schemas.openxmlformats.org/spreadsheetml/2006/main">
  <threadedComment ref="B1" dT="2023-05-02T14:55:55.92" personId="{64B5C39A-8E79-4FA1-9CCA-EC1EECC13EB2}" id="{DFEAFDE3-11B5-4263-A608-938BD988D62C}">
    <text>Only enter stream directly sent to the processes throughout the additive manufacturing industry. Transportation are handled separately.</text>
  </threadedComment>
  <threadedComment ref="G1" dT="2023-05-04T15:45:17.95" personId="{1387A8EF-152F-4738-B5AA-9D0022F9187B}" id="{06AD7D9F-E564-481D-A25E-6981A9A2A7EB}">
    <text xml:space="preserve">We must consider the allocation of industrial vs residential vs commercial. What is the allocation?  </text>
  </threadedComment>
  <threadedComment ref="G1" dT="2023-05-04T16:44:57.54" personId="{1387A8EF-152F-4738-B5AA-9D0022F9187B}" id="{F3233C07-9848-4C60-B9B3-DD88D4239C1E}" parentId="{06AD7D9F-E564-481D-A25E-6981A9A2A7EB}">
    <text xml:space="preserve">According to NIST in 2011, Consumer AM products make up 33.6% of the market. We will assume it falls in the "residential electricity category" and the remainder, 10.8%, and 55% commercial use. </text>
  </threadedComment>
  <threadedComment ref="G1" dT="2023-05-04T16:45:36.44" personId="{1387A8EF-152F-4738-B5AA-9D0022F9187B}" id="{CF8C4602-543D-4F2C-9FB9-64296EED0DFC}" parentId="{06AD7D9F-E564-481D-A25E-6981A9A2A7EB}">
    <text xml:space="preserve">This review was conducted in 2011 and the number has likely changed since then, promoting to uncertainty. </text>
  </threadedComment>
  <threadedComment ref="H1" dT="2023-05-16T18:31:49.72" personId="{64B5C39A-8E79-4FA1-9CCA-EC1EECC13EB2}" id="{BF858C54-CDB8-4A2B-9F11-F94FBA379418}">
    <text>The user should specify what fraction of operation requires electrical power vs heating/cooling. These fractions can allow utility costs to be determined.</text>
  </threadedComment>
  <threadedComment ref="G3" dT="2023-06-01T18:28:56.53" personId="{04ECE133-7D09-424C-8B3F-48E4ACA1E6DE}" id="{5B5FE7A1-52C7-49BB-8A45-2A522F618399}">
    <text>76% industrial, 24% desktop/residential
https://www.globenewswire.com/en/news-release/2023/03/28/2635882/0/en/3D-Printing-Market-Size-to-Worth-Around-USD-98-31-BN-by-2032.html</text>
    <extLst>
      <x:ext xmlns:xltc2="http://schemas.microsoft.com/office/spreadsheetml/2020/threadedcomments2" uri="{F7C98A9C-CBB3-438F-8F68-D28B6AF4A901}">
        <xltc2:checksum>4123590188</xltc2:checksum>
        <xltc2:hyperlink startIndex="41" length="135" url="https://www.globenewswire.com/en/news-release/2023/03/28/2635882/0/en/3D-Printing-Market-Size-to-Worth-Around-USD-98-31-BN-by-2032.html"/>
      </x:ext>
    </extLst>
  </threadedComment>
  <threadedComment ref="G5" dT="2023-05-18T22:18:14.95" personId="{1387A8EF-152F-4738-B5AA-9D0022F9187B}" id="{BECAFF9C-ACB0-4E43-B33E-06186B324BF2}">
    <text>0.25% of this value came from renewable source (Polylactic acid - PLA)</text>
  </threadedComment>
  <threadedComment ref="D7" dT="2023-05-04T16:11:45.96" personId="{1387A8EF-152F-4738-B5AA-9D0022F9187B}" id="{BA1CD3FA-5FA5-4528-A1A0-C3817411ED36}">
    <text>Beyond the scope of our study. There are far too many uncertainty regarding how the material is used after printing.</text>
  </threadedComment>
  <threadedComment ref="H11" dT="2023-05-16T19:57:27.05" personId="{64B5C39A-8E79-4FA1-9CCA-EC1EECC13EB2}" id="{8E3479AA-05FB-4FC3-8A97-3F9DE303CEDB}">
    <text>Purchased electricity</text>
  </threadedComment>
  <threadedComment ref="C12" dT="2023-05-02T19:18:03.66" personId="{64B5C39A-8E79-4FA1-9CCA-EC1EECC13EB2}" id="{1A3B3819-FDBA-4497-98D5-DAF861BE3477}">
    <text>Plastics make up 20.9% of the additive manufacturing End-of-Life materials after normalizing from the municipal solid waste "recycled" from 2018. Metal = 58.6% and Glass = 20.5%</text>
  </threadedComment>
  <threadedComment ref="C60" dT="2023-05-18T21:29:22.50" personId="{1387A8EF-152F-4738-B5AA-9D0022F9187B}" id="{75B0A408-D3A7-4ED0-9F6B-2555B56678EF}">
    <text>High uncertainty because there is no specific correlation that relates landfill gas generation to the amount of AM EoL material feed into landfill</text>
  </threadedComment>
  <threadedComment ref="P102" dT="2023-05-02T18:13:31.05" personId="{64B5C39A-8E79-4FA1-9CCA-EC1EECC13EB2}" id="{037F962A-FC28-4B44-90D7-255D0B1D9733}">
    <text>It is possible to backcalculate for mass, based on Hopkins et al 2021 data. 2.2 kJ/kg was approximated to be the energy required for curing. This specific energy can help us calculate the mass throughput
Hopkins, N., Jiang, L., Brooks, H., 2021. 
Energy consumption of common desktop additive manufacturing technologies. Cleaner Engineering and Technology 2, 100068. https://doi.org/10.1016/j.clet.2021.100068</text>
  </threadedComment>
  <threadedComment ref="P102" dT="2023-05-02T18:15:19.23" personId="{64B5C39A-8E79-4FA1-9CCA-EC1EECC13EB2}" id="{FB684B33-6B6C-422F-A3E8-06AF8F4A86F4}" parentId="{037F962A-FC28-4B44-90D7-255D0B1D9733}">
    <text>It is still important to note, however, that the mass throughput greatly varies between processes. We can expect uncertainties with these calculated values.</text>
  </threadedComment>
  <threadedComment ref="D196" dT="2023-05-01T16:45:53.29" personId="{1387A8EF-152F-4738-B5AA-9D0022F9187B}" id="{AAD43836-02ED-441A-B173-37DCAEB6ECC8}">
    <text>Based on 960 tons/day flow rate.
Source: Haukohl, J., Rand, T., Marxen of Rambøll, U., 1999. Municipal Solid Waste Incineration, World Bank Technical Guidance Report. The World Bank, Washington D.C.</text>
  </threadedComment>
  <threadedComment ref="E196" dT="2023-05-01T18:11:13.97" personId="{1387A8EF-152F-4738-B5AA-9D0022F9187B}" id="{A1A84BE6-7059-4405-AEEF-3CD1A09C74EA}">
    <text>87.7% bottom ash, 12.3% air pollution control residue (fly ash).</text>
  </threadedComment>
  <threadedComment ref="K196" dT="2023-05-02T17:53:26.80" personId="{64B5C39A-8E79-4FA1-9CCA-EC1EECC13EB2}" id="{E7DC111B-8FFA-4A13-A909-B24E91B5CAD8}">
    <text>$9.4 million cost (annual) reported for operation. It is possible to back calculate for the actual energy used based on the cost of electricity at the time ($35/MWh). The incineration plant ran for 7500 hrs in a year. 
Haukohl, J., Rand, T., Marxen of Rambøll, U., 1999. Municipal Solid Waste Incineration, World Bank Technical Guidance Report. The World Bank, Washington D.C.</text>
  </threadedComment>
  <threadedComment ref="M196" dT="2023-05-01T18:21:20.93" personId="{1387A8EF-152F-4738-B5AA-9D0022F9187B}" id="{54A2E950-C91C-41FD-8C3C-BA0B2C10C700}">
    <text xml:space="preserve">Scaled from 1999 data of 22.4 million USD. This cost includes administration, salaries, electricity, utility, disposal of residue, disposal of bottom ash, and maintenance.
Note (1999 data)
Disposal of residue = $100/metric ton
Disp/re-use of bottom ash: $5/metric ton </text>
  </threadedComment>
  <threadedComment ref="M196" dT="2023-05-02T17:55:46.17" personId="{64B5C39A-8E79-4FA1-9CCA-EC1EECC13EB2}" id="{35D823B3-13EC-45C9-B9C8-7B704EEDB1B9}" parentId="{54A2E950-C91C-41FD-8C3C-BA0B2C10C700}">
    <text>$9.4 million is from energy</text>
  </threadedComment>
  <threadedComment ref="E200" dT="2023-05-01T16:17:36.69" personId="{1387A8EF-152F-4738-B5AA-9D0022F9187B}" id="{EBE236F3-785D-4D5D-99AC-A06F697CB81B}">
    <text>Steam</text>
  </threadedComment>
  <threadedComment ref="E200" dT="2023-05-01T16:21:04.65" personId="{1387A8EF-152F-4738-B5AA-9D0022F9187B}" id="{962CFC8E-65EA-4E4F-B80C-2FDDA28579F1}" parentId="{EBE236F3-785D-4D5D-99AC-A06F697CB81B}">
    <text>15000 lbs/hr</text>
  </threadedComment>
  <threadedComment ref="N200" dT="2023-05-01T16:29:04.78" personId="{1387A8EF-152F-4738-B5AA-9D0022F9187B}" id="{142DEB0F-C0E4-4240-B4EB-E5411BFEA27D}">
    <text>Steam generated</text>
  </threadedComment>
  <threadedComment ref="D204" dT="2023-05-02T16:50:06.78" personId="{64B5C39A-8E79-4FA1-9CCA-EC1EECC13EB2}" id="{FF4F81C6-EF88-44A0-AB17-BF6CB5BDC4ED}">
    <text>EPA 2018 - 292 million tons of MSW were generated with 146.1 million tons (132,540,000,000 kg/yr) landfilled with a minimum of 2635 landfills. 
Assuming 365 days (8760 hrs) of operation/yr, then the hourly rate of feed to landfills include 
https://www.epa.gov/lmop/project-and-landfill-data-state#:~:text=The%20LMOP%20Landfill%20and%20Landfill,more%20than%202%2C600%20MSW%20landfills.</text>
  </threadedComment>
  <threadedComment ref="D204" dT="2023-05-02T17:44:55.77" personId="{64B5C39A-8E79-4FA1-9CCA-EC1EECC13EB2}" id="{5561A075-E4AD-45AB-8B1D-79EEDDC5FB27}" parentId="{FF4F81C6-EF88-44A0-AB17-BF6CB5BDC4ED}">
    <text>In the US, the incineration facility can range between &gt;0 - 3000 tons/day. The majority of the sites, however, fall between &gt;0 - 2000 tons/day. 
Table 2-1
https://kingcounty.gov/~/media/Lambert/documents/waste-to-energy-options-considerations.ashx?la=en</text>
  </threadedComment>
  <threadedComment ref="H204" dT="2023-05-01T20:20:46.32" personId="{1387A8EF-152F-4738-B5AA-9D0022F9187B}" id="{1D96993E-0CD0-4078-A1A1-2B624C5C61AF}">
    <text>15 billion kWh of electricity with 100 billion cubic feet of landfill gas for use annually. Specific gravity of landfill gas is 1.02 - 1.06 (selected 1.04). Density of air is 1.293 kg/m^3. Thus, density of landfill gas is 1.345 kg/m^3 or 0.038 kg/ft^3. There is 3.6 MJ/kWh.</text>
  </threadedComment>
  <threadedComment ref="H204" dT="2023-05-01T20:47:09.24" personId="{1387A8EF-152F-4738-B5AA-9D0022F9187B}" id="{F892EEBC-AFC9-4095-8747-26CDBF5D5C60}" parentId="{1D96993E-0CD0-4078-A1A1-2B624C5C61AF}">
    <text xml:space="preserve">Pierson, R., 2013. Fact Sheet - Landfill Metahne.
</text>
  </threadedComment>
</ThreadedComments>
</file>

<file path=xl/threadedComments/threadedComment7.xml><?xml version="1.0" encoding="utf-8"?>
<ThreadedComments xmlns="http://schemas.microsoft.com/office/spreadsheetml/2018/threadedcomments" xmlns:x="http://schemas.openxmlformats.org/spreadsheetml/2006/main">
  <threadedComment ref="D1" dT="2023-05-04T14:47:31.14" personId="{1387A8EF-152F-4738-B5AA-9D0022F9187B}" id="{A297B1FC-C7FB-466A-963B-B9039AAB1F5D}">
    <text>Energy analysis suggested that the specific energy for transportation for diesel and CNG trucks for refuse collection ranges between 828 - 1044 kJ/kg (0.828 - 1.044 MJ/kg)</text>
  </threadedComment>
</ThreadedComments>
</file>

<file path=xl/threadedComments/threadedComment8.xml><?xml version="1.0" encoding="utf-8"?>
<ThreadedComments xmlns="http://schemas.microsoft.com/office/spreadsheetml/2018/threadedcomments" xmlns:x="http://schemas.openxmlformats.org/spreadsheetml/2006/main">
  <threadedComment ref="D1" dT="2023-05-04T14:47:31.14" personId="{1387A8EF-152F-4738-B5AA-9D0022F9187B}" id="{32CB0F00-6506-4267-B355-C7729ACC3346}">
    <text>Energy analysis suggested that the specific energy for transportation for diesel and CNG trucks for refuse collection ranges between 828 - 1044 kJ/kg (0.828 - 1.044 MJ/kg)</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doi.org/10.1108/EC-03-2019-0106" TargetMode="External"/><Relationship Id="rId7" Type="http://schemas.openxmlformats.org/officeDocument/2006/relationships/drawing" Target="../drawings/drawing1.xml"/><Relationship Id="rId2" Type="http://schemas.openxmlformats.org/officeDocument/2006/relationships/hyperlink" Target="https://doi.org/10.1016/S1359-835X(98)00088-8" TargetMode="External"/><Relationship Id="rId1" Type="http://schemas.openxmlformats.org/officeDocument/2006/relationships/hyperlink" Target="https://doi.org/10.1016/j.compositesb.2021.109249" TargetMode="External"/><Relationship Id="rId6" Type="http://schemas.openxmlformats.org/officeDocument/2006/relationships/hyperlink" Target="https://doi.org/10.1016/j.procir.2016.11.153" TargetMode="External"/><Relationship Id="rId5" Type="http://schemas.openxmlformats.org/officeDocument/2006/relationships/hyperlink" Target="https://doi.org/10.1016/S0924-0136(03)00690-3" TargetMode="External"/><Relationship Id="rId4" Type="http://schemas.openxmlformats.org/officeDocument/2006/relationships/hyperlink" Target="https://doi.org/10.2351/1.5040603"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6" Type="http://schemas.openxmlformats.org/officeDocument/2006/relationships/image" Target="../media/image15.emf"/><Relationship Id="rId21" Type="http://schemas.openxmlformats.org/officeDocument/2006/relationships/oleObject" Target="../embeddings/oleObject10.bin"/><Relationship Id="rId42" Type="http://schemas.openxmlformats.org/officeDocument/2006/relationships/image" Target="../media/image23.wmf"/><Relationship Id="rId47" Type="http://schemas.openxmlformats.org/officeDocument/2006/relationships/oleObject" Target="../embeddings/oleObject23.bin"/><Relationship Id="rId63" Type="http://schemas.openxmlformats.org/officeDocument/2006/relationships/oleObject" Target="../embeddings/oleObject31.bin"/><Relationship Id="rId68" Type="http://schemas.openxmlformats.org/officeDocument/2006/relationships/image" Target="../media/image36.emf"/><Relationship Id="rId84" Type="http://schemas.openxmlformats.org/officeDocument/2006/relationships/oleObject" Target="../embeddings/oleObject42.bin"/><Relationship Id="rId89" Type="http://schemas.openxmlformats.org/officeDocument/2006/relationships/image" Target="../media/image46.wmf"/><Relationship Id="rId16" Type="http://schemas.openxmlformats.org/officeDocument/2006/relationships/oleObject" Target="../embeddings/oleObject7.bin"/><Relationship Id="rId11" Type="http://schemas.openxmlformats.org/officeDocument/2006/relationships/image" Target="../media/image8.emf"/><Relationship Id="rId32" Type="http://schemas.openxmlformats.org/officeDocument/2006/relationships/image" Target="../media/image18.emf"/><Relationship Id="rId37" Type="http://schemas.openxmlformats.org/officeDocument/2006/relationships/oleObject" Target="../embeddings/oleObject18.bin"/><Relationship Id="rId53" Type="http://schemas.openxmlformats.org/officeDocument/2006/relationships/oleObject" Target="../embeddings/oleObject26.bin"/><Relationship Id="rId58" Type="http://schemas.openxmlformats.org/officeDocument/2006/relationships/image" Target="../media/image31.emf"/><Relationship Id="rId74" Type="http://schemas.openxmlformats.org/officeDocument/2006/relationships/image" Target="../media/image39.wmf"/><Relationship Id="rId79" Type="http://schemas.openxmlformats.org/officeDocument/2006/relationships/oleObject" Target="../embeddings/oleObject39.bin"/><Relationship Id="rId5" Type="http://schemas.openxmlformats.org/officeDocument/2006/relationships/image" Target="../media/image5.emf"/><Relationship Id="rId90" Type="http://schemas.openxmlformats.org/officeDocument/2006/relationships/comments" Target="../comments9.xml"/><Relationship Id="rId14" Type="http://schemas.openxmlformats.org/officeDocument/2006/relationships/oleObject" Target="../embeddings/oleObject6.bin"/><Relationship Id="rId22" Type="http://schemas.openxmlformats.org/officeDocument/2006/relationships/image" Target="../media/image13.emf"/><Relationship Id="rId27" Type="http://schemas.openxmlformats.org/officeDocument/2006/relationships/oleObject" Target="../embeddings/oleObject13.bin"/><Relationship Id="rId30" Type="http://schemas.openxmlformats.org/officeDocument/2006/relationships/image" Target="../media/image17.emf"/><Relationship Id="rId35" Type="http://schemas.openxmlformats.org/officeDocument/2006/relationships/oleObject" Target="../embeddings/oleObject17.bin"/><Relationship Id="rId43" Type="http://schemas.openxmlformats.org/officeDocument/2006/relationships/oleObject" Target="../embeddings/oleObject21.bin"/><Relationship Id="rId48" Type="http://schemas.openxmlformats.org/officeDocument/2006/relationships/image" Target="../media/image26.emf"/><Relationship Id="rId56" Type="http://schemas.openxmlformats.org/officeDocument/2006/relationships/image" Target="../media/image30.emf"/><Relationship Id="rId64" Type="http://schemas.openxmlformats.org/officeDocument/2006/relationships/image" Target="../media/image34.emf"/><Relationship Id="rId69" Type="http://schemas.openxmlformats.org/officeDocument/2006/relationships/oleObject" Target="../embeddings/oleObject34.bin"/><Relationship Id="rId77" Type="http://schemas.openxmlformats.org/officeDocument/2006/relationships/oleObject" Target="../embeddings/oleObject38.bin"/><Relationship Id="rId8" Type="http://schemas.openxmlformats.org/officeDocument/2006/relationships/oleObject" Target="../embeddings/oleObject3.bin"/><Relationship Id="rId51" Type="http://schemas.openxmlformats.org/officeDocument/2006/relationships/oleObject" Target="../embeddings/oleObject25.bin"/><Relationship Id="rId72" Type="http://schemas.openxmlformats.org/officeDocument/2006/relationships/image" Target="../media/image38.wmf"/><Relationship Id="rId80" Type="http://schemas.openxmlformats.org/officeDocument/2006/relationships/oleObject" Target="../embeddings/oleObject40.bin"/><Relationship Id="rId85" Type="http://schemas.openxmlformats.org/officeDocument/2006/relationships/image" Target="../media/image44.wmf"/><Relationship Id="rId3" Type="http://schemas.openxmlformats.org/officeDocument/2006/relationships/vmlDrawing" Target="../drawings/vmlDrawing9.vml"/><Relationship Id="rId12" Type="http://schemas.openxmlformats.org/officeDocument/2006/relationships/oleObject" Target="../embeddings/oleObject5.bin"/><Relationship Id="rId17" Type="http://schemas.openxmlformats.org/officeDocument/2006/relationships/image" Target="../media/image11.wmf"/><Relationship Id="rId25" Type="http://schemas.openxmlformats.org/officeDocument/2006/relationships/oleObject" Target="../embeddings/oleObject12.bin"/><Relationship Id="rId33" Type="http://schemas.openxmlformats.org/officeDocument/2006/relationships/oleObject" Target="../embeddings/oleObject16.bin"/><Relationship Id="rId38" Type="http://schemas.openxmlformats.org/officeDocument/2006/relationships/image" Target="../media/image21.emf"/><Relationship Id="rId46" Type="http://schemas.openxmlformats.org/officeDocument/2006/relationships/image" Target="../media/image25.wmf"/><Relationship Id="rId59" Type="http://schemas.openxmlformats.org/officeDocument/2006/relationships/oleObject" Target="../embeddings/oleObject29.bin"/><Relationship Id="rId67" Type="http://schemas.openxmlformats.org/officeDocument/2006/relationships/oleObject" Target="../embeddings/oleObject33.bin"/><Relationship Id="rId20" Type="http://schemas.openxmlformats.org/officeDocument/2006/relationships/oleObject" Target="../embeddings/oleObject9.bin"/><Relationship Id="rId41" Type="http://schemas.openxmlformats.org/officeDocument/2006/relationships/oleObject" Target="../embeddings/oleObject20.bin"/><Relationship Id="rId54" Type="http://schemas.openxmlformats.org/officeDocument/2006/relationships/image" Target="../media/image29.emf"/><Relationship Id="rId62" Type="http://schemas.openxmlformats.org/officeDocument/2006/relationships/image" Target="../media/image33.emf"/><Relationship Id="rId70" Type="http://schemas.openxmlformats.org/officeDocument/2006/relationships/image" Target="../media/image37.emf"/><Relationship Id="rId75" Type="http://schemas.openxmlformats.org/officeDocument/2006/relationships/oleObject" Target="../embeddings/oleObject37.bin"/><Relationship Id="rId83" Type="http://schemas.openxmlformats.org/officeDocument/2006/relationships/image" Target="../media/image43.emf"/><Relationship Id="rId88" Type="http://schemas.openxmlformats.org/officeDocument/2006/relationships/oleObject" Target="../embeddings/oleObject44.bin"/><Relationship Id="rId1" Type="http://schemas.openxmlformats.org/officeDocument/2006/relationships/printerSettings" Target="../printerSettings/printerSettings9.bin"/><Relationship Id="rId6" Type="http://schemas.openxmlformats.org/officeDocument/2006/relationships/oleObject" Target="../embeddings/oleObject2.bin"/><Relationship Id="rId15" Type="http://schemas.openxmlformats.org/officeDocument/2006/relationships/image" Target="../media/image10.wmf"/><Relationship Id="rId23" Type="http://schemas.openxmlformats.org/officeDocument/2006/relationships/oleObject" Target="../embeddings/oleObject11.bin"/><Relationship Id="rId28" Type="http://schemas.openxmlformats.org/officeDocument/2006/relationships/image" Target="../media/image16.emf"/><Relationship Id="rId36" Type="http://schemas.openxmlformats.org/officeDocument/2006/relationships/image" Target="../media/image20.emf"/><Relationship Id="rId49" Type="http://schemas.openxmlformats.org/officeDocument/2006/relationships/oleObject" Target="../embeddings/oleObject24.bin"/><Relationship Id="rId57" Type="http://schemas.openxmlformats.org/officeDocument/2006/relationships/oleObject" Target="../embeddings/oleObject28.bin"/><Relationship Id="rId10" Type="http://schemas.openxmlformats.org/officeDocument/2006/relationships/oleObject" Target="../embeddings/oleObject4.bin"/><Relationship Id="rId31" Type="http://schemas.openxmlformats.org/officeDocument/2006/relationships/oleObject" Target="../embeddings/oleObject15.bin"/><Relationship Id="rId44" Type="http://schemas.openxmlformats.org/officeDocument/2006/relationships/image" Target="../media/image24.emf"/><Relationship Id="rId52" Type="http://schemas.openxmlformats.org/officeDocument/2006/relationships/image" Target="../media/image28.emf"/><Relationship Id="rId60" Type="http://schemas.openxmlformats.org/officeDocument/2006/relationships/image" Target="../media/image32.emf"/><Relationship Id="rId65" Type="http://schemas.openxmlformats.org/officeDocument/2006/relationships/oleObject" Target="../embeddings/oleObject32.bin"/><Relationship Id="rId73" Type="http://schemas.openxmlformats.org/officeDocument/2006/relationships/oleObject" Target="../embeddings/oleObject36.bin"/><Relationship Id="rId78" Type="http://schemas.openxmlformats.org/officeDocument/2006/relationships/image" Target="../media/image41.wmf"/><Relationship Id="rId81" Type="http://schemas.openxmlformats.org/officeDocument/2006/relationships/image" Target="../media/image42.wmf"/><Relationship Id="rId86" Type="http://schemas.openxmlformats.org/officeDocument/2006/relationships/oleObject" Target="../embeddings/oleObject43.bin"/><Relationship Id="rId4" Type="http://schemas.openxmlformats.org/officeDocument/2006/relationships/oleObject" Target="../embeddings/oleObject1.bin"/><Relationship Id="rId9" Type="http://schemas.openxmlformats.org/officeDocument/2006/relationships/image" Target="../media/image7.emf"/><Relationship Id="rId13" Type="http://schemas.openxmlformats.org/officeDocument/2006/relationships/image" Target="../media/image9.emf"/><Relationship Id="rId18" Type="http://schemas.openxmlformats.org/officeDocument/2006/relationships/oleObject" Target="../embeddings/oleObject8.bin"/><Relationship Id="rId39" Type="http://schemas.openxmlformats.org/officeDocument/2006/relationships/oleObject" Target="../embeddings/oleObject19.bin"/><Relationship Id="rId34" Type="http://schemas.openxmlformats.org/officeDocument/2006/relationships/image" Target="../media/image19.emf"/><Relationship Id="rId50" Type="http://schemas.openxmlformats.org/officeDocument/2006/relationships/image" Target="../media/image27.emf"/><Relationship Id="rId55" Type="http://schemas.openxmlformats.org/officeDocument/2006/relationships/oleObject" Target="../embeddings/oleObject27.bin"/><Relationship Id="rId76" Type="http://schemas.openxmlformats.org/officeDocument/2006/relationships/image" Target="../media/image40.wmf"/><Relationship Id="rId7" Type="http://schemas.openxmlformats.org/officeDocument/2006/relationships/image" Target="../media/image6.emf"/><Relationship Id="rId71" Type="http://schemas.openxmlformats.org/officeDocument/2006/relationships/oleObject" Target="../embeddings/oleObject35.bin"/><Relationship Id="rId2" Type="http://schemas.openxmlformats.org/officeDocument/2006/relationships/drawing" Target="../drawings/drawing9.xml"/><Relationship Id="rId29" Type="http://schemas.openxmlformats.org/officeDocument/2006/relationships/oleObject" Target="../embeddings/oleObject14.bin"/><Relationship Id="rId24" Type="http://schemas.openxmlformats.org/officeDocument/2006/relationships/image" Target="../media/image14.emf"/><Relationship Id="rId40" Type="http://schemas.openxmlformats.org/officeDocument/2006/relationships/image" Target="../media/image22.emf"/><Relationship Id="rId45" Type="http://schemas.openxmlformats.org/officeDocument/2006/relationships/oleObject" Target="../embeddings/oleObject22.bin"/><Relationship Id="rId66" Type="http://schemas.openxmlformats.org/officeDocument/2006/relationships/image" Target="../media/image35.emf"/><Relationship Id="rId87" Type="http://schemas.openxmlformats.org/officeDocument/2006/relationships/image" Target="../media/image45.wmf"/><Relationship Id="rId61" Type="http://schemas.openxmlformats.org/officeDocument/2006/relationships/oleObject" Target="../embeddings/oleObject30.bin"/><Relationship Id="rId82" Type="http://schemas.openxmlformats.org/officeDocument/2006/relationships/oleObject" Target="../embeddings/oleObject41.bin"/><Relationship Id="rId19" Type="http://schemas.openxmlformats.org/officeDocument/2006/relationships/image" Target="../media/image12.emf"/></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nvol.com/api/" TargetMode="External"/><Relationship Id="rId1" Type="http://schemas.openxmlformats.org/officeDocument/2006/relationships/hyperlink" Target="http://www.senvol.com/material-search/" TargetMode="External"/><Relationship Id="rId4"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nist.gov/el/applied-economics-office/manufacturing/topics-manufacturing/additive-manufacturing"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lboro.ac.uk/research/amrg/about/the7categoriesofadditivemanufacturin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doi.org/10.1016/j.scitotenv.2020.139604" TargetMode="External"/><Relationship Id="rId7" Type="http://schemas.openxmlformats.org/officeDocument/2006/relationships/vmlDrawing" Target="../drawings/vmlDrawing1.vml"/><Relationship Id="rId2" Type="http://schemas.openxmlformats.org/officeDocument/2006/relationships/hyperlink" Target="https://plastic-pollution.org/" TargetMode="External"/><Relationship Id="rId1" Type="http://schemas.openxmlformats.org/officeDocument/2006/relationships/hyperlink" Target="https://www.nap.edu/read/9190/chapter/6" TargetMode="External"/><Relationship Id="rId6" Type="http://schemas.openxmlformats.org/officeDocument/2006/relationships/drawing" Target="../drawings/drawing3.xml"/><Relationship Id="rId5" Type="http://schemas.openxmlformats.org/officeDocument/2006/relationships/printerSettings" Target="../printerSettings/printerSettings1.bin"/><Relationship Id="rId4" Type="http://schemas.openxmlformats.org/officeDocument/2006/relationships/hyperlink" Target="https://doi.org/10.1016/j.scitotenv.2020.139604" TargetMode="External"/><Relationship Id="rId9"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i.org/10.1002/etc.5620070104" TargetMode="External"/><Relationship Id="rId1" Type="http://schemas.openxmlformats.org/officeDocument/2006/relationships/hyperlink" Target="https://formlabs-media.formlabs.com/datasheets/Safety_Data_Sheet_EN-EU_-_White.pdf"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F1DF7-2A3D-41D6-BB1C-BC856ED5C5B1}">
  <dimension ref="A1:XFD59"/>
  <sheetViews>
    <sheetView workbookViewId="0">
      <selection activeCell="G34" sqref="G34"/>
    </sheetView>
  </sheetViews>
  <sheetFormatPr defaultRowHeight="14.5" x14ac:dyDescent="0.35"/>
  <cols>
    <col min="1" max="1" width="49.81640625" style="11" customWidth="1"/>
    <col min="2" max="2" width="14.26953125" customWidth="1"/>
    <col min="3" max="3" width="24.1796875" customWidth="1"/>
    <col min="4" max="4" width="19.7265625" customWidth="1"/>
    <col min="5" max="5" width="39.26953125" style="12" customWidth="1"/>
    <col min="6" max="6" width="16.54296875" customWidth="1"/>
    <col min="7" max="7" width="32.54296875" customWidth="1"/>
  </cols>
  <sheetData>
    <row r="1" spans="1:10" s="1" customFormat="1" ht="30.75" customHeight="1" x14ac:dyDescent="0.35">
      <c r="A1" s="1" t="s">
        <v>0</v>
      </c>
      <c r="B1" s="1" t="s">
        <v>1</v>
      </c>
      <c r="C1" s="1" t="s">
        <v>2</v>
      </c>
      <c r="D1" s="17" t="s">
        <v>3</v>
      </c>
      <c r="E1" s="17" t="s">
        <v>4</v>
      </c>
      <c r="F1" s="1" t="s">
        <v>5</v>
      </c>
      <c r="G1" s="1" t="s">
        <v>6</v>
      </c>
      <c r="H1" s="1" t="s">
        <v>7</v>
      </c>
      <c r="I1" s="1" t="s">
        <v>8</v>
      </c>
      <c r="J1" s="1" t="s">
        <v>9</v>
      </c>
    </row>
    <row r="2" spans="1:10" s="3" customFormat="1" x14ac:dyDescent="0.35">
      <c r="A2" s="2" t="s">
        <v>10</v>
      </c>
      <c r="B2" s="3" t="s">
        <v>11</v>
      </c>
      <c r="C2" s="3" t="s">
        <v>12</v>
      </c>
      <c r="D2" s="3" t="s">
        <v>13</v>
      </c>
      <c r="E2" s="18" t="s">
        <v>14</v>
      </c>
      <c r="F2" s="4" t="s">
        <v>15</v>
      </c>
      <c r="G2" s="3" t="s">
        <v>16</v>
      </c>
    </row>
    <row r="3" spans="1:10" s="3" customFormat="1" x14ac:dyDescent="0.35">
      <c r="A3" s="2" t="s">
        <v>17</v>
      </c>
      <c r="B3" s="3" t="s">
        <v>18</v>
      </c>
      <c r="C3" s="3" t="s">
        <v>12</v>
      </c>
      <c r="D3" s="3" t="s">
        <v>13</v>
      </c>
      <c r="E3" s="18" t="s">
        <v>14</v>
      </c>
      <c r="F3" s="4">
        <v>50</v>
      </c>
      <c r="G3" s="3" t="s">
        <v>16</v>
      </c>
      <c r="H3" s="3" t="s">
        <v>19</v>
      </c>
    </row>
    <row r="4" spans="1:10" s="3" customFormat="1" x14ac:dyDescent="0.35">
      <c r="A4" s="2" t="s">
        <v>20</v>
      </c>
      <c r="B4" s="3" t="s">
        <v>21</v>
      </c>
      <c r="C4" s="3" t="s">
        <v>12</v>
      </c>
      <c r="D4" s="3" t="s">
        <v>13</v>
      </c>
      <c r="E4" s="18" t="s">
        <v>14</v>
      </c>
      <c r="F4" s="4"/>
    </row>
    <row r="5" spans="1:10" s="3" customFormat="1" x14ac:dyDescent="0.35">
      <c r="A5" s="2" t="s">
        <v>22</v>
      </c>
      <c r="B5" s="3" t="s">
        <v>23</v>
      </c>
      <c r="C5" s="3" t="s">
        <v>12</v>
      </c>
      <c r="D5" s="3" t="s">
        <v>13</v>
      </c>
      <c r="E5" s="18" t="s">
        <v>14</v>
      </c>
      <c r="F5" s="4"/>
      <c r="G5" s="3" t="s">
        <v>16</v>
      </c>
    </row>
    <row r="6" spans="1:10" s="3" customFormat="1" ht="29" x14ac:dyDescent="0.35">
      <c r="A6" s="2" t="s">
        <v>24</v>
      </c>
      <c r="B6" s="3" t="s">
        <v>25</v>
      </c>
      <c r="C6" s="3" t="s">
        <v>12</v>
      </c>
      <c r="D6" s="3" t="s">
        <v>26</v>
      </c>
      <c r="E6" s="18" t="s">
        <v>27</v>
      </c>
      <c r="F6" s="4"/>
      <c r="H6" s="3" t="s">
        <v>28</v>
      </c>
      <c r="I6" s="3" t="s">
        <v>29</v>
      </c>
    </row>
    <row r="7" spans="1:10" s="3" customFormat="1" ht="29" x14ac:dyDescent="0.35">
      <c r="A7" s="2" t="s">
        <v>30</v>
      </c>
      <c r="B7" s="3" t="s">
        <v>31</v>
      </c>
      <c r="C7" s="3" t="s">
        <v>12</v>
      </c>
      <c r="D7" s="3" t="s">
        <v>26</v>
      </c>
      <c r="E7" s="18" t="s">
        <v>32</v>
      </c>
      <c r="F7" s="4"/>
      <c r="H7" s="3" t="s">
        <v>29</v>
      </c>
    </row>
    <row r="8" spans="1:10" s="6" customFormat="1" x14ac:dyDescent="0.35">
      <c r="A8" s="5" t="s">
        <v>33</v>
      </c>
      <c r="B8" s="6" t="s">
        <v>34</v>
      </c>
      <c r="C8" s="6" t="s">
        <v>35</v>
      </c>
      <c r="D8" s="6" t="s">
        <v>26</v>
      </c>
      <c r="E8" s="19" t="s">
        <v>36</v>
      </c>
      <c r="F8" s="7" t="s">
        <v>37</v>
      </c>
      <c r="G8" s="6" t="s">
        <v>38</v>
      </c>
      <c r="H8" s="6" t="s">
        <v>39</v>
      </c>
      <c r="I8" s="6" t="s">
        <v>40</v>
      </c>
      <c r="J8" s="8" t="s">
        <v>41</v>
      </c>
    </row>
    <row r="9" spans="1:10" s="6" customFormat="1" ht="29" x14ac:dyDescent="0.35">
      <c r="A9" s="5" t="s">
        <v>42</v>
      </c>
      <c r="B9" s="6" t="s">
        <v>43</v>
      </c>
      <c r="C9" s="6" t="s">
        <v>35</v>
      </c>
      <c r="D9" s="6" t="s">
        <v>26</v>
      </c>
      <c r="E9" s="19" t="s">
        <v>44</v>
      </c>
      <c r="F9" s="7"/>
      <c r="H9" s="6" t="s">
        <v>39</v>
      </c>
    </row>
    <row r="10" spans="1:10" s="6" customFormat="1" ht="29" x14ac:dyDescent="0.35">
      <c r="A10" s="5" t="s">
        <v>45</v>
      </c>
      <c r="B10" s="6" t="s">
        <v>46</v>
      </c>
      <c r="C10" s="6" t="s">
        <v>35</v>
      </c>
      <c r="D10" s="6" t="s">
        <v>26</v>
      </c>
      <c r="E10" s="19" t="s">
        <v>47</v>
      </c>
      <c r="F10" s="7"/>
      <c r="H10" s="6" t="s">
        <v>48</v>
      </c>
      <c r="I10" s="6" t="s">
        <v>49</v>
      </c>
      <c r="J10" s="6" t="s">
        <v>50</v>
      </c>
    </row>
    <row r="11" spans="1:10" s="6" customFormat="1" ht="43.5" x14ac:dyDescent="0.35">
      <c r="A11" s="5" t="s">
        <v>51</v>
      </c>
      <c r="B11" s="6" t="s">
        <v>52</v>
      </c>
      <c r="C11" s="6" t="s">
        <v>35</v>
      </c>
      <c r="D11" s="6" t="s">
        <v>26</v>
      </c>
      <c r="E11" s="19" t="s">
        <v>53</v>
      </c>
      <c r="F11" s="7"/>
      <c r="H11" s="6" t="s">
        <v>54</v>
      </c>
    </row>
    <row r="12" spans="1:10" s="6" customFormat="1" ht="43.5" x14ac:dyDescent="0.35">
      <c r="A12" s="5" t="s">
        <v>55</v>
      </c>
      <c r="B12" s="6" t="s">
        <v>56</v>
      </c>
      <c r="C12" s="6" t="s">
        <v>35</v>
      </c>
      <c r="D12" s="6" t="s">
        <v>26</v>
      </c>
      <c r="E12" s="19" t="s">
        <v>57</v>
      </c>
      <c r="F12" s="7"/>
      <c r="H12" s="6" t="s">
        <v>58</v>
      </c>
    </row>
    <row r="13" spans="1:10" s="6" customFormat="1" ht="29" x14ac:dyDescent="0.35">
      <c r="A13" s="5" t="s">
        <v>59</v>
      </c>
      <c r="B13" s="6" t="s">
        <v>60</v>
      </c>
      <c r="C13" s="6" t="s">
        <v>35</v>
      </c>
      <c r="D13" s="6" t="s">
        <v>26</v>
      </c>
      <c r="E13" s="19" t="s">
        <v>44</v>
      </c>
      <c r="F13" s="7" t="s">
        <v>61</v>
      </c>
      <c r="H13" s="6" t="s">
        <v>39</v>
      </c>
      <c r="I13" s="8" t="s">
        <v>62</v>
      </c>
      <c r="J13" s="8" t="s">
        <v>63</v>
      </c>
    </row>
    <row r="14" spans="1:10" s="6" customFormat="1" x14ac:dyDescent="0.35">
      <c r="A14" s="5" t="s">
        <v>64</v>
      </c>
      <c r="B14" s="6" t="s">
        <v>65</v>
      </c>
      <c r="C14" s="6" t="s">
        <v>35</v>
      </c>
      <c r="D14" s="6" t="s">
        <v>26</v>
      </c>
      <c r="E14" s="19" t="s">
        <v>36</v>
      </c>
      <c r="F14" s="7"/>
      <c r="H14" s="6" t="s">
        <v>39</v>
      </c>
    </row>
    <row r="15" spans="1:10" s="6" customFormat="1" x14ac:dyDescent="0.35">
      <c r="A15" s="5" t="s">
        <v>66</v>
      </c>
      <c r="B15" s="6" t="s">
        <v>67</v>
      </c>
      <c r="C15" s="6" t="s">
        <v>35</v>
      </c>
      <c r="D15" s="6" t="s">
        <v>26</v>
      </c>
      <c r="E15" s="19" t="s">
        <v>68</v>
      </c>
      <c r="F15" s="7"/>
      <c r="H15" s="6" t="s">
        <v>69</v>
      </c>
    </row>
    <row r="16" spans="1:10" s="6" customFormat="1" ht="29" x14ac:dyDescent="0.35">
      <c r="A16" s="5" t="s">
        <v>70</v>
      </c>
      <c r="B16" s="6" t="s">
        <v>71</v>
      </c>
      <c r="C16" s="6" t="s">
        <v>35</v>
      </c>
      <c r="D16" s="6" t="s">
        <v>26</v>
      </c>
      <c r="E16" s="19" t="s">
        <v>72</v>
      </c>
      <c r="F16" s="7" t="s">
        <v>73</v>
      </c>
      <c r="H16" s="6" t="s">
        <v>39</v>
      </c>
    </row>
    <row r="17" spans="1:10" s="6" customFormat="1" x14ac:dyDescent="0.35">
      <c r="A17" s="5" t="s">
        <v>74</v>
      </c>
      <c r="C17" s="6" t="s">
        <v>35</v>
      </c>
      <c r="D17" s="6" t="s">
        <v>26</v>
      </c>
      <c r="E17" s="19" t="s">
        <v>75</v>
      </c>
      <c r="F17" s="7"/>
    </row>
    <row r="18" spans="1:10" s="3" customFormat="1" x14ac:dyDescent="0.35">
      <c r="A18" s="2" t="s">
        <v>76</v>
      </c>
      <c r="B18" s="3" t="s">
        <v>77</v>
      </c>
      <c r="C18" s="3" t="s">
        <v>78</v>
      </c>
      <c r="D18" s="3" t="s">
        <v>13</v>
      </c>
      <c r="E18" s="18" t="s">
        <v>79</v>
      </c>
      <c r="F18" s="4"/>
      <c r="H18" s="3" t="s">
        <v>80</v>
      </c>
    </row>
    <row r="19" spans="1:10" s="3" customFormat="1" ht="43.5" x14ac:dyDescent="0.35">
      <c r="A19" s="2" t="s">
        <v>81</v>
      </c>
      <c r="B19" s="3" t="s">
        <v>82</v>
      </c>
      <c r="C19" s="3" t="s">
        <v>78</v>
      </c>
      <c r="D19" s="3" t="s">
        <v>26</v>
      </c>
      <c r="E19" s="18" t="s">
        <v>83</v>
      </c>
      <c r="F19" s="4"/>
      <c r="H19" s="3" t="s">
        <v>84</v>
      </c>
    </row>
    <row r="20" spans="1:10" s="3" customFormat="1" x14ac:dyDescent="0.35">
      <c r="A20" s="2" t="s">
        <v>85</v>
      </c>
      <c r="B20" s="3" t="s">
        <v>86</v>
      </c>
      <c r="C20" s="3" t="s">
        <v>78</v>
      </c>
      <c r="D20" s="3" t="s">
        <v>26</v>
      </c>
      <c r="E20" s="18" t="s">
        <v>87</v>
      </c>
      <c r="F20" s="4">
        <v>99</v>
      </c>
    </row>
    <row r="21" spans="1:10" s="3" customFormat="1" ht="29" x14ac:dyDescent="0.35">
      <c r="A21" s="2" t="s">
        <v>88</v>
      </c>
      <c r="B21" s="3" t="s">
        <v>89</v>
      </c>
      <c r="C21" s="3" t="s">
        <v>78</v>
      </c>
      <c r="D21" s="3" t="s">
        <v>26</v>
      </c>
      <c r="E21" s="18" t="s">
        <v>90</v>
      </c>
      <c r="F21" s="4"/>
      <c r="H21" s="3" t="s">
        <v>91</v>
      </c>
      <c r="I21" s="3" t="s">
        <v>92</v>
      </c>
      <c r="J21" s="3" t="s">
        <v>93</v>
      </c>
    </row>
    <row r="22" spans="1:10" s="3" customFormat="1" ht="43.5" x14ac:dyDescent="0.35">
      <c r="A22" s="2" t="s">
        <v>94</v>
      </c>
      <c r="B22" s="3" t="s">
        <v>95</v>
      </c>
      <c r="C22" s="3" t="s">
        <v>78</v>
      </c>
      <c r="D22" s="3" t="s">
        <v>26</v>
      </c>
      <c r="E22" s="18" t="s">
        <v>96</v>
      </c>
      <c r="F22" s="4">
        <v>99</v>
      </c>
      <c r="H22" s="3" t="s">
        <v>97</v>
      </c>
    </row>
    <row r="23" spans="1:10" s="3" customFormat="1" x14ac:dyDescent="0.35">
      <c r="A23" s="2" t="s">
        <v>98</v>
      </c>
      <c r="B23" s="3" t="s">
        <v>99</v>
      </c>
      <c r="C23" s="3" t="s">
        <v>78</v>
      </c>
      <c r="D23" s="3" t="s">
        <v>26</v>
      </c>
      <c r="E23" s="18" t="s">
        <v>100</v>
      </c>
      <c r="F23" s="4"/>
      <c r="H23" s="3" t="s">
        <v>101</v>
      </c>
    </row>
    <row r="24" spans="1:10" s="3" customFormat="1" x14ac:dyDescent="0.35">
      <c r="A24" s="2" t="s">
        <v>102</v>
      </c>
      <c r="B24" s="3" t="s">
        <v>103</v>
      </c>
      <c r="C24" s="3" t="s">
        <v>78</v>
      </c>
      <c r="D24" s="3" t="s">
        <v>26</v>
      </c>
      <c r="E24" s="18" t="s">
        <v>104</v>
      </c>
      <c r="F24" s="4"/>
      <c r="H24" s="3" t="s">
        <v>105</v>
      </c>
      <c r="I24" s="3" t="s">
        <v>106</v>
      </c>
    </row>
    <row r="25" spans="1:10" s="3" customFormat="1" ht="29" x14ac:dyDescent="0.35">
      <c r="A25" s="2" t="s">
        <v>107</v>
      </c>
      <c r="B25" s="3" t="s">
        <v>108</v>
      </c>
      <c r="C25" s="3" t="s">
        <v>78</v>
      </c>
      <c r="D25" s="3" t="s">
        <v>26</v>
      </c>
      <c r="E25" s="18" t="s">
        <v>109</v>
      </c>
      <c r="F25" s="4"/>
      <c r="H25" s="9" t="s">
        <v>110</v>
      </c>
    </row>
    <row r="26" spans="1:10" s="3" customFormat="1" ht="29" x14ac:dyDescent="0.35">
      <c r="A26" s="2" t="s">
        <v>111</v>
      </c>
      <c r="B26" s="3" t="s">
        <v>112</v>
      </c>
      <c r="C26" s="3" t="s">
        <v>78</v>
      </c>
      <c r="D26" s="3" t="s">
        <v>26</v>
      </c>
      <c r="E26" s="18" t="s">
        <v>113</v>
      </c>
      <c r="F26" s="4"/>
      <c r="H26" s="9" t="s">
        <v>114</v>
      </c>
    </row>
    <row r="27" spans="1:10" s="3" customFormat="1" x14ac:dyDescent="0.35">
      <c r="A27" s="2" t="s">
        <v>115</v>
      </c>
      <c r="C27" s="3" t="s">
        <v>78</v>
      </c>
      <c r="D27" s="3" t="s">
        <v>26</v>
      </c>
      <c r="E27" s="18"/>
      <c r="F27" s="4" t="s">
        <v>116</v>
      </c>
      <c r="H27" s="9" t="s">
        <v>117</v>
      </c>
    </row>
    <row r="28" spans="1:10" s="6" customFormat="1" ht="29" x14ac:dyDescent="0.35">
      <c r="A28" s="5" t="s">
        <v>118</v>
      </c>
      <c r="B28" s="6" t="s">
        <v>119</v>
      </c>
      <c r="C28" s="6" t="s">
        <v>120</v>
      </c>
      <c r="D28" s="6" t="s">
        <v>26</v>
      </c>
      <c r="E28" s="19" t="s">
        <v>121</v>
      </c>
      <c r="F28" s="7"/>
      <c r="H28" s="10" t="s">
        <v>122</v>
      </c>
      <c r="I28" s="6" t="s">
        <v>123</v>
      </c>
    </row>
    <row r="29" spans="1:10" s="6" customFormat="1" ht="29" x14ac:dyDescent="0.35">
      <c r="A29" s="5" t="s">
        <v>124</v>
      </c>
      <c r="B29" s="6" t="s">
        <v>125</v>
      </c>
      <c r="C29" s="6" t="s">
        <v>120</v>
      </c>
      <c r="D29" s="6" t="s">
        <v>26</v>
      </c>
      <c r="E29" s="19" t="s">
        <v>126</v>
      </c>
      <c r="F29" s="7" t="s">
        <v>127</v>
      </c>
      <c r="H29" s="6" t="s">
        <v>128</v>
      </c>
    </row>
    <row r="30" spans="1:10" s="3" customFormat="1" ht="29" x14ac:dyDescent="0.35">
      <c r="A30" s="2" t="s">
        <v>129</v>
      </c>
      <c r="B30" s="3" t="s">
        <v>130</v>
      </c>
      <c r="C30" s="3" t="s">
        <v>131</v>
      </c>
      <c r="D30" s="3" t="s">
        <v>26</v>
      </c>
      <c r="E30" s="18" t="s">
        <v>132</v>
      </c>
      <c r="F30" s="4"/>
      <c r="G30" s="3" t="s">
        <v>133</v>
      </c>
      <c r="H30" s="3" t="s">
        <v>134</v>
      </c>
      <c r="I30" s="3" t="s">
        <v>135</v>
      </c>
    </row>
    <row r="31" spans="1:10" s="3" customFormat="1" ht="29" x14ac:dyDescent="0.35">
      <c r="A31" s="2" t="s">
        <v>136</v>
      </c>
      <c r="B31" s="3" t="s">
        <v>137</v>
      </c>
      <c r="C31" s="3" t="s">
        <v>131</v>
      </c>
      <c r="D31" s="3" t="s">
        <v>13</v>
      </c>
      <c r="E31" s="18" t="s">
        <v>138</v>
      </c>
      <c r="F31" s="4" t="s">
        <v>139</v>
      </c>
      <c r="H31" s="3" t="s">
        <v>140</v>
      </c>
    </row>
    <row r="32" spans="1:10" s="3" customFormat="1" ht="29" x14ac:dyDescent="0.35">
      <c r="A32" s="2" t="s">
        <v>141</v>
      </c>
      <c r="B32" s="3" t="s">
        <v>142</v>
      </c>
      <c r="C32" s="3" t="s">
        <v>131</v>
      </c>
      <c r="D32" s="3" t="s">
        <v>13</v>
      </c>
      <c r="E32" s="18" t="s">
        <v>143</v>
      </c>
      <c r="F32" s="4"/>
    </row>
    <row r="33" spans="1:16384" s="3" customFormat="1" x14ac:dyDescent="0.35">
      <c r="A33" s="2" t="s">
        <v>144</v>
      </c>
      <c r="C33" s="3" t="s">
        <v>131</v>
      </c>
      <c r="D33" s="3" t="s">
        <v>145</v>
      </c>
      <c r="E33" s="18" t="s">
        <v>146</v>
      </c>
      <c r="F33" s="4"/>
    </row>
    <row r="34" spans="1:16384" s="6" customFormat="1" ht="43.5" x14ac:dyDescent="0.35">
      <c r="A34" s="5" t="s">
        <v>147</v>
      </c>
      <c r="B34" s="6" t="s">
        <v>148</v>
      </c>
      <c r="C34" s="6" t="s">
        <v>149</v>
      </c>
      <c r="D34" s="6" t="s">
        <v>26</v>
      </c>
      <c r="E34" s="19" t="s">
        <v>150</v>
      </c>
      <c r="F34" s="7"/>
      <c r="H34" s="6" t="s">
        <v>151</v>
      </c>
      <c r="I34" s="6" t="s">
        <v>152</v>
      </c>
    </row>
    <row r="35" spans="1:16384" s="6" customFormat="1" x14ac:dyDescent="0.35">
      <c r="A35" s="5" t="s">
        <v>153</v>
      </c>
      <c r="B35" s="6" t="s">
        <v>154</v>
      </c>
      <c r="C35" s="6" t="s">
        <v>149</v>
      </c>
      <c r="D35" s="6" t="s">
        <v>26</v>
      </c>
      <c r="E35" s="19" t="s">
        <v>155</v>
      </c>
      <c r="F35" s="7"/>
      <c r="G35" s="6" t="s">
        <v>156</v>
      </c>
      <c r="H35" s="6" t="s">
        <v>157</v>
      </c>
    </row>
    <row r="36" spans="1:16384" s="6" customFormat="1" ht="29" x14ac:dyDescent="0.35">
      <c r="A36" s="5" t="s">
        <v>158</v>
      </c>
      <c r="B36" s="6" t="s">
        <v>159</v>
      </c>
      <c r="C36" s="6" t="s">
        <v>149</v>
      </c>
      <c r="D36" s="6" t="s">
        <v>26</v>
      </c>
      <c r="E36" s="19" t="s">
        <v>160</v>
      </c>
      <c r="F36" s="7"/>
      <c r="H36" s="6" t="s">
        <v>161</v>
      </c>
    </row>
    <row r="37" spans="1:16384" s="6" customFormat="1" x14ac:dyDescent="0.35">
      <c r="A37" s="5" t="s">
        <v>162</v>
      </c>
      <c r="B37" s="6" t="s">
        <v>163</v>
      </c>
      <c r="C37" s="6" t="s">
        <v>149</v>
      </c>
      <c r="D37" s="6" t="s">
        <v>26</v>
      </c>
      <c r="E37" s="19" t="s">
        <v>164</v>
      </c>
      <c r="F37" s="7"/>
      <c r="H37" s="6" t="s">
        <v>165</v>
      </c>
      <c r="I37" s="6" t="s">
        <v>166</v>
      </c>
    </row>
    <row r="38" spans="1:16384" s="6" customFormat="1" x14ac:dyDescent="0.35">
      <c r="A38" s="5" t="s">
        <v>167</v>
      </c>
      <c r="B38" s="6" t="s">
        <v>168</v>
      </c>
      <c r="C38" s="6" t="s">
        <v>149</v>
      </c>
      <c r="D38" s="6" t="s">
        <v>26</v>
      </c>
      <c r="E38" s="19" t="s">
        <v>155</v>
      </c>
      <c r="F38" s="7"/>
      <c r="G38" s="6" t="s">
        <v>169</v>
      </c>
      <c r="H38" s="8" t="s">
        <v>170</v>
      </c>
      <c r="I38" s="8" t="s">
        <v>171</v>
      </c>
    </row>
    <row r="39" spans="1:16384" s="6" customFormat="1" x14ac:dyDescent="0.35">
      <c r="A39" s="5" t="s">
        <v>172</v>
      </c>
      <c r="B39" s="6" t="s">
        <v>173</v>
      </c>
      <c r="C39" s="6" t="s">
        <v>149</v>
      </c>
      <c r="D39" s="6" t="s">
        <v>26</v>
      </c>
      <c r="E39" s="19" t="s">
        <v>174</v>
      </c>
      <c r="F39" s="7"/>
      <c r="H39" s="8" t="s">
        <v>175</v>
      </c>
      <c r="I39" s="8" t="s">
        <v>176</v>
      </c>
    </row>
    <row r="40" spans="1:16384" s="6" customFormat="1" x14ac:dyDescent="0.35">
      <c r="A40" s="5" t="s">
        <v>177</v>
      </c>
      <c r="C40" s="6" t="s">
        <v>149</v>
      </c>
      <c r="D40" s="6" t="s">
        <v>26</v>
      </c>
      <c r="E40" s="19"/>
      <c r="F40" s="15" t="s">
        <v>178</v>
      </c>
      <c r="H40" s="8"/>
      <c r="I40" s="8"/>
    </row>
    <row r="41" spans="1:16384" s="3" customFormat="1" x14ac:dyDescent="0.35">
      <c r="A41" s="2" t="s">
        <v>179</v>
      </c>
      <c r="C41" s="3" t="s">
        <v>180</v>
      </c>
      <c r="D41" s="3" t="s">
        <v>26</v>
      </c>
      <c r="E41" s="18" t="s">
        <v>181</v>
      </c>
      <c r="F41" s="4"/>
      <c r="H41" s="9"/>
      <c r="I41" s="9"/>
    </row>
    <row r="42" spans="1:16384" s="3" customFormat="1" x14ac:dyDescent="0.35">
      <c r="A42" s="2" t="s">
        <v>182</v>
      </c>
      <c r="B42" s="3" t="s">
        <v>183</v>
      </c>
      <c r="C42" s="3" t="s">
        <v>180</v>
      </c>
      <c r="D42" s="3" t="s">
        <v>26</v>
      </c>
      <c r="E42" s="18" t="s">
        <v>184</v>
      </c>
      <c r="F42" s="4"/>
    </row>
    <row r="43" spans="1:16384" s="3" customFormat="1" x14ac:dyDescent="0.35">
      <c r="A43" s="2" t="s">
        <v>185</v>
      </c>
      <c r="B43" s="3" t="s">
        <v>186</v>
      </c>
      <c r="C43" s="3" t="s">
        <v>180</v>
      </c>
      <c r="D43" s="3" t="s">
        <v>26</v>
      </c>
      <c r="E43" s="18" t="s">
        <v>184</v>
      </c>
      <c r="F43" s="4"/>
    </row>
    <row r="44" spans="1:16384" s="3" customFormat="1" x14ac:dyDescent="0.35">
      <c r="A44" s="2" t="s">
        <v>187</v>
      </c>
      <c r="C44" s="3" t="s">
        <v>180</v>
      </c>
      <c r="D44" s="3" t="s">
        <v>26</v>
      </c>
      <c r="E44" s="18" t="s">
        <v>184</v>
      </c>
      <c r="F44" s="4"/>
    </row>
    <row r="45" spans="1:16384" s="3" customFormat="1" x14ac:dyDescent="0.35">
      <c r="A45" s="2" t="s">
        <v>188</v>
      </c>
      <c r="B45" s="3" t="s">
        <v>189</v>
      </c>
      <c r="C45" s="3" t="s">
        <v>180</v>
      </c>
      <c r="D45" s="3" t="s">
        <v>26</v>
      </c>
      <c r="E45" s="18" t="s">
        <v>184</v>
      </c>
      <c r="F45" s="4"/>
    </row>
    <row r="46" spans="1:16384" s="3" customFormat="1" x14ac:dyDescent="0.35">
      <c r="A46" s="2" t="s">
        <v>190</v>
      </c>
      <c r="B46" s="3" t="s">
        <v>191</v>
      </c>
      <c r="C46" s="3" t="s">
        <v>180</v>
      </c>
      <c r="D46" s="3" t="s">
        <v>26</v>
      </c>
      <c r="E46" s="18" t="s">
        <v>75</v>
      </c>
      <c r="F46" s="4" t="s">
        <v>192</v>
      </c>
      <c r="H46" s="3" t="s">
        <v>193</v>
      </c>
      <c r="I46" s="3" t="s">
        <v>194</v>
      </c>
    </row>
    <row r="47" spans="1:16384" s="3" customFormat="1" x14ac:dyDescent="0.35">
      <c r="A47" s="2" t="s">
        <v>195</v>
      </c>
      <c r="B47" s="3" t="s">
        <v>196</v>
      </c>
      <c r="C47" s="3" t="s">
        <v>180</v>
      </c>
      <c r="D47" s="3" t="s">
        <v>26</v>
      </c>
      <c r="E47" s="18" t="s">
        <v>197</v>
      </c>
      <c r="H47" s="3" t="s">
        <v>198</v>
      </c>
      <c r="I47" s="2" t="s">
        <v>195</v>
      </c>
      <c r="J47" s="3" t="s">
        <v>196</v>
      </c>
      <c r="K47" s="3" t="s">
        <v>180</v>
      </c>
      <c r="L47" s="3" t="s">
        <v>26</v>
      </c>
      <c r="M47" s="3" t="s">
        <v>197</v>
      </c>
      <c r="P47" s="3" t="s">
        <v>198</v>
      </c>
      <c r="Q47" s="2" t="s">
        <v>195</v>
      </c>
      <c r="R47" s="3" t="s">
        <v>196</v>
      </c>
      <c r="S47" s="3" t="s">
        <v>180</v>
      </c>
      <c r="T47" s="3" t="s">
        <v>26</v>
      </c>
      <c r="U47" s="3" t="s">
        <v>197</v>
      </c>
      <c r="X47" s="3" t="s">
        <v>198</v>
      </c>
      <c r="Y47" s="2" t="s">
        <v>195</v>
      </c>
      <c r="Z47" s="3" t="s">
        <v>196</v>
      </c>
      <c r="AA47" s="3" t="s">
        <v>180</v>
      </c>
      <c r="AB47" s="3" t="s">
        <v>26</v>
      </c>
      <c r="AC47" s="3" t="s">
        <v>197</v>
      </c>
      <c r="AF47" s="3" t="s">
        <v>198</v>
      </c>
      <c r="AG47" s="2" t="s">
        <v>195</v>
      </c>
      <c r="AH47" s="3" t="s">
        <v>196</v>
      </c>
      <c r="AI47" s="3" t="s">
        <v>180</v>
      </c>
      <c r="AJ47" s="3" t="s">
        <v>26</v>
      </c>
      <c r="AK47" s="3" t="s">
        <v>197</v>
      </c>
      <c r="AN47" s="3" t="s">
        <v>198</v>
      </c>
      <c r="AO47" s="2" t="s">
        <v>195</v>
      </c>
      <c r="AP47" s="3" t="s">
        <v>196</v>
      </c>
      <c r="AQ47" s="3" t="s">
        <v>180</v>
      </c>
      <c r="AR47" s="3" t="s">
        <v>26</v>
      </c>
      <c r="AS47" s="3" t="s">
        <v>197</v>
      </c>
      <c r="AV47" s="3" t="s">
        <v>198</v>
      </c>
      <c r="AW47" s="2" t="s">
        <v>195</v>
      </c>
      <c r="AX47" s="3" t="s">
        <v>196</v>
      </c>
      <c r="AY47" s="3" t="s">
        <v>180</v>
      </c>
      <c r="AZ47" s="3" t="s">
        <v>26</v>
      </c>
      <c r="BA47" s="3" t="s">
        <v>197</v>
      </c>
      <c r="BD47" s="3" t="s">
        <v>198</v>
      </c>
      <c r="BE47" s="2" t="s">
        <v>195</v>
      </c>
      <c r="BF47" s="3" t="s">
        <v>196</v>
      </c>
      <c r="BG47" s="3" t="s">
        <v>180</v>
      </c>
      <c r="BH47" s="3" t="s">
        <v>26</v>
      </c>
      <c r="BI47" s="3" t="s">
        <v>197</v>
      </c>
      <c r="BL47" s="3" t="s">
        <v>198</v>
      </c>
      <c r="BM47" s="2" t="s">
        <v>195</v>
      </c>
      <c r="BN47" s="3" t="s">
        <v>196</v>
      </c>
      <c r="BO47" s="3" t="s">
        <v>180</v>
      </c>
      <c r="BP47" s="3" t="s">
        <v>26</v>
      </c>
      <c r="BQ47" s="3" t="s">
        <v>197</v>
      </c>
      <c r="BT47" s="3" t="s">
        <v>198</v>
      </c>
      <c r="BU47" s="2" t="s">
        <v>195</v>
      </c>
      <c r="BV47" s="3" t="s">
        <v>196</v>
      </c>
      <c r="BW47" s="3" t="s">
        <v>180</v>
      </c>
      <c r="BX47" s="3" t="s">
        <v>26</v>
      </c>
      <c r="BY47" s="3" t="s">
        <v>197</v>
      </c>
      <c r="CB47" s="3" t="s">
        <v>198</v>
      </c>
      <c r="CC47" s="2" t="s">
        <v>195</v>
      </c>
      <c r="CD47" s="3" t="s">
        <v>196</v>
      </c>
      <c r="CE47" s="3" t="s">
        <v>180</v>
      </c>
      <c r="CF47" s="3" t="s">
        <v>26</v>
      </c>
      <c r="CG47" s="3" t="s">
        <v>197</v>
      </c>
      <c r="CJ47" s="3" t="s">
        <v>198</v>
      </c>
      <c r="CK47" s="2" t="s">
        <v>195</v>
      </c>
      <c r="CL47" s="3" t="s">
        <v>196</v>
      </c>
      <c r="CM47" s="3" t="s">
        <v>180</v>
      </c>
      <c r="CN47" s="3" t="s">
        <v>26</v>
      </c>
      <c r="CO47" s="3" t="s">
        <v>197</v>
      </c>
      <c r="CR47" s="3" t="s">
        <v>198</v>
      </c>
      <c r="CS47" s="2" t="s">
        <v>195</v>
      </c>
      <c r="CT47" s="3" t="s">
        <v>196</v>
      </c>
      <c r="CU47" s="3" t="s">
        <v>180</v>
      </c>
      <c r="CV47" s="3" t="s">
        <v>26</v>
      </c>
      <c r="CW47" s="3" t="s">
        <v>197</v>
      </c>
      <c r="CZ47" s="3" t="s">
        <v>198</v>
      </c>
      <c r="DA47" s="2" t="s">
        <v>195</v>
      </c>
      <c r="DB47" s="3" t="s">
        <v>196</v>
      </c>
      <c r="DC47" s="3" t="s">
        <v>180</v>
      </c>
      <c r="DD47" s="3" t="s">
        <v>26</v>
      </c>
      <c r="DE47" s="3" t="s">
        <v>197</v>
      </c>
      <c r="DH47" s="3" t="s">
        <v>198</v>
      </c>
      <c r="DI47" s="2" t="s">
        <v>195</v>
      </c>
      <c r="DJ47" s="3" t="s">
        <v>196</v>
      </c>
      <c r="DK47" s="3" t="s">
        <v>180</v>
      </c>
      <c r="DL47" s="3" t="s">
        <v>26</v>
      </c>
      <c r="DM47" s="3" t="s">
        <v>197</v>
      </c>
      <c r="DP47" s="3" t="s">
        <v>198</v>
      </c>
      <c r="DQ47" s="2" t="s">
        <v>195</v>
      </c>
      <c r="DR47" s="3" t="s">
        <v>196</v>
      </c>
      <c r="DS47" s="3" t="s">
        <v>180</v>
      </c>
      <c r="DT47" s="3" t="s">
        <v>26</v>
      </c>
      <c r="DU47" s="3" t="s">
        <v>197</v>
      </c>
      <c r="DX47" s="3" t="s">
        <v>198</v>
      </c>
      <c r="DY47" s="2" t="s">
        <v>195</v>
      </c>
      <c r="DZ47" s="3" t="s">
        <v>196</v>
      </c>
      <c r="EA47" s="3" t="s">
        <v>180</v>
      </c>
      <c r="EB47" s="3" t="s">
        <v>26</v>
      </c>
      <c r="EC47" s="3" t="s">
        <v>197</v>
      </c>
      <c r="EF47" s="3" t="s">
        <v>198</v>
      </c>
      <c r="EG47" s="2" t="s">
        <v>195</v>
      </c>
      <c r="EH47" s="3" t="s">
        <v>196</v>
      </c>
      <c r="EI47" s="3" t="s">
        <v>180</v>
      </c>
      <c r="EJ47" s="3" t="s">
        <v>26</v>
      </c>
      <c r="EK47" s="3" t="s">
        <v>197</v>
      </c>
      <c r="EN47" s="3" t="s">
        <v>198</v>
      </c>
      <c r="EO47" s="2" t="s">
        <v>195</v>
      </c>
      <c r="EP47" s="3" t="s">
        <v>196</v>
      </c>
      <c r="EQ47" s="3" t="s">
        <v>180</v>
      </c>
      <c r="ER47" s="3" t="s">
        <v>26</v>
      </c>
      <c r="ES47" s="3" t="s">
        <v>197</v>
      </c>
      <c r="EV47" s="3" t="s">
        <v>198</v>
      </c>
      <c r="EW47" s="2" t="s">
        <v>195</v>
      </c>
      <c r="EX47" s="3" t="s">
        <v>196</v>
      </c>
      <c r="EY47" s="3" t="s">
        <v>180</v>
      </c>
      <c r="EZ47" s="3" t="s">
        <v>26</v>
      </c>
      <c r="FA47" s="3" t="s">
        <v>197</v>
      </c>
      <c r="FD47" s="3" t="s">
        <v>198</v>
      </c>
      <c r="FE47" s="2" t="s">
        <v>195</v>
      </c>
      <c r="FF47" s="3" t="s">
        <v>196</v>
      </c>
      <c r="FG47" s="3" t="s">
        <v>180</v>
      </c>
      <c r="FH47" s="3" t="s">
        <v>26</v>
      </c>
      <c r="FI47" s="3" t="s">
        <v>197</v>
      </c>
      <c r="FL47" s="3" t="s">
        <v>198</v>
      </c>
      <c r="FM47" s="2" t="s">
        <v>195</v>
      </c>
      <c r="FN47" s="3" t="s">
        <v>196</v>
      </c>
      <c r="FO47" s="3" t="s">
        <v>180</v>
      </c>
      <c r="FP47" s="3" t="s">
        <v>26</v>
      </c>
      <c r="FQ47" s="3" t="s">
        <v>197</v>
      </c>
      <c r="FT47" s="3" t="s">
        <v>198</v>
      </c>
      <c r="FU47" s="2" t="s">
        <v>195</v>
      </c>
      <c r="FV47" s="3" t="s">
        <v>196</v>
      </c>
      <c r="FW47" s="3" t="s">
        <v>180</v>
      </c>
      <c r="FX47" s="3" t="s">
        <v>26</v>
      </c>
      <c r="FY47" s="3" t="s">
        <v>197</v>
      </c>
      <c r="GB47" s="3" t="s">
        <v>198</v>
      </c>
      <c r="GC47" s="2" t="s">
        <v>195</v>
      </c>
      <c r="GD47" s="3" t="s">
        <v>196</v>
      </c>
      <c r="GE47" s="3" t="s">
        <v>180</v>
      </c>
      <c r="GF47" s="3" t="s">
        <v>26</v>
      </c>
      <c r="GG47" s="3" t="s">
        <v>197</v>
      </c>
      <c r="GJ47" s="3" t="s">
        <v>198</v>
      </c>
      <c r="GK47" s="2" t="s">
        <v>195</v>
      </c>
      <c r="GL47" s="3" t="s">
        <v>196</v>
      </c>
      <c r="GM47" s="3" t="s">
        <v>180</v>
      </c>
      <c r="GN47" s="3" t="s">
        <v>26</v>
      </c>
      <c r="GO47" s="3" t="s">
        <v>197</v>
      </c>
      <c r="GR47" s="3" t="s">
        <v>198</v>
      </c>
      <c r="GS47" s="2" t="s">
        <v>195</v>
      </c>
      <c r="GT47" s="3" t="s">
        <v>196</v>
      </c>
      <c r="GU47" s="3" t="s">
        <v>180</v>
      </c>
      <c r="GV47" s="3" t="s">
        <v>26</v>
      </c>
      <c r="GW47" s="3" t="s">
        <v>197</v>
      </c>
      <c r="GZ47" s="3" t="s">
        <v>198</v>
      </c>
      <c r="HA47" s="2" t="s">
        <v>195</v>
      </c>
      <c r="HB47" s="3" t="s">
        <v>196</v>
      </c>
      <c r="HC47" s="3" t="s">
        <v>180</v>
      </c>
      <c r="HD47" s="3" t="s">
        <v>26</v>
      </c>
      <c r="HE47" s="3" t="s">
        <v>197</v>
      </c>
      <c r="HH47" s="3" t="s">
        <v>198</v>
      </c>
      <c r="HI47" s="2" t="s">
        <v>195</v>
      </c>
      <c r="HJ47" s="3" t="s">
        <v>196</v>
      </c>
      <c r="HK47" s="3" t="s">
        <v>180</v>
      </c>
      <c r="HL47" s="3" t="s">
        <v>26</v>
      </c>
      <c r="HM47" s="3" t="s">
        <v>197</v>
      </c>
      <c r="HP47" s="3" t="s">
        <v>198</v>
      </c>
      <c r="HQ47" s="2" t="s">
        <v>195</v>
      </c>
      <c r="HR47" s="3" t="s">
        <v>196</v>
      </c>
      <c r="HS47" s="3" t="s">
        <v>180</v>
      </c>
      <c r="HT47" s="3" t="s">
        <v>26</v>
      </c>
      <c r="HU47" s="3" t="s">
        <v>197</v>
      </c>
      <c r="HX47" s="3" t="s">
        <v>198</v>
      </c>
      <c r="HY47" s="2" t="s">
        <v>195</v>
      </c>
      <c r="HZ47" s="3" t="s">
        <v>196</v>
      </c>
      <c r="IA47" s="3" t="s">
        <v>180</v>
      </c>
      <c r="IB47" s="3" t="s">
        <v>26</v>
      </c>
      <c r="IC47" s="3" t="s">
        <v>197</v>
      </c>
      <c r="IF47" s="3" t="s">
        <v>198</v>
      </c>
      <c r="IG47" s="2" t="s">
        <v>195</v>
      </c>
      <c r="IH47" s="3" t="s">
        <v>196</v>
      </c>
      <c r="II47" s="3" t="s">
        <v>180</v>
      </c>
      <c r="IJ47" s="3" t="s">
        <v>26</v>
      </c>
      <c r="IK47" s="3" t="s">
        <v>197</v>
      </c>
      <c r="IN47" s="3" t="s">
        <v>198</v>
      </c>
      <c r="IO47" s="2" t="s">
        <v>195</v>
      </c>
      <c r="IP47" s="3" t="s">
        <v>196</v>
      </c>
      <c r="IQ47" s="3" t="s">
        <v>180</v>
      </c>
      <c r="IR47" s="3" t="s">
        <v>26</v>
      </c>
      <c r="IS47" s="3" t="s">
        <v>197</v>
      </c>
      <c r="IV47" s="3" t="s">
        <v>198</v>
      </c>
      <c r="IW47" s="2" t="s">
        <v>195</v>
      </c>
      <c r="IX47" s="3" t="s">
        <v>196</v>
      </c>
      <c r="IY47" s="3" t="s">
        <v>180</v>
      </c>
      <c r="IZ47" s="3" t="s">
        <v>26</v>
      </c>
      <c r="JA47" s="3" t="s">
        <v>197</v>
      </c>
      <c r="JD47" s="3" t="s">
        <v>198</v>
      </c>
      <c r="JE47" s="2" t="s">
        <v>195</v>
      </c>
      <c r="JF47" s="3" t="s">
        <v>196</v>
      </c>
      <c r="JG47" s="3" t="s">
        <v>180</v>
      </c>
      <c r="JH47" s="3" t="s">
        <v>26</v>
      </c>
      <c r="JI47" s="3" t="s">
        <v>197</v>
      </c>
      <c r="JL47" s="3" t="s">
        <v>198</v>
      </c>
      <c r="JM47" s="2" t="s">
        <v>195</v>
      </c>
      <c r="JN47" s="3" t="s">
        <v>196</v>
      </c>
      <c r="JO47" s="3" t="s">
        <v>180</v>
      </c>
      <c r="JP47" s="3" t="s">
        <v>26</v>
      </c>
      <c r="JQ47" s="3" t="s">
        <v>197</v>
      </c>
      <c r="JT47" s="3" t="s">
        <v>198</v>
      </c>
      <c r="JU47" s="2" t="s">
        <v>195</v>
      </c>
      <c r="JV47" s="3" t="s">
        <v>196</v>
      </c>
      <c r="JW47" s="3" t="s">
        <v>180</v>
      </c>
      <c r="JX47" s="3" t="s">
        <v>26</v>
      </c>
      <c r="JY47" s="3" t="s">
        <v>197</v>
      </c>
      <c r="KB47" s="3" t="s">
        <v>198</v>
      </c>
      <c r="KC47" s="2" t="s">
        <v>195</v>
      </c>
      <c r="KD47" s="3" t="s">
        <v>196</v>
      </c>
      <c r="KE47" s="3" t="s">
        <v>180</v>
      </c>
      <c r="KF47" s="3" t="s">
        <v>26</v>
      </c>
      <c r="KG47" s="3" t="s">
        <v>197</v>
      </c>
      <c r="KJ47" s="3" t="s">
        <v>198</v>
      </c>
      <c r="KK47" s="2" t="s">
        <v>195</v>
      </c>
      <c r="KL47" s="3" t="s">
        <v>196</v>
      </c>
      <c r="KM47" s="3" t="s">
        <v>180</v>
      </c>
      <c r="KN47" s="3" t="s">
        <v>26</v>
      </c>
      <c r="KO47" s="3" t="s">
        <v>197</v>
      </c>
      <c r="KR47" s="3" t="s">
        <v>198</v>
      </c>
      <c r="KS47" s="2" t="s">
        <v>195</v>
      </c>
      <c r="KT47" s="3" t="s">
        <v>196</v>
      </c>
      <c r="KU47" s="3" t="s">
        <v>180</v>
      </c>
      <c r="KV47" s="3" t="s">
        <v>26</v>
      </c>
      <c r="KW47" s="3" t="s">
        <v>197</v>
      </c>
      <c r="KZ47" s="3" t="s">
        <v>198</v>
      </c>
      <c r="LA47" s="2" t="s">
        <v>195</v>
      </c>
      <c r="LB47" s="3" t="s">
        <v>196</v>
      </c>
      <c r="LC47" s="3" t="s">
        <v>180</v>
      </c>
      <c r="LD47" s="3" t="s">
        <v>26</v>
      </c>
      <c r="LE47" s="3" t="s">
        <v>197</v>
      </c>
      <c r="LH47" s="3" t="s">
        <v>198</v>
      </c>
      <c r="LI47" s="2" t="s">
        <v>195</v>
      </c>
      <c r="LJ47" s="3" t="s">
        <v>196</v>
      </c>
      <c r="LK47" s="3" t="s">
        <v>180</v>
      </c>
      <c r="LL47" s="3" t="s">
        <v>26</v>
      </c>
      <c r="LM47" s="3" t="s">
        <v>197</v>
      </c>
      <c r="LP47" s="3" t="s">
        <v>198</v>
      </c>
      <c r="LQ47" s="2" t="s">
        <v>195</v>
      </c>
      <c r="LR47" s="3" t="s">
        <v>196</v>
      </c>
      <c r="LS47" s="3" t="s">
        <v>180</v>
      </c>
      <c r="LT47" s="3" t="s">
        <v>26</v>
      </c>
      <c r="LU47" s="3" t="s">
        <v>197</v>
      </c>
      <c r="LX47" s="3" t="s">
        <v>198</v>
      </c>
      <c r="LY47" s="2" t="s">
        <v>195</v>
      </c>
      <c r="LZ47" s="3" t="s">
        <v>196</v>
      </c>
      <c r="MA47" s="3" t="s">
        <v>180</v>
      </c>
      <c r="MB47" s="3" t="s">
        <v>26</v>
      </c>
      <c r="MC47" s="3" t="s">
        <v>197</v>
      </c>
      <c r="MF47" s="3" t="s">
        <v>198</v>
      </c>
      <c r="MG47" s="2" t="s">
        <v>195</v>
      </c>
      <c r="MH47" s="3" t="s">
        <v>196</v>
      </c>
      <c r="MI47" s="3" t="s">
        <v>180</v>
      </c>
      <c r="MJ47" s="3" t="s">
        <v>26</v>
      </c>
      <c r="MK47" s="3" t="s">
        <v>197</v>
      </c>
      <c r="MN47" s="3" t="s">
        <v>198</v>
      </c>
      <c r="MO47" s="2" t="s">
        <v>195</v>
      </c>
      <c r="MP47" s="3" t="s">
        <v>196</v>
      </c>
      <c r="MQ47" s="3" t="s">
        <v>180</v>
      </c>
      <c r="MR47" s="3" t="s">
        <v>26</v>
      </c>
      <c r="MS47" s="3" t="s">
        <v>197</v>
      </c>
      <c r="MV47" s="3" t="s">
        <v>198</v>
      </c>
      <c r="MW47" s="2" t="s">
        <v>195</v>
      </c>
      <c r="MX47" s="3" t="s">
        <v>196</v>
      </c>
      <c r="MY47" s="3" t="s">
        <v>180</v>
      </c>
      <c r="MZ47" s="3" t="s">
        <v>26</v>
      </c>
      <c r="NA47" s="3" t="s">
        <v>197</v>
      </c>
      <c r="ND47" s="3" t="s">
        <v>198</v>
      </c>
      <c r="NE47" s="2" t="s">
        <v>195</v>
      </c>
      <c r="NF47" s="3" t="s">
        <v>196</v>
      </c>
      <c r="NG47" s="3" t="s">
        <v>180</v>
      </c>
      <c r="NH47" s="3" t="s">
        <v>26</v>
      </c>
      <c r="NI47" s="3" t="s">
        <v>197</v>
      </c>
      <c r="NL47" s="3" t="s">
        <v>198</v>
      </c>
      <c r="NM47" s="2" t="s">
        <v>195</v>
      </c>
      <c r="NN47" s="3" t="s">
        <v>196</v>
      </c>
      <c r="NO47" s="3" t="s">
        <v>180</v>
      </c>
      <c r="NP47" s="3" t="s">
        <v>26</v>
      </c>
      <c r="NQ47" s="3" t="s">
        <v>197</v>
      </c>
      <c r="NT47" s="3" t="s">
        <v>198</v>
      </c>
      <c r="NU47" s="2" t="s">
        <v>195</v>
      </c>
      <c r="NV47" s="3" t="s">
        <v>196</v>
      </c>
      <c r="NW47" s="3" t="s">
        <v>180</v>
      </c>
      <c r="NX47" s="3" t="s">
        <v>26</v>
      </c>
      <c r="NY47" s="3" t="s">
        <v>197</v>
      </c>
      <c r="OB47" s="3" t="s">
        <v>198</v>
      </c>
      <c r="OC47" s="2" t="s">
        <v>195</v>
      </c>
      <c r="OD47" s="3" t="s">
        <v>196</v>
      </c>
      <c r="OE47" s="3" t="s">
        <v>180</v>
      </c>
      <c r="OF47" s="3" t="s">
        <v>26</v>
      </c>
      <c r="OG47" s="3" t="s">
        <v>197</v>
      </c>
      <c r="OJ47" s="3" t="s">
        <v>198</v>
      </c>
      <c r="OK47" s="2" t="s">
        <v>195</v>
      </c>
      <c r="OL47" s="3" t="s">
        <v>196</v>
      </c>
      <c r="OM47" s="3" t="s">
        <v>180</v>
      </c>
      <c r="ON47" s="3" t="s">
        <v>26</v>
      </c>
      <c r="OO47" s="3" t="s">
        <v>197</v>
      </c>
      <c r="OR47" s="3" t="s">
        <v>198</v>
      </c>
      <c r="OS47" s="2" t="s">
        <v>195</v>
      </c>
      <c r="OT47" s="3" t="s">
        <v>196</v>
      </c>
      <c r="OU47" s="3" t="s">
        <v>180</v>
      </c>
      <c r="OV47" s="3" t="s">
        <v>26</v>
      </c>
      <c r="OW47" s="3" t="s">
        <v>197</v>
      </c>
      <c r="OZ47" s="3" t="s">
        <v>198</v>
      </c>
      <c r="PA47" s="2" t="s">
        <v>195</v>
      </c>
      <c r="PB47" s="3" t="s">
        <v>196</v>
      </c>
      <c r="PC47" s="3" t="s">
        <v>180</v>
      </c>
      <c r="PD47" s="3" t="s">
        <v>26</v>
      </c>
      <c r="PE47" s="3" t="s">
        <v>197</v>
      </c>
      <c r="PH47" s="3" t="s">
        <v>198</v>
      </c>
      <c r="PI47" s="2" t="s">
        <v>195</v>
      </c>
      <c r="PJ47" s="3" t="s">
        <v>196</v>
      </c>
      <c r="PK47" s="3" t="s">
        <v>180</v>
      </c>
      <c r="PL47" s="3" t="s">
        <v>26</v>
      </c>
      <c r="PM47" s="3" t="s">
        <v>197</v>
      </c>
      <c r="PP47" s="3" t="s">
        <v>198</v>
      </c>
      <c r="PQ47" s="2" t="s">
        <v>195</v>
      </c>
      <c r="PR47" s="3" t="s">
        <v>196</v>
      </c>
      <c r="PS47" s="3" t="s">
        <v>180</v>
      </c>
      <c r="PT47" s="3" t="s">
        <v>26</v>
      </c>
      <c r="PU47" s="3" t="s">
        <v>197</v>
      </c>
      <c r="PX47" s="3" t="s">
        <v>198</v>
      </c>
      <c r="PY47" s="2" t="s">
        <v>195</v>
      </c>
      <c r="PZ47" s="3" t="s">
        <v>196</v>
      </c>
      <c r="QA47" s="3" t="s">
        <v>180</v>
      </c>
      <c r="QB47" s="3" t="s">
        <v>26</v>
      </c>
      <c r="QC47" s="3" t="s">
        <v>197</v>
      </c>
      <c r="QF47" s="3" t="s">
        <v>198</v>
      </c>
      <c r="QG47" s="2" t="s">
        <v>195</v>
      </c>
      <c r="QH47" s="3" t="s">
        <v>196</v>
      </c>
      <c r="QI47" s="3" t="s">
        <v>180</v>
      </c>
      <c r="QJ47" s="3" t="s">
        <v>26</v>
      </c>
      <c r="QK47" s="3" t="s">
        <v>197</v>
      </c>
      <c r="QN47" s="3" t="s">
        <v>198</v>
      </c>
      <c r="QO47" s="2" t="s">
        <v>195</v>
      </c>
      <c r="QP47" s="3" t="s">
        <v>196</v>
      </c>
      <c r="QQ47" s="3" t="s">
        <v>180</v>
      </c>
      <c r="QR47" s="3" t="s">
        <v>26</v>
      </c>
      <c r="QS47" s="3" t="s">
        <v>197</v>
      </c>
      <c r="QV47" s="3" t="s">
        <v>198</v>
      </c>
      <c r="QW47" s="2" t="s">
        <v>195</v>
      </c>
      <c r="QX47" s="3" t="s">
        <v>196</v>
      </c>
      <c r="QY47" s="3" t="s">
        <v>180</v>
      </c>
      <c r="QZ47" s="3" t="s">
        <v>26</v>
      </c>
      <c r="RA47" s="3" t="s">
        <v>197</v>
      </c>
      <c r="RD47" s="3" t="s">
        <v>198</v>
      </c>
      <c r="RE47" s="2" t="s">
        <v>195</v>
      </c>
      <c r="RF47" s="3" t="s">
        <v>196</v>
      </c>
      <c r="RG47" s="3" t="s">
        <v>180</v>
      </c>
      <c r="RH47" s="3" t="s">
        <v>26</v>
      </c>
      <c r="RI47" s="3" t="s">
        <v>197</v>
      </c>
      <c r="RL47" s="3" t="s">
        <v>198</v>
      </c>
      <c r="RM47" s="2" t="s">
        <v>195</v>
      </c>
      <c r="RN47" s="3" t="s">
        <v>196</v>
      </c>
      <c r="RO47" s="3" t="s">
        <v>180</v>
      </c>
      <c r="RP47" s="3" t="s">
        <v>26</v>
      </c>
      <c r="RQ47" s="3" t="s">
        <v>197</v>
      </c>
      <c r="RT47" s="3" t="s">
        <v>198</v>
      </c>
      <c r="RU47" s="2" t="s">
        <v>195</v>
      </c>
      <c r="RV47" s="3" t="s">
        <v>196</v>
      </c>
      <c r="RW47" s="3" t="s">
        <v>180</v>
      </c>
      <c r="RX47" s="3" t="s">
        <v>26</v>
      </c>
      <c r="RY47" s="3" t="s">
        <v>197</v>
      </c>
      <c r="SB47" s="3" t="s">
        <v>198</v>
      </c>
      <c r="SC47" s="2" t="s">
        <v>195</v>
      </c>
      <c r="SD47" s="3" t="s">
        <v>196</v>
      </c>
      <c r="SE47" s="3" t="s">
        <v>180</v>
      </c>
      <c r="SF47" s="3" t="s">
        <v>26</v>
      </c>
      <c r="SG47" s="3" t="s">
        <v>197</v>
      </c>
      <c r="SJ47" s="3" t="s">
        <v>198</v>
      </c>
      <c r="SK47" s="2" t="s">
        <v>195</v>
      </c>
      <c r="SL47" s="3" t="s">
        <v>196</v>
      </c>
      <c r="SM47" s="3" t="s">
        <v>180</v>
      </c>
      <c r="SN47" s="3" t="s">
        <v>26</v>
      </c>
      <c r="SO47" s="3" t="s">
        <v>197</v>
      </c>
      <c r="SR47" s="3" t="s">
        <v>198</v>
      </c>
      <c r="SS47" s="2" t="s">
        <v>195</v>
      </c>
      <c r="ST47" s="3" t="s">
        <v>196</v>
      </c>
      <c r="SU47" s="3" t="s">
        <v>180</v>
      </c>
      <c r="SV47" s="3" t="s">
        <v>26</v>
      </c>
      <c r="SW47" s="3" t="s">
        <v>197</v>
      </c>
      <c r="SZ47" s="3" t="s">
        <v>198</v>
      </c>
      <c r="TA47" s="2" t="s">
        <v>195</v>
      </c>
      <c r="TB47" s="3" t="s">
        <v>196</v>
      </c>
      <c r="TC47" s="3" t="s">
        <v>180</v>
      </c>
      <c r="TD47" s="3" t="s">
        <v>26</v>
      </c>
      <c r="TE47" s="3" t="s">
        <v>197</v>
      </c>
      <c r="TH47" s="3" t="s">
        <v>198</v>
      </c>
      <c r="TI47" s="2" t="s">
        <v>195</v>
      </c>
      <c r="TJ47" s="3" t="s">
        <v>196</v>
      </c>
      <c r="TK47" s="3" t="s">
        <v>180</v>
      </c>
      <c r="TL47" s="3" t="s">
        <v>26</v>
      </c>
      <c r="TM47" s="3" t="s">
        <v>197</v>
      </c>
      <c r="TP47" s="3" t="s">
        <v>198</v>
      </c>
      <c r="TQ47" s="2" t="s">
        <v>195</v>
      </c>
      <c r="TR47" s="3" t="s">
        <v>196</v>
      </c>
      <c r="TS47" s="3" t="s">
        <v>180</v>
      </c>
      <c r="TT47" s="3" t="s">
        <v>26</v>
      </c>
      <c r="TU47" s="3" t="s">
        <v>197</v>
      </c>
      <c r="TX47" s="3" t="s">
        <v>198</v>
      </c>
      <c r="TY47" s="2" t="s">
        <v>195</v>
      </c>
      <c r="TZ47" s="3" t="s">
        <v>196</v>
      </c>
      <c r="UA47" s="3" t="s">
        <v>180</v>
      </c>
      <c r="UB47" s="3" t="s">
        <v>26</v>
      </c>
      <c r="UC47" s="3" t="s">
        <v>197</v>
      </c>
      <c r="UF47" s="3" t="s">
        <v>198</v>
      </c>
      <c r="UG47" s="2" t="s">
        <v>195</v>
      </c>
      <c r="UH47" s="3" t="s">
        <v>196</v>
      </c>
      <c r="UI47" s="3" t="s">
        <v>180</v>
      </c>
      <c r="UJ47" s="3" t="s">
        <v>26</v>
      </c>
      <c r="UK47" s="3" t="s">
        <v>197</v>
      </c>
      <c r="UN47" s="3" t="s">
        <v>198</v>
      </c>
      <c r="UO47" s="2" t="s">
        <v>195</v>
      </c>
      <c r="UP47" s="3" t="s">
        <v>196</v>
      </c>
      <c r="UQ47" s="3" t="s">
        <v>180</v>
      </c>
      <c r="UR47" s="3" t="s">
        <v>26</v>
      </c>
      <c r="US47" s="3" t="s">
        <v>197</v>
      </c>
      <c r="UV47" s="3" t="s">
        <v>198</v>
      </c>
      <c r="UW47" s="2" t="s">
        <v>195</v>
      </c>
      <c r="UX47" s="3" t="s">
        <v>196</v>
      </c>
      <c r="UY47" s="3" t="s">
        <v>180</v>
      </c>
      <c r="UZ47" s="3" t="s">
        <v>26</v>
      </c>
      <c r="VA47" s="3" t="s">
        <v>197</v>
      </c>
      <c r="VD47" s="3" t="s">
        <v>198</v>
      </c>
      <c r="VE47" s="2" t="s">
        <v>195</v>
      </c>
      <c r="VF47" s="3" t="s">
        <v>196</v>
      </c>
      <c r="VG47" s="3" t="s">
        <v>180</v>
      </c>
      <c r="VH47" s="3" t="s">
        <v>26</v>
      </c>
      <c r="VI47" s="3" t="s">
        <v>197</v>
      </c>
      <c r="VL47" s="3" t="s">
        <v>198</v>
      </c>
      <c r="VM47" s="2" t="s">
        <v>195</v>
      </c>
      <c r="VN47" s="3" t="s">
        <v>196</v>
      </c>
      <c r="VO47" s="3" t="s">
        <v>180</v>
      </c>
      <c r="VP47" s="3" t="s">
        <v>26</v>
      </c>
      <c r="VQ47" s="3" t="s">
        <v>197</v>
      </c>
      <c r="VT47" s="3" t="s">
        <v>198</v>
      </c>
      <c r="VU47" s="2" t="s">
        <v>195</v>
      </c>
      <c r="VV47" s="3" t="s">
        <v>196</v>
      </c>
      <c r="VW47" s="3" t="s">
        <v>180</v>
      </c>
      <c r="VX47" s="3" t="s">
        <v>26</v>
      </c>
      <c r="VY47" s="3" t="s">
        <v>197</v>
      </c>
      <c r="WB47" s="3" t="s">
        <v>198</v>
      </c>
      <c r="WC47" s="2" t="s">
        <v>195</v>
      </c>
      <c r="WD47" s="3" t="s">
        <v>196</v>
      </c>
      <c r="WE47" s="3" t="s">
        <v>180</v>
      </c>
      <c r="WF47" s="3" t="s">
        <v>26</v>
      </c>
      <c r="WG47" s="3" t="s">
        <v>197</v>
      </c>
      <c r="WJ47" s="3" t="s">
        <v>198</v>
      </c>
      <c r="WK47" s="2" t="s">
        <v>195</v>
      </c>
      <c r="WL47" s="3" t="s">
        <v>196</v>
      </c>
      <c r="WM47" s="3" t="s">
        <v>180</v>
      </c>
      <c r="WN47" s="3" t="s">
        <v>26</v>
      </c>
      <c r="WO47" s="3" t="s">
        <v>197</v>
      </c>
      <c r="WR47" s="3" t="s">
        <v>198</v>
      </c>
      <c r="WS47" s="2" t="s">
        <v>195</v>
      </c>
      <c r="WT47" s="3" t="s">
        <v>196</v>
      </c>
      <c r="WU47" s="3" t="s">
        <v>180</v>
      </c>
      <c r="WV47" s="3" t="s">
        <v>26</v>
      </c>
      <c r="WW47" s="3" t="s">
        <v>197</v>
      </c>
      <c r="WZ47" s="3" t="s">
        <v>198</v>
      </c>
      <c r="XA47" s="2" t="s">
        <v>195</v>
      </c>
      <c r="XB47" s="3" t="s">
        <v>196</v>
      </c>
      <c r="XC47" s="3" t="s">
        <v>180</v>
      </c>
      <c r="XD47" s="3" t="s">
        <v>26</v>
      </c>
      <c r="XE47" s="3" t="s">
        <v>197</v>
      </c>
      <c r="XH47" s="3" t="s">
        <v>198</v>
      </c>
      <c r="XI47" s="2" t="s">
        <v>195</v>
      </c>
      <c r="XJ47" s="3" t="s">
        <v>196</v>
      </c>
      <c r="XK47" s="3" t="s">
        <v>180</v>
      </c>
      <c r="XL47" s="3" t="s">
        <v>26</v>
      </c>
      <c r="XM47" s="3" t="s">
        <v>197</v>
      </c>
      <c r="XP47" s="3" t="s">
        <v>198</v>
      </c>
      <c r="XQ47" s="2" t="s">
        <v>195</v>
      </c>
      <c r="XR47" s="3" t="s">
        <v>196</v>
      </c>
      <c r="XS47" s="3" t="s">
        <v>180</v>
      </c>
      <c r="XT47" s="3" t="s">
        <v>26</v>
      </c>
      <c r="XU47" s="3" t="s">
        <v>197</v>
      </c>
      <c r="XX47" s="3" t="s">
        <v>198</v>
      </c>
      <c r="XY47" s="2" t="s">
        <v>195</v>
      </c>
      <c r="XZ47" s="3" t="s">
        <v>196</v>
      </c>
      <c r="YA47" s="3" t="s">
        <v>180</v>
      </c>
      <c r="YB47" s="3" t="s">
        <v>26</v>
      </c>
      <c r="YC47" s="3" t="s">
        <v>197</v>
      </c>
      <c r="YF47" s="3" t="s">
        <v>198</v>
      </c>
      <c r="YG47" s="2" t="s">
        <v>195</v>
      </c>
      <c r="YH47" s="3" t="s">
        <v>196</v>
      </c>
      <c r="YI47" s="3" t="s">
        <v>180</v>
      </c>
      <c r="YJ47" s="3" t="s">
        <v>26</v>
      </c>
      <c r="YK47" s="3" t="s">
        <v>197</v>
      </c>
      <c r="YN47" s="3" t="s">
        <v>198</v>
      </c>
      <c r="YO47" s="2" t="s">
        <v>195</v>
      </c>
      <c r="YP47" s="3" t="s">
        <v>196</v>
      </c>
      <c r="YQ47" s="3" t="s">
        <v>180</v>
      </c>
      <c r="YR47" s="3" t="s">
        <v>26</v>
      </c>
      <c r="YS47" s="3" t="s">
        <v>197</v>
      </c>
      <c r="YV47" s="3" t="s">
        <v>198</v>
      </c>
      <c r="YW47" s="2" t="s">
        <v>195</v>
      </c>
      <c r="YX47" s="3" t="s">
        <v>196</v>
      </c>
      <c r="YY47" s="3" t="s">
        <v>180</v>
      </c>
      <c r="YZ47" s="3" t="s">
        <v>26</v>
      </c>
      <c r="ZA47" s="3" t="s">
        <v>197</v>
      </c>
      <c r="ZD47" s="3" t="s">
        <v>198</v>
      </c>
      <c r="ZE47" s="2" t="s">
        <v>195</v>
      </c>
      <c r="ZF47" s="3" t="s">
        <v>196</v>
      </c>
      <c r="ZG47" s="3" t="s">
        <v>180</v>
      </c>
      <c r="ZH47" s="3" t="s">
        <v>26</v>
      </c>
      <c r="ZI47" s="3" t="s">
        <v>197</v>
      </c>
      <c r="ZL47" s="3" t="s">
        <v>198</v>
      </c>
      <c r="ZM47" s="2" t="s">
        <v>195</v>
      </c>
      <c r="ZN47" s="3" t="s">
        <v>196</v>
      </c>
      <c r="ZO47" s="3" t="s">
        <v>180</v>
      </c>
      <c r="ZP47" s="3" t="s">
        <v>26</v>
      </c>
      <c r="ZQ47" s="3" t="s">
        <v>197</v>
      </c>
      <c r="ZT47" s="3" t="s">
        <v>198</v>
      </c>
      <c r="ZU47" s="2" t="s">
        <v>195</v>
      </c>
      <c r="ZV47" s="3" t="s">
        <v>196</v>
      </c>
      <c r="ZW47" s="3" t="s">
        <v>180</v>
      </c>
      <c r="ZX47" s="3" t="s">
        <v>26</v>
      </c>
      <c r="ZY47" s="3" t="s">
        <v>197</v>
      </c>
      <c r="AAB47" s="3" t="s">
        <v>198</v>
      </c>
      <c r="AAC47" s="2" t="s">
        <v>195</v>
      </c>
      <c r="AAD47" s="3" t="s">
        <v>196</v>
      </c>
      <c r="AAE47" s="3" t="s">
        <v>180</v>
      </c>
      <c r="AAF47" s="3" t="s">
        <v>26</v>
      </c>
      <c r="AAG47" s="3" t="s">
        <v>197</v>
      </c>
      <c r="AAJ47" s="3" t="s">
        <v>198</v>
      </c>
      <c r="AAK47" s="2" t="s">
        <v>195</v>
      </c>
      <c r="AAL47" s="3" t="s">
        <v>196</v>
      </c>
      <c r="AAM47" s="3" t="s">
        <v>180</v>
      </c>
      <c r="AAN47" s="3" t="s">
        <v>26</v>
      </c>
      <c r="AAO47" s="3" t="s">
        <v>197</v>
      </c>
      <c r="AAR47" s="3" t="s">
        <v>198</v>
      </c>
      <c r="AAS47" s="2" t="s">
        <v>195</v>
      </c>
      <c r="AAT47" s="3" t="s">
        <v>196</v>
      </c>
      <c r="AAU47" s="3" t="s">
        <v>180</v>
      </c>
      <c r="AAV47" s="3" t="s">
        <v>26</v>
      </c>
      <c r="AAW47" s="3" t="s">
        <v>197</v>
      </c>
      <c r="AAZ47" s="3" t="s">
        <v>198</v>
      </c>
      <c r="ABA47" s="2" t="s">
        <v>195</v>
      </c>
      <c r="ABB47" s="3" t="s">
        <v>196</v>
      </c>
      <c r="ABC47" s="3" t="s">
        <v>180</v>
      </c>
      <c r="ABD47" s="3" t="s">
        <v>26</v>
      </c>
      <c r="ABE47" s="3" t="s">
        <v>197</v>
      </c>
      <c r="ABH47" s="3" t="s">
        <v>198</v>
      </c>
      <c r="ABI47" s="2" t="s">
        <v>195</v>
      </c>
      <c r="ABJ47" s="3" t="s">
        <v>196</v>
      </c>
      <c r="ABK47" s="3" t="s">
        <v>180</v>
      </c>
      <c r="ABL47" s="3" t="s">
        <v>26</v>
      </c>
      <c r="ABM47" s="3" t="s">
        <v>197</v>
      </c>
      <c r="ABP47" s="3" t="s">
        <v>198</v>
      </c>
      <c r="ABQ47" s="2" t="s">
        <v>195</v>
      </c>
      <c r="ABR47" s="3" t="s">
        <v>196</v>
      </c>
      <c r="ABS47" s="3" t="s">
        <v>180</v>
      </c>
      <c r="ABT47" s="3" t="s">
        <v>26</v>
      </c>
      <c r="ABU47" s="3" t="s">
        <v>197</v>
      </c>
      <c r="ABX47" s="3" t="s">
        <v>198</v>
      </c>
      <c r="ABY47" s="2" t="s">
        <v>195</v>
      </c>
      <c r="ABZ47" s="3" t="s">
        <v>196</v>
      </c>
      <c r="ACA47" s="3" t="s">
        <v>180</v>
      </c>
      <c r="ACB47" s="3" t="s">
        <v>26</v>
      </c>
      <c r="ACC47" s="3" t="s">
        <v>197</v>
      </c>
      <c r="ACF47" s="3" t="s">
        <v>198</v>
      </c>
      <c r="ACG47" s="2" t="s">
        <v>195</v>
      </c>
      <c r="ACH47" s="3" t="s">
        <v>196</v>
      </c>
      <c r="ACI47" s="3" t="s">
        <v>180</v>
      </c>
      <c r="ACJ47" s="3" t="s">
        <v>26</v>
      </c>
      <c r="ACK47" s="3" t="s">
        <v>197</v>
      </c>
      <c r="ACN47" s="3" t="s">
        <v>198</v>
      </c>
      <c r="ACO47" s="2" t="s">
        <v>195</v>
      </c>
      <c r="ACP47" s="3" t="s">
        <v>196</v>
      </c>
      <c r="ACQ47" s="3" t="s">
        <v>180</v>
      </c>
      <c r="ACR47" s="3" t="s">
        <v>26</v>
      </c>
      <c r="ACS47" s="3" t="s">
        <v>197</v>
      </c>
      <c r="ACV47" s="3" t="s">
        <v>198</v>
      </c>
      <c r="ACW47" s="2" t="s">
        <v>195</v>
      </c>
      <c r="ACX47" s="3" t="s">
        <v>196</v>
      </c>
      <c r="ACY47" s="3" t="s">
        <v>180</v>
      </c>
      <c r="ACZ47" s="3" t="s">
        <v>26</v>
      </c>
      <c r="ADA47" s="3" t="s">
        <v>197</v>
      </c>
      <c r="ADD47" s="3" t="s">
        <v>198</v>
      </c>
      <c r="ADE47" s="2" t="s">
        <v>195</v>
      </c>
      <c r="ADF47" s="3" t="s">
        <v>196</v>
      </c>
      <c r="ADG47" s="3" t="s">
        <v>180</v>
      </c>
      <c r="ADH47" s="3" t="s">
        <v>26</v>
      </c>
      <c r="ADI47" s="3" t="s">
        <v>197</v>
      </c>
      <c r="ADL47" s="3" t="s">
        <v>198</v>
      </c>
      <c r="ADM47" s="2" t="s">
        <v>195</v>
      </c>
      <c r="ADN47" s="3" t="s">
        <v>196</v>
      </c>
      <c r="ADO47" s="3" t="s">
        <v>180</v>
      </c>
      <c r="ADP47" s="3" t="s">
        <v>26</v>
      </c>
      <c r="ADQ47" s="3" t="s">
        <v>197</v>
      </c>
      <c r="ADT47" s="3" t="s">
        <v>198</v>
      </c>
      <c r="ADU47" s="2" t="s">
        <v>195</v>
      </c>
      <c r="ADV47" s="3" t="s">
        <v>196</v>
      </c>
      <c r="ADW47" s="3" t="s">
        <v>180</v>
      </c>
      <c r="ADX47" s="3" t="s">
        <v>26</v>
      </c>
      <c r="ADY47" s="3" t="s">
        <v>197</v>
      </c>
      <c r="AEB47" s="3" t="s">
        <v>198</v>
      </c>
      <c r="AEC47" s="2" t="s">
        <v>195</v>
      </c>
      <c r="AED47" s="3" t="s">
        <v>196</v>
      </c>
      <c r="AEE47" s="3" t="s">
        <v>180</v>
      </c>
      <c r="AEF47" s="3" t="s">
        <v>26</v>
      </c>
      <c r="AEG47" s="3" t="s">
        <v>197</v>
      </c>
      <c r="AEJ47" s="3" t="s">
        <v>198</v>
      </c>
      <c r="AEK47" s="2" t="s">
        <v>195</v>
      </c>
      <c r="AEL47" s="3" t="s">
        <v>196</v>
      </c>
      <c r="AEM47" s="3" t="s">
        <v>180</v>
      </c>
      <c r="AEN47" s="3" t="s">
        <v>26</v>
      </c>
      <c r="AEO47" s="3" t="s">
        <v>197</v>
      </c>
      <c r="AER47" s="3" t="s">
        <v>198</v>
      </c>
      <c r="AES47" s="2" t="s">
        <v>195</v>
      </c>
      <c r="AET47" s="3" t="s">
        <v>196</v>
      </c>
      <c r="AEU47" s="3" t="s">
        <v>180</v>
      </c>
      <c r="AEV47" s="3" t="s">
        <v>26</v>
      </c>
      <c r="AEW47" s="3" t="s">
        <v>197</v>
      </c>
      <c r="AEZ47" s="3" t="s">
        <v>198</v>
      </c>
      <c r="AFA47" s="2" t="s">
        <v>195</v>
      </c>
      <c r="AFB47" s="3" t="s">
        <v>196</v>
      </c>
      <c r="AFC47" s="3" t="s">
        <v>180</v>
      </c>
      <c r="AFD47" s="3" t="s">
        <v>26</v>
      </c>
      <c r="AFE47" s="3" t="s">
        <v>197</v>
      </c>
      <c r="AFH47" s="3" t="s">
        <v>198</v>
      </c>
      <c r="AFI47" s="2" t="s">
        <v>195</v>
      </c>
      <c r="AFJ47" s="3" t="s">
        <v>196</v>
      </c>
      <c r="AFK47" s="3" t="s">
        <v>180</v>
      </c>
      <c r="AFL47" s="3" t="s">
        <v>26</v>
      </c>
      <c r="AFM47" s="3" t="s">
        <v>197</v>
      </c>
      <c r="AFP47" s="3" t="s">
        <v>198</v>
      </c>
      <c r="AFQ47" s="2" t="s">
        <v>195</v>
      </c>
      <c r="AFR47" s="3" t="s">
        <v>196</v>
      </c>
      <c r="AFS47" s="3" t="s">
        <v>180</v>
      </c>
      <c r="AFT47" s="3" t="s">
        <v>26</v>
      </c>
      <c r="AFU47" s="3" t="s">
        <v>197</v>
      </c>
      <c r="AFX47" s="3" t="s">
        <v>198</v>
      </c>
      <c r="AFY47" s="2" t="s">
        <v>195</v>
      </c>
      <c r="AFZ47" s="3" t="s">
        <v>196</v>
      </c>
      <c r="AGA47" s="3" t="s">
        <v>180</v>
      </c>
      <c r="AGB47" s="3" t="s">
        <v>26</v>
      </c>
      <c r="AGC47" s="3" t="s">
        <v>197</v>
      </c>
      <c r="AGF47" s="3" t="s">
        <v>198</v>
      </c>
      <c r="AGG47" s="2" t="s">
        <v>195</v>
      </c>
      <c r="AGH47" s="3" t="s">
        <v>196</v>
      </c>
      <c r="AGI47" s="3" t="s">
        <v>180</v>
      </c>
      <c r="AGJ47" s="3" t="s">
        <v>26</v>
      </c>
      <c r="AGK47" s="3" t="s">
        <v>197</v>
      </c>
      <c r="AGN47" s="3" t="s">
        <v>198</v>
      </c>
      <c r="AGO47" s="2" t="s">
        <v>195</v>
      </c>
      <c r="AGP47" s="3" t="s">
        <v>196</v>
      </c>
      <c r="AGQ47" s="3" t="s">
        <v>180</v>
      </c>
      <c r="AGR47" s="3" t="s">
        <v>26</v>
      </c>
      <c r="AGS47" s="3" t="s">
        <v>197</v>
      </c>
      <c r="AGV47" s="3" t="s">
        <v>198</v>
      </c>
      <c r="AGW47" s="2" t="s">
        <v>195</v>
      </c>
      <c r="AGX47" s="3" t="s">
        <v>196</v>
      </c>
      <c r="AGY47" s="3" t="s">
        <v>180</v>
      </c>
      <c r="AGZ47" s="3" t="s">
        <v>26</v>
      </c>
      <c r="AHA47" s="3" t="s">
        <v>197</v>
      </c>
      <c r="AHD47" s="3" t="s">
        <v>198</v>
      </c>
      <c r="AHE47" s="2" t="s">
        <v>195</v>
      </c>
      <c r="AHF47" s="3" t="s">
        <v>196</v>
      </c>
      <c r="AHG47" s="3" t="s">
        <v>180</v>
      </c>
      <c r="AHH47" s="3" t="s">
        <v>26</v>
      </c>
      <c r="AHI47" s="3" t="s">
        <v>197</v>
      </c>
      <c r="AHL47" s="3" t="s">
        <v>198</v>
      </c>
      <c r="AHM47" s="2" t="s">
        <v>195</v>
      </c>
      <c r="AHN47" s="3" t="s">
        <v>196</v>
      </c>
      <c r="AHO47" s="3" t="s">
        <v>180</v>
      </c>
      <c r="AHP47" s="3" t="s">
        <v>26</v>
      </c>
      <c r="AHQ47" s="3" t="s">
        <v>197</v>
      </c>
      <c r="AHT47" s="3" t="s">
        <v>198</v>
      </c>
      <c r="AHU47" s="2" t="s">
        <v>195</v>
      </c>
      <c r="AHV47" s="3" t="s">
        <v>196</v>
      </c>
      <c r="AHW47" s="3" t="s">
        <v>180</v>
      </c>
      <c r="AHX47" s="3" t="s">
        <v>26</v>
      </c>
      <c r="AHY47" s="3" t="s">
        <v>197</v>
      </c>
      <c r="AIB47" s="3" t="s">
        <v>198</v>
      </c>
      <c r="AIC47" s="2" t="s">
        <v>195</v>
      </c>
      <c r="AID47" s="3" t="s">
        <v>196</v>
      </c>
      <c r="AIE47" s="3" t="s">
        <v>180</v>
      </c>
      <c r="AIF47" s="3" t="s">
        <v>26</v>
      </c>
      <c r="AIG47" s="3" t="s">
        <v>197</v>
      </c>
      <c r="AIJ47" s="3" t="s">
        <v>198</v>
      </c>
      <c r="AIK47" s="2" t="s">
        <v>195</v>
      </c>
      <c r="AIL47" s="3" t="s">
        <v>196</v>
      </c>
      <c r="AIM47" s="3" t="s">
        <v>180</v>
      </c>
      <c r="AIN47" s="3" t="s">
        <v>26</v>
      </c>
      <c r="AIO47" s="3" t="s">
        <v>197</v>
      </c>
      <c r="AIR47" s="3" t="s">
        <v>198</v>
      </c>
      <c r="AIS47" s="2" t="s">
        <v>195</v>
      </c>
      <c r="AIT47" s="3" t="s">
        <v>196</v>
      </c>
      <c r="AIU47" s="3" t="s">
        <v>180</v>
      </c>
      <c r="AIV47" s="3" t="s">
        <v>26</v>
      </c>
      <c r="AIW47" s="3" t="s">
        <v>197</v>
      </c>
      <c r="AIZ47" s="3" t="s">
        <v>198</v>
      </c>
      <c r="AJA47" s="2" t="s">
        <v>195</v>
      </c>
      <c r="AJB47" s="3" t="s">
        <v>196</v>
      </c>
      <c r="AJC47" s="3" t="s">
        <v>180</v>
      </c>
      <c r="AJD47" s="3" t="s">
        <v>26</v>
      </c>
      <c r="AJE47" s="3" t="s">
        <v>197</v>
      </c>
      <c r="AJH47" s="3" t="s">
        <v>198</v>
      </c>
      <c r="AJI47" s="2" t="s">
        <v>195</v>
      </c>
      <c r="AJJ47" s="3" t="s">
        <v>196</v>
      </c>
      <c r="AJK47" s="3" t="s">
        <v>180</v>
      </c>
      <c r="AJL47" s="3" t="s">
        <v>26</v>
      </c>
      <c r="AJM47" s="3" t="s">
        <v>197</v>
      </c>
      <c r="AJP47" s="3" t="s">
        <v>198</v>
      </c>
      <c r="AJQ47" s="2" t="s">
        <v>195</v>
      </c>
      <c r="AJR47" s="3" t="s">
        <v>196</v>
      </c>
      <c r="AJS47" s="3" t="s">
        <v>180</v>
      </c>
      <c r="AJT47" s="3" t="s">
        <v>26</v>
      </c>
      <c r="AJU47" s="3" t="s">
        <v>197</v>
      </c>
      <c r="AJX47" s="3" t="s">
        <v>198</v>
      </c>
      <c r="AJY47" s="2" t="s">
        <v>195</v>
      </c>
      <c r="AJZ47" s="3" t="s">
        <v>196</v>
      </c>
      <c r="AKA47" s="3" t="s">
        <v>180</v>
      </c>
      <c r="AKB47" s="3" t="s">
        <v>26</v>
      </c>
      <c r="AKC47" s="3" t="s">
        <v>197</v>
      </c>
      <c r="AKF47" s="3" t="s">
        <v>198</v>
      </c>
      <c r="AKG47" s="2" t="s">
        <v>195</v>
      </c>
      <c r="AKH47" s="3" t="s">
        <v>196</v>
      </c>
      <c r="AKI47" s="3" t="s">
        <v>180</v>
      </c>
      <c r="AKJ47" s="3" t="s">
        <v>26</v>
      </c>
      <c r="AKK47" s="3" t="s">
        <v>197</v>
      </c>
      <c r="AKN47" s="3" t="s">
        <v>198</v>
      </c>
      <c r="AKO47" s="2" t="s">
        <v>195</v>
      </c>
      <c r="AKP47" s="3" t="s">
        <v>196</v>
      </c>
      <c r="AKQ47" s="3" t="s">
        <v>180</v>
      </c>
      <c r="AKR47" s="3" t="s">
        <v>26</v>
      </c>
      <c r="AKS47" s="3" t="s">
        <v>197</v>
      </c>
      <c r="AKV47" s="3" t="s">
        <v>198</v>
      </c>
      <c r="AKW47" s="2" t="s">
        <v>195</v>
      </c>
      <c r="AKX47" s="3" t="s">
        <v>196</v>
      </c>
      <c r="AKY47" s="3" t="s">
        <v>180</v>
      </c>
      <c r="AKZ47" s="3" t="s">
        <v>26</v>
      </c>
      <c r="ALA47" s="3" t="s">
        <v>197</v>
      </c>
      <c r="ALD47" s="3" t="s">
        <v>198</v>
      </c>
      <c r="ALE47" s="2" t="s">
        <v>195</v>
      </c>
      <c r="ALF47" s="3" t="s">
        <v>196</v>
      </c>
      <c r="ALG47" s="3" t="s">
        <v>180</v>
      </c>
      <c r="ALH47" s="3" t="s">
        <v>26</v>
      </c>
      <c r="ALI47" s="3" t="s">
        <v>197</v>
      </c>
      <c r="ALL47" s="3" t="s">
        <v>198</v>
      </c>
      <c r="ALM47" s="2" t="s">
        <v>195</v>
      </c>
      <c r="ALN47" s="3" t="s">
        <v>196</v>
      </c>
      <c r="ALO47" s="3" t="s">
        <v>180</v>
      </c>
      <c r="ALP47" s="3" t="s">
        <v>26</v>
      </c>
      <c r="ALQ47" s="3" t="s">
        <v>197</v>
      </c>
      <c r="ALT47" s="3" t="s">
        <v>198</v>
      </c>
      <c r="ALU47" s="2" t="s">
        <v>195</v>
      </c>
      <c r="ALV47" s="3" t="s">
        <v>196</v>
      </c>
      <c r="ALW47" s="3" t="s">
        <v>180</v>
      </c>
      <c r="ALX47" s="3" t="s">
        <v>26</v>
      </c>
      <c r="ALY47" s="3" t="s">
        <v>197</v>
      </c>
      <c r="AMB47" s="3" t="s">
        <v>198</v>
      </c>
      <c r="AMC47" s="2" t="s">
        <v>195</v>
      </c>
      <c r="AMD47" s="3" t="s">
        <v>196</v>
      </c>
      <c r="AME47" s="3" t="s">
        <v>180</v>
      </c>
      <c r="AMF47" s="3" t="s">
        <v>26</v>
      </c>
      <c r="AMG47" s="3" t="s">
        <v>197</v>
      </c>
      <c r="AMJ47" s="3" t="s">
        <v>198</v>
      </c>
      <c r="AMK47" s="2" t="s">
        <v>195</v>
      </c>
      <c r="AML47" s="3" t="s">
        <v>196</v>
      </c>
      <c r="AMM47" s="3" t="s">
        <v>180</v>
      </c>
      <c r="AMN47" s="3" t="s">
        <v>26</v>
      </c>
      <c r="AMO47" s="3" t="s">
        <v>197</v>
      </c>
      <c r="AMR47" s="3" t="s">
        <v>198</v>
      </c>
      <c r="AMS47" s="2" t="s">
        <v>195</v>
      </c>
      <c r="AMT47" s="3" t="s">
        <v>196</v>
      </c>
      <c r="AMU47" s="3" t="s">
        <v>180</v>
      </c>
      <c r="AMV47" s="3" t="s">
        <v>26</v>
      </c>
      <c r="AMW47" s="3" t="s">
        <v>197</v>
      </c>
      <c r="AMZ47" s="3" t="s">
        <v>198</v>
      </c>
      <c r="ANA47" s="2" t="s">
        <v>195</v>
      </c>
      <c r="ANB47" s="3" t="s">
        <v>196</v>
      </c>
      <c r="ANC47" s="3" t="s">
        <v>180</v>
      </c>
      <c r="AND47" s="3" t="s">
        <v>26</v>
      </c>
      <c r="ANE47" s="3" t="s">
        <v>197</v>
      </c>
      <c r="ANH47" s="3" t="s">
        <v>198</v>
      </c>
      <c r="ANI47" s="2" t="s">
        <v>195</v>
      </c>
      <c r="ANJ47" s="3" t="s">
        <v>196</v>
      </c>
      <c r="ANK47" s="3" t="s">
        <v>180</v>
      </c>
      <c r="ANL47" s="3" t="s">
        <v>26</v>
      </c>
      <c r="ANM47" s="3" t="s">
        <v>197</v>
      </c>
      <c r="ANP47" s="3" t="s">
        <v>198</v>
      </c>
      <c r="ANQ47" s="2" t="s">
        <v>195</v>
      </c>
      <c r="ANR47" s="3" t="s">
        <v>196</v>
      </c>
      <c r="ANS47" s="3" t="s">
        <v>180</v>
      </c>
      <c r="ANT47" s="3" t="s">
        <v>26</v>
      </c>
      <c r="ANU47" s="3" t="s">
        <v>197</v>
      </c>
      <c r="ANX47" s="3" t="s">
        <v>198</v>
      </c>
      <c r="ANY47" s="2" t="s">
        <v>195</v>
      </c>
      <c r="ANZ47" s="3" t="s">
        <v>196</v>
      </c>
      <c r="AOA47" s="3" t="s">
        <v>180</v>
      </c>
      <c r="AOB47" s="3" t="s">
        <v>26</v>
      </c>
      <c r="AOC47" s="3" t="s">
        <v>197</v>
      </c>
      <c r="AOF47" s="3" t="s">
        <v>198</v>
      </c>
      <c r="AOG47" s="2" t="s">
        <v>195</v>
      </c>
      <c r="AOH47" s="3" t="s">
        <v>196</v>
      </c>
      <c r="AOI47" s="3" t="s">
        <v>180</v>
      </c>
      <c r="AOJ47" s="3" t="s">
        <v>26</v>
      </c>
      <c r="AOK47" s="3" t="s">
        <v>197</v>
      </c>
      <c r="AON47" s="3" t="s">
        <v>198</v>
      </c>
      <c r="AOO47" s="2" t="s">
        <v>195</v>
      </c>
      <c r="AOP47" s="3" t="s">
        <v>196</v>
      </c>
      <c r="AOQ47" s="3" t="s">
        <v>180</v>
      </c>
      <c r="AOR47" s="3" t="s">
        <v>26</v>
      </c>
      <c r="AOS47" s="3" t="s">
        <v>197</v>
      </c>
      <c r="AOV47" s="3" t="s">
        <v>198</v>
      </c>
      <c r="AOW47" s="2" t="s">
        <v>195</v>
      </c>
      <c r="AOX47" s="3" t="s">
        <v>196</v>
      </c>
      <c r="AOY47" s="3" t="s">
        <v>180</v>
      </c>
      <c r="AOZ47" s="3" t="s">
        <v>26</v>
      </c>
      <c r="APA47" s="3" t="s">
        <v>197</v>
      </c>
      <c r="APD47" s="3" t="s">
        <v>198</v>
      </c>
      <c r="APE47" s="2" t="s">
        <v>195</v>
      </c>
      <c r="APF47" s="3" t="s">
        <v>196</v>
      </c>
      <c r="APG47" s="3" t="s">
        <v>180</v>
      </c>
      <c r="APH47" s="3" t="s">
        <v>26</v>
      </c>
      <c r="API47" s="3" t="s">
        <v>197</v>
      </c>
      <c r="APL47" s="3" t="s">
        <v>198</v>
      </c>
      <c r="APM47" s="2" t="s">
        <v>195</v>
      </c>
      <c r="APN47" s="3" t="s">
        <v>196</v>
      </c>
      <c r="APO47" s="3" t="s">
        <v>180</v>
      </c>
      <c r="APP47" s="3" t="s">
        <v>26</v>
      </c>
      <c r="APQ47" s="3" t="s">
        <v>197</v>
      </c>
      <c r="APT47" s="3" t="s">
        <v>198</v>
      </c>
      <c r="APU47" s="2" t="s">
        <v>195</v>
      </c>
      <c r="APV47" s="3" t="s">
        <v>196</v>
      </c>
      <c r="APW47" s="3" t="s">
        <v>180</v>
      </c>
      <c r="APX47" s="3" t="s">
        <v>26</v>
      </c>
      <c r="APY47" s="3" t="s">
        <v>197</v>
      </c>
      <c r="AQB47" s="3" t="s">
        <v>198</v>
      </c>
      <c r="AQC47" s="2" t="s">
        <v>195</v>
      </c>
      <c r="AQD47" s="3" t="s">
        <v>196</v>
      </c>
      <c r="AQE47" s="3" t="s">
        <v>180</v>
      </c>
      <c r="AQF47" s="3" t="s">
        <v>26</v>
      </c>
      <c r="AQG47" s="3" t="s">
        <v>197</v>
      </c>
      <c r="AQJ47" s="3" t="s">
        <v>198</v>
      </c>
      <c r="AQK47" s="2" t="s">
        <v>195</v>
      </c>
      <c r="AQL47" s="3" t="s">
        <v>196</v>
      </c>
      <c r="AQM47" s="3" t="s">
        <v>180</v>
      </c>
      <c r="AQN47" s="3" t="s">
        <v>26</v>
      </c>
      <c r="AQO47" s="3" t="s">
        <v>197</v>
      </c>
      <c r="AQR47" s="3" t="s">
        <v>198</v>
      </c>
      <c r="AQS47" s="2" t="s">
        <v>195</v>
      </c>
      <c r="AQT47" s="3" t="s">
        <v>196</v>
      </c>
      <c r="AQU47" s="3" t="s">
        <v>180</v>
      </c>
      <c r="AQV47" s="3" t="s">
        <v>26</v>
      </c>
      <c r="AQW47" s="3" t="s">
        <v>197</v>
      </c>
      <c r="AQZ47" s="3" t="s">
        <v>198</v>
      </c>
      <c r="ARA47" s="2" t="s">
        <v>195</v>
      </c>
      <c r="ARB47" s="3" t="s">
        <v>196</v>
      </c>
      <c r="ARC47" s="3" t="s">
        <v>180</v>
      </c>
      <c r="ARD47" s="3" t="s">
        <v>26</v>
      </c>
      <c r="ARE47" s="3" t="s">
        <v>197</v>
      </c>
      <c r="ARH47" s="3" t="s">
        <v>198</v>
      </c>
      <c r="ARI47" s="2" t="s">
        <v>195</v>
      </c>
      <c r="ARJ47" s="3" t="s">
        <v>196</v>
      </c>
      <c r="ARK47" s="3" t="s">
        <v>180</v>
      </c>
      <c r="ARL47" s="3" t="s">
        <v>26</v>
      </c>
      <c r="ARM47" s="3" t="s">
        <v>197</v>
      </c>
      <c r="ARP47" s="3" t="s">
        <v>198</v>
      </c>
      <c r="ARQ47" s="2" t="s">
        <v>195</v>
      </c>
      <c r="ARR47" s="3" t="s">
        <v>196</v>
      </c>
      <c r="ARS47" s="3" t="s">
        <v>180</v>
      </c>
      <c r="ART47" s="3" t="s">
        <v>26</v>
      </c>
      <c r="ARU47" s="3" t="s">
        <v>197</v>
      </c>
      <c r="ARX47" s="3" t="s">
        <v>198</v>
      </c>
      <c r="ARY47" s="2" t="s">
        <v>195</v>
      </c>
      <c r="ARZ47" s="3" t="s">
        <v>196</v>
      </c>
      <c r="ASA47" s="3" t="s">
        <v>180</v>
      </c>
      <c r="ASB47" s="3" t="s">
        <v>26</v>
      </c>
      <c r="ASC47" s="3" t="s">
        <v>197</v>
      </c>
      <c r="ASF47" s="3" t="s">
        <v>198</v>
      </c>
      <c r="ASG47" s="2" t="s">
        <v>195</v>
      </c>
      <c r="ASH47" s="3" t="s">
        <v>196</v>
      </c>
      <c r="ASI47" s="3" t="s">
        <v>180</v>
      </c>
      <c r="ASJ47" s="3" t="s">
        <v>26</v>
      </c>
      <c r="ASK47" s="3" t="s">
        <v>197</v>
      </c>
      <c r="ASN47" s="3" t="s">
        <v>198</v>
      </c>
      <c r="ASO47" s="2" t="s">
        <v>195</v>
      </c>
      <c r="ASP47" s="3" t="s">
        <v>196</v>
      </c>
      <c r="ASQ47" s="3" t="s">
        <v>180</v>
      </c>
      <c r="ASR47" s="3" t="s">
        <v>26</v>
      </c>
      <c r="ASS47" s="3" t="s">
        <v>197</v>
      </c>
      <c r="ASV47" s="3" t="s">
        <v>198</v>
      </c>
      <c r="ASW47" s="2" t="s">
        <v>195</v>
      </c>
      <c r="ASX47" s="3" t="s">
        <v>196</v>
      </c>
      <c r="ASY47" s="3" t="s">
        <v>180</v>
      </c>
      <c r="ASZ47" s="3" t="s">
        <v>26</v>
      </c>
      <c r="ATA47" s="3" t="s">
        <v>197</v>
      </c>
      <c r="ATD47" s="3" t="s">
        <v>198</v>
      </c>
      <c r="ATE47" s="2" t="s">
        <v>195</v>
      </c>
      <c r="ATF47" s="3" t="s">
        <v>196</v>
      </c>
      <c r="ATG47" s="3" t="s">
        <v>180</v>
      </c>
      <c r="ATH47" s="3" t="s">
        <v>26</v>
      </c>
      <c r="ATI47" s="3" t="s">
        <v>197</v>
      </c>
      <c r="ATL47" s="3" t="s">
        <v>198</v>
      </c>
      <c r="ATM47" s="2" t="s">
        <v>195</v>
      </c>
      <c r="ATN47" s="3" t="s">
        <v>196</v>
      </c>
      <c r="ATO47" s="3" t="s">
        <v>180</v>
      </c>
      <c r="ATP47" s="3" t="s">
        <v>26</v>
      </c>
      <c r="ATQ47" s="3" t="s">
        <v>197</v>
      </c>
      <c r="ATT47" s="3" t="s">
        <v>198</v>
      </c>
      <c r="ATU47" s="2" t="s">
        <v>195</v>
      </c>
      <c r="ATV47" s="3" t="s">
        <v>196</v>
      </c>
      <c r="ATW47" s="3" t="s">
        <v>180</v>
      </c>
      <c r="ATX47" s="3" t="s">
        <v>26</v>
      </c>
      <c r="ATY47" s="3" t="s">
        <v>197</v>
      </c>
      <c r="AUB47" s="3" t="s">
        <v>198</v>
      </c>
      <c r="AUC47" s="2" t="s">
        <v>195</v>
      </c>
      <c r="AUD47" s="3" t="s">
        <v>196</v>
      </c>
      <c r="AUE47" s="3" t="s">
        <v>180</v>
      </c>
      <c r="AUF47" s="3" t="s">
        <v>26</v>
      </c>
      <c r="AUG47" s="3" t="s">
        <v>197</v>
      </c>
      <c r="AUJ47" s="3" t="s">
        <v>198</v>
      </c>
      <c r="AUK47" s="2" t="s">
        <v>195</v>
      </c>
      <c r="AUL47" s="3" t="s">
        <v>196</v>
      </c>
      <c r="AUM47" s="3" t="s">
        <v>180</v>
      </c>
      <c r="AUN47" s="3" t="s">
        <v>26</v>
      </c>
      <c r="AUO47" s="3" t="s">
        <v>197</v>
      </c>
      <c r="AUR47" s="3" t="s">
        <v>198</v>
      </c>
      <c r="AUS47" s="2" t="s">
        <v>195</v>
      </c>
      <c r="AUT47" s="3" t="s">
        <v>196</v>
      </c>
      <c r="AUU47" s="3" t="s">
        <v>180</v>
      </c>
      <c r="AUV47" s="3" t="s">
        <v>26</v>
      </c>
      <c r="AUW47" s="3" t="s">
        <v>197</v>
      </c>
      <c r="AUZ47" s="3" t="s">
        <v>198</v>
      </c>
      <c r="AVA47" s="2" t="s">
        <v>195</v>
      </c>
      <c r="AVB47" s="3" t="s">
        <v>196</v>
      </c>
      <c r="AVC47" s="3" t="s">
        <v>180</v>
      </c>
      <c r="AVD47" s="3" t="s">
        <v>26</v>
      </c>
      <c r="AVE47" s="3" t="s">
        <v>197</v>
      </c>
      <c r="AVH47" s="3" t="s">
        <v>198</v>
      </c>
      <c r="AVI47" s="2" t="s">
        <v>195</v>
      </c>
      <c r="AVJ47" s="3" t="s">
        <v>196</v>
      </c>
      <c r="AVK47" s="3" t="s">
        <v>180</v>
      </c>
      <c r="AVL47" s="3" t="s">
        <v>26</v>
      </c>
      <c r="AVM47" s="3" t="s">
        <v>197</v>
      </c>
      <c r="AVP47" s="3" t="s">
        <v>198</v>
      </c>
      <c r="AVQ47" s="2" t="s">
        <v>195</v>
      </c>
      <c r="AVR47" s="3" t="s">
        <v>196</v>
      </c>
      <c r="AVS47" s="3" t="s">
        <v>180</v>
      </c>
      <c r="AVT47" s="3" t="s">
        <v>26</v>
      </c>
      <c r="AVU47" s="3" t="s">
        <v>197</v>
      </c>
      <c r="AVX47" s="3" t="s">
        <v>198</v>
      </c>
      <c r="AVY47" s="2" t="s">
        <v>195</v>
      </c>
      <c r="AVZ47" s="3" t="s">
        <v>196</v>
      </c>
      <c r="AWA47" s="3" t="s">
        <v>180</v>
      </c>
      <c r="AWB47" s="3" t="s">
        <v>26</v>
      </c>
      <c r="AWC47" s="3" t="s">
        <v>197</v>
      </c>
      <c r="AWF47" s="3" t="s">
        <v>198</v>
      </c>
      <c r="AWG47" s="2" t="s">
        <v>195</v>
      </c>
      <c r="AWH47" s="3" t="s">
        <v>196</v>
      </c>
      <c r="AWI47" s="3" t="s">
        <v>180</v>
      </c>
      <c r="AWJ47" s="3" t="s">
        <v>26</v>
      </c>
      <c r="AWK47" s="3" t="s">
        <v>197</v>
      </c>
      <c r="AWN47" s="3" t="s">
        <v>198</v>
      </c>
      <c r="AWO47" s="2" t="s">
        <v>195</v>
      </c>
      <c r="AWP47" s="3" t="s">
        <v>196</v>
      </c>
      <c r="AWQ47" s="3" t="s">
        <v>180</v>
      </c>
      <c r="AWR47" s="3" t="s">
        <v>26</v>
      </c>
      <c r="AWS47" s="3" t="s">
        <v>197</v>
      </c>
      <c r="AWV47" s="3" t="s">
        <v>198</v>
      </c>
      <c r="AWW47" s="2" t="s">
        <v>195</v>
      </c>
      <c r="AWX47" s="3" t="s">
        <v>196</v>
      </c>
      <c r="AWY47" s="3" t="s">
        <v>180</v>
      </c>
      <c r="AWZ47" s="3" t="s">
        <v>26</v>
      </c>
      <c r="AXA47" s="3" t="s">
        <v>197</v>
      </c>
      <c r="AXD47" s="3" t="s">
        <v>198</v>
      </c>
      <c r="AXE47" s="2" t="s">
        <v>195</v>
      </c>
      <c r="AXF47" s="3" t="s">
        <v>196</v>
      </c>
      <c r="AXG47" s="3" t="s">
        <v>180</v>
      </c>
      <c r="AXH47" s="3" t="s">
        <v>26</v>
      </c>
      <c r="AXI47" s="3" t="s">
        <v>197</v>
      </c>
      <c r="AXL47" s="3" t="s">
        <v>198</v>
      </c>
      <c r="AXM47" s="2" t="s">
        <v>195</v>
      </c>
      <c r="AXN47" s="3" t="s">
        <v>196</v>
      </c>
      <c r="AXO47" s="3" t="s">
        <v>180</v>
      </c>
      <c r="AXP47" s="3" t="s">
        <v>26</v>
      </c>
      <c r="AXQ47" s="3" t="s">
        <v>197</v>
      </c>
      <c r="AXT47" s="3" t="s">
        <v>198</v>
      </c>
      <c r="AXU47" s="2" t="s">
        <v>195</v>
      </c>
      <c r="AXV47" s="3" t="s">
        <v>196</v>
      </c>
      <c r="AXW47" s="3" t="s">
        <v>180</v>
      </c>
      <c r="AXX47" s="3" t="s">
        <v>26</v>
      </c>
      <c r="AXY47" s="3" t="s">
        <v>197</v>
      </c>
      <c r="AYB47" s="3" t="s">
        <v>198</v>
      </c>
      <c r="AYC47" s="2" t="s">
        <v>195</v>
      </c>
      <c r="AYD47" s="3" t="s">
        <v>196</v>
      </c>
      <c r="AYE47" s="3" t="s">
        <v>180</v>
      </c>
      <c r="AYF47" s="3" t="s">
        <v>26</v>
      </c>
      <c r="AYG47" s="3" t="s">
        <v>197</v>
      </c>
      <c r="AYJ47" s="3" t="s">
        <v>198</v>
      </c>
      <c r="AYK47" s="2" t="s">
        <v>195</v>
      </c>
      <c r="AYL47" s="3" t="s">
        <v>196</v>
      </c>
      <c r="AYM47" s="3" t="s">
        <v>180</v>
      </c>
      <c r="AYN47" s="3" t="s">
        <v>26</v>
      </c>
      <c r="AYO47" s="3" t="s">
        <v>197</v>
      </c>
      <c r="AYR47" s="3" t="s">
        <v>198</v>
      </c>
      <c r="AYS47" s="2" t="s">
        <v>195</v>
      </c>
      <c r="AYT47" s="3" t="s">
        <v>196</v>
      </c>
      <c r="AYU47" s="3" t="s">
        <v>180</v>
      </c>
      <c r="AYV47" s="3" t="s">
        <v>26</v>
      </c>
      <c r="AYW47" s="3" t="s">
        <v>197</v>
      </c>
      <c r="AYZ47" s="3" t="s">
        <v>198</v>
      </c>
      <c r="AZA47" s="2" t="s">
        <v>195</v>
      </c>
      <c r="AZB47" s="3" t="s">
        <v>196</v>
      </c>
      <c r="AZC47" s="3" t="s">
        <v>180</v>
      </c>
      <c r="AZD47" s="3" t="s">
        <v>26</v>
      </c>
      <c r="AZE47" s="3" t="s">
        <v>197</v>
      </c>
      <c r="AZH47" s="3" t="s">
        <v>198</v>
      </c>
      <c r="AZI47" s="2" t="s">
        <v>195</v>
      </c>
      <c r="AZJ47" s="3" t="s">
        <v>196</v>
      </c>
      <c r="AZK47" s="3" t="s">
        <v>180</v>
      </c>
      <c r="AZL47" s="3" t="s">
        <v>26</v>
      </c>
      <c r="AZM47" s="3" t="s">
        <v>197</v>
      </c>
      <c r="AZP47" s="3" t="s">
        <v>198</v>
      </c>
      <c r="AZQ47" s="2" t="s">
        <v>195</v>
      </c>
      <c r="AZR47" s="3" t="s">
        <v>196</v>
      </c>
      <c r="AZS47" s="3" t="s">
        <v>180</v>
      </c>
      <c r="AZT47" s="3" t="s">
        <v>26</v>
      </c>
      <c r="AZU47" s="3" t="s">
        <v>197</v>
      </c>
      <c r="AZX47" s="3" t="s">
        <v>198</v>
      </c>
      <c r="AZY47" s="2" t="s">
        <v>195</v>
      </c>
      <c r="AZZ47" s="3" t="s">
        <v>196</v>
      </c>
      <c r="BAA47" s="3" t="s">
        <v>180</v>
      </c>
      <c r="BAB47" s="3" t="s">
        <v>26</v>
      </c>
      <c r="BAC47" s="3" t="s">
        <v>197</v>
      </c>
      <c r="BAF47" s="3" t="s">
        <v>198</v>
      </c>
      <c r="BAG47" s="2" t="s">
        <v>195</v>
      </c>
      <c r="BAH47" s="3" t="s">
        <v>196</v>
      </c>
      <c r="BAI47" s="3" t="s">
        <v>180</v>
      </c>
      <c r="BAJ47" s="3" t="s">
        <v>26</v>
      </c>
      <c r="BAK47" s="3" t="s">
        <v>197</v>
      </c>
      <c r="BAN47" s="3" t="s">
        <v>198</v>
      </c>
      <c r="BAO47" s="2" t="s">
        <v>195</v>
      </c>
      <c r="BAP47" s="3" t="s">
        <v>196</v>
      </c>
      <c r="BAQ47" s="3" t="s">
        <v>180</v>
      </c>
      <c r="BAR47" s="3" t="s">
        <v>26</v>
      </c>
      <c r="BAS47" s="3" t="s">
        <v>197</v>
      </c>
      <c r="BAV47" s="3" t="s">
        <v>198</v>
      </c>
      <c r="BAW47" s="2" t="s">
        <v>195</v>
      </c>
      <c r="BAX47" s="3" t="s">
        <v>196</v>
      </c>
      <c r="BAY47" s="3" t="s">
        <v>180</v>
      </c>
      <c r="BAZ47" s="3" t="s">
        <v>26</v>
      </c>
      <c r="BBA47" s="3" t="s">
        <v>197</v>
      </c>
      <c r="BBD47" s="3" t="s">
        <v>198</v>
      </c>
      <c r="BBE47" s="2" t="s">
        <v>195</v>
      </c>
      <c r="BBF47" s="3" t="s">
        <v>196</v>
      </c>
      <c r="BBG47" s="3" t="s">
        <v>180</v>
      </c>
      <c r="BBH47" s="3" t="s">
        <v>26</v>
      </c>
      <c r="BBI47" s="3" t="s">
        <v>197</v>
      </c>
      <c r="BBL47" s="3" t="s">
        <v>198</v>
      </c>
      <c r="BBM47" s="2" t="s">
        <v>195</v>
      </c>
      <c r="BBN47" s="3" t="s">
        <v>196</v>
      </c>
      <c r="BBO47" s="3" t="s">
        <v>180</v>
      </c>
      <c r="BBP47" s="3" t="s">
        <v>26</v>
      </c>
      <c r="BBQ47" s="3" t="s">
        <v>197</v>
      </c>
      <c r="BBT47" s="3" t="s">
        <v>198</v>
      </c>
      <c r="BBU47" s="2" t="s">
        <v>195</v>
      </c>
      <c r="BBV47" s="3" t="s">
        <v>196</v>
      </c>
      <c r="BBW47" s="3" t="s">
        <v>180</v>
      </c>
      <c r="BBX47" s="3" t="s">
        <v>26</v>
      </c>
      <c r="BBY47" s="3" t="s">
        <v>197</v>
      </c>
      <c r="BCB47" s="3" t="s">
        <v>198</v>
      </c>
      <c r="BCC47" s="2" t="s">
        <v>195</v>
      </c>
      <c r="BCD47" s="3" t="s">
        <v>196</v>
      </c>
      <c r="BCE47" s="3" t="s">
        <v>180</v>
      </c>
      <c r="BCF47" s="3" t="s">
        <v>26</v>
      </c>
      <c r="BCG47" s="3" t="s">
        <v>197</v>
      </c>
      <c r="BCJ47" s="3" t="s">
        <v>198</v>
      </c>
      <c r="BCK47" s="2" t="s">
        <v>195</v>
      </c>
      <c r="BCL47" s="3" t="s">
        <v>196</v>
      </c>
      <c r="BCM47" s="3" t="s">
        <v>180</v>
      </c>
      <c r="BCN47" s="3" t="s">
        <v>26</v>
      </c>
      <c r="BCO47" s="3" t="s">
        <v>197</v>
      </c>
      <c r="BCR47" s="3" t="s">
        <v>198</v>
      </c>
      <c r="BCS47" s="2" t="s">
        <v>195</v>
      </c>
      <c r="BCT47" s="3" t="s">
        <v>196</v>
      </c>
      <c r="BCU47" s="3" t="s">
        <v>180</v>
      </c>
      <c r="BCV47" s="3" t="s">
        <v>26</v>
      </c>
      <c r="BCW47" s="3" t="s">
        <v>197</v>
      </c>
      <c r="BCZ47" s="3" t="s">
        <v>198</v>
      </c>
      <c r="BDA47" s="2" t="s">
        <v>195</v>
      </c>
      <c r="BDB47" s="3" t="s">
        <v>196</v>
      </c>
      <c r="BDC47" s="3" t="s">
        <v>180</v>
      </c>
      <c r="BDD47" s="3" t="s">
        <v>26</v>
      </c>
      <c r="BDE47" s="3" t="s">
        <v>197</v>
      </c>
      <c r="BDH47" s="3" t="s">
        <v>198</v>
      </c>
      <c r="BDI47" s="2" t="s">
        <v>195</v>
      </c>
      <c r="BDJ47" s="3" t="s">
        <v>196</v>
      </c>
      <c r="BDK47" s="3" t="s">
        <v>180</v>
      </c>
      <c r="BDL47" s="3" t="s">
        <v>26</v>
      </c>
      <c r="BDM47" s="3" t="s">
        <v>197</v>
      </c>
      <c r="BDP47" s="3" t="s">
        <v>198</v>
      </c>
      <c r="BDQ47" s="2" t="s">
        <v>195</v>
      </c>
      <c r="BDR47" s="3" t="s">
        <v>196</v>
      </c>
      <c r="BDS47" s="3" t="s">
        <v>180</v>
      </c>
      <c r="BDT47" s="3" t="s">
        <v>26</v>
      </c>
      <c r="BDU47" s="3" t="s">
        <v>197</v>
      </c>
      <c r="BDX47" s="3" t="s">
        <v>198</v>
      </c>
      <c r="BDY47" s="2" t="s">
        <v>195</v>
      </c>
      <c r="BDZ47" s="3" t="s">
        <v>196</v>
      </c>
      <c r="BEA47" s="3" t="s">
        <v>180</v>
      </c>
      <c r="BEB47" s="3" t="s">
        <v>26</v>
      </c>
      <c r="BEC47" s="3" t="s">
        <v>197</v>
      </c>
      <c r="BEF47" s="3" t="s">
        <v>198</v>
      </c>
      <c r="BEG47" s="2" t="s">
        <v>195</v>
      </c>
      <c r="BEH47" s="3" t="s">
        <v>196</v>
      </c>
      <c r="BEI47" s="3" t="s">
        <v>180</v>
      </c>
      <c r="BEJ47" s="3" t="s">
        <v>26</v>
      </c>
      <c r="BEK47" s="3" t="s">
        <v>197</v>
      </c>
      <c r="BEN47" s="3" t="s">
        <v>198</v>
      </c>
      <c r="BEO47" s="2" t="s">
        <v>195</v>
      </c>
      <c r="BEP47" s="3" t="s">
        <v>196</v>
      </c>
      <c r="BEQ47" s="3" t="s">
        <v>180</v>
      </c>
      <c r="BER47" s="3" t="s">
        <v>26</v>
      </c>
      <c r="BES47" s="3" t="s">
        <v>197</v>
      </c>
      <c r="BEV47" s="3" t="s">
        <v>198</v>
      </c>
      <c r="BEW47" s="2" t="s">
        <v>195</v>
      </c>
      <c r="BEX47" s="3" t="s">
        <v>196</v>
      </c>
      <c r="BEY47" s="3" t="s">
        <v>180</v>
      </c>
      <c r="BEZ47" s="3" t="s">
        <v>26</v>
      </c>
      <c r="BFA47" s="3" t="s">
        <v>197</v>
      </c>
      <c r="BFD47" s="3" t="s">
        <v>198</v>
      </c>
      <c r="BFE47" s="2" t="s">
        <v>195</v>
      </c>
      <c r="BFF47" s="3" t="s">
        <v>196</v>
      </c>
      <c r="BFG47" s="3" t="s">
        <v>180</v>
      </c>
      <c r="BFH47" s="3" t="s">
        <v>26</v>
      </c>
      <c r="BFI47" s="3" t="s">
        <v>197</v>
      </c>
      <c r="BFL47" s="3" t="s">
        <v>198</v>
      </c>
      <c r="BFM47" s="2" t="s">
        <v>195</v>
      </c>
      <c r="BFN47" s="3" t="s">
        <v>196</v>
      </c>
      <c r="BFO47" s="3" t="s">
        <v>180</v>
      </c>
      <c r="BFP47" s="3" t="s">
        <v>26</v>
      </c>
      <c r="BFQ47" s="3" t="s">
        <v>197</v>
      </c>
      <c r="BFT47" s="3" t="s">
        <v>198</v>
      </c>
      <c r="BFU47" s="2" t="s">
        <v>195</v>
      </c>
      <c r="BFV47" s="3" t="s">
        <v>196</v>
      </c>
      <c r="BFW47" s="3" t="s">
        <v>180</v>
      </c>
      <c r="BFX47" s="3" t="s">
        <v>26</v>
      </c>
      <c r="BFY47" s="3" t="s">
        <v>197</v>
      </c>
      <c r="BGB47" s="3" t="s">
        <v>198</v>
      </c>
      <c r="BGC47" s="2" t="s">
        <v>195</v>
      </c>
      <c r="BGD47" s="3" t="s">
        <v>196</v>
      </c>
      <c r="BGE47" s="3" t="s">
        <v>180</v>
      </c>
      <c r="BGF47" s="3" t="s">
        <v>26</v>
      </c>
      <c r="BGG47" s="3" t="s">
        <v>197</v>
      </c>
      <c r="BGJ47" s="3" t="s">
        <v>198</v>
      </c>
      <c r="BGK47" s="2" t="s">
        <v>195</v>
      </c>
      <c r="BGL47" s="3" t="s">
        <v>196</v>
      </c>
      <c r="BGM47" s="3" t="s">
        <v>180</v>
      </c>
      <c r="BGN47" s="3" t="s">
        <v>26</v>
      </c>
      <c r="BGO47" s="3" t="s">
        <v>197</v>
      </c>
      <c r="BGR47" s="3" t="s">
        <v>198</v>
      </c>
      <c r="BGS47" s="2" t="s">
        <v>195</v>
      </c>
      <c r="BGT47" s="3" t="s">
        <v>196</v>
      </c>
      <c r="BGU47" s="3" t="s">
        <v>180</v>
      </c>
      <c r="BGV47" s="3" t="s">
        <v>26</v>
      </c>
      <c r="BGW47" s="3" t="s">
        <v>197</v>
      </c>
      <c r="BGZ47" s="3" t="s">
        <v>198</v>
      </c>
      <c r="BHA47" s="2" t="s">
        <v>195</v>
      </c>
      <c r="BHB47" s="3" t="s">
        <v>196</v>
      </c>
      <c r="BHC47" s="3" t="s">
        <v>180</v>
      </c>
      <c r="BHD47" s="3" t="s">
        <v>26</v>
      </c>
      <c r="BHE47" s="3" t="s">
        <v>197</v>
      </c>
      <c r="BHH47" s="3" t="s">
        <v>198</v>
      </c>
      <c r="BHI47" s="2" t="s">
        <v>195</v>
      </c>
      <c r="BHJ47" s="3" t="s">
        <v>196</v>
      </c>
      <c r="BHK47" s="3" t="s">
        <v>180</v>
      </c>
      <c r="BHL47" s="3" t="s">
        <v>26</v>
      </c>
      <c r="BHM47" s="3" t="s">
        <v>197</v>
      </c>
      <c r="BHP47" s="3" t="s">
        <v>198</v>
      </c>
      <c r="BHQ47" s="2" t="s">
        <v>195</v>
      </c>
      <c r="BHR47" s="3" t="s">
        <v>196</v>
      </c>
      <c r="BHS47" s="3" t="s">
        <v>180</v>
      </c>
      <c r="BHT47" s="3" t="s">
        <v>26</v>
      </c>
      <c r="BHU47" s="3" t="s">
        <v>197</v>
      </c>
      <c r="BHX47" s="3" t="s">
        <v>198</v>
      </c>
      <c r="BHY47" s="2" t="s">
        <v>195</v>
      </c>
      <c r="BHZ47" s="3" t="s">
        <v>196</v>
      </c>
      <c r="BIA47" s="3" t="s">
        <v>180</v>
      </c>
      <c r="BIB47" s="3" t="s">
        <v>26</v>
      </c>
      <c r="BIC47" s="3" t="s">
        <v>197</v>
      </c>
      <c r="BIF47" s="3" t="s">
        <v>198</v>
      </c>
      <c r="BIG47" s="2" t="s">
        <v>195</v>
      </c>
      <c r="BIH47" s="3" t="s">
        <v>196</v>
      </c>
      <c r="BII47" s="3" t="s">
        <v>180</v>
      </c>
      <c r="BIJ47" s="3" t="s">
        <v>26</v>
      </c>
      <c r="BIK47" s="3" t="s">
        <v>197</v>
      </c>
      <c r="BIN47" s="3" t="s">
        <v>198</v>
      </c>
      <c r="BIO47" s="2" t="s">
        <v>195</v>
      </c>
      <c r="BIP47" s="3" t="s">
        <v>196</v>
      </c>
      <c r="BIQ47" s="3" t="s">
        <v>180</v>
      </c>
      <c r="BIR47" s="3" t="s">
        <v>26</v>
      </c>
      <c r="BIS47" s="3" t="s">
        <v>197</v>
      </c>
      <c r="BIV47" s="3" t="s">
        <v>198</v>
      </c>
      <c r="BIW47" s="2" t="s">
        <v>195</v>
      </c>
      <c r="BIX47" s="3" t="s">
        <v>196</v>
      </c>
      <c r="BIY47" s="3" t="s">
        <v>180</v>
      </c>
      <c r="BIZ47" s="3" t="s">
        <v>26</v>
      </c>
      <c r="BJA47" s="3" t="s">
        <v>197</v>
      </c>
      <c r="BJD47" s="3" t="s">
        <v>198</v>
      </c>
      <c r="BJE47" s="2" t="s">
        <v>195</v>
      </c>
      <c r="BJF47" s="3" t="s">
        <v>196</v>
      </c>
      <c r="BJG47" s="3" t="s">
        <v>180</v>
      </c>
      <c r="BJH47" s="3" t="s">
        <v>26</v>
      </c>
      <c r="BJI47" s="3" t="s">
        <v>197</v>
      </c>
      <c r="BJL47" s="3" t="s">
        <v>198</v>
      </c>
      <c r="BJM47" s="2" t="s">
        <v>195</v>
      </c>
      <c r="BJN47" s="3" t="s">
        <v>196</v>
      </c>
      <c r="BJO47" s="3" t="s">
        <v>180</v>
      </c>
      <c r="BJP47" s="3" t="s">
        <v>26</v>
      </c>
      <c r="BJQ47" s="3" t="s">
        <v>197</v>
      </c>
      <c r="BJT47" s="3" t="s">
        <v>198</v>
      </c>
      <c r="BJU47" s="2" t="s">
        <v>195</v>
      </c>
      <c r="BJV47" s="3" t="s">
        <v>196</v>
      </c>
      <c r="BJW47" s="3" t="s">
        <v>180</v>
      </c>
      <c r="BJX47" s="3" t="s">
        <v>26</v>
      </c>
      <c r="BJY47" s="3" t="s">
        <v>197</v>
      </c>
      <c r="BKB47" s="3" t="s">
        <v>198</v>
      </c>
      <c r="BKC47" s="2" t="s">
        <v>195</v>
      </c>
      <c r="BKD47" s="3" t="s">
        <v>196</v>
      </c>
      <c r="BKE47" s="3" t="s">
        <v>180</v>
      </c>
      <c r="BKF47" s="3" t="s">
        <v>26</v>
      </c>
      <c r="BKG47" s="3" t="s">
        <v>197</v>
      </c>
      <c r="BKJ47" s="3" t="s">
        <v>198</v>
      </c>
      <c r="BKK47" s="2" t="s">
        <v>195</v>
      </c>
      <c r="BKL47" s="3" t="s">
        <v>196</v>
      </c>
      <c r="BKM47" s="3" t="s">
        <v>180</v>
      </c>
      <c r="BKN47" s="3" t="s">
        <v>26</v>
      </c>
      <c r="BKO47" s="3" t="s">
        <v>197</v>
      </c>
      <c r="BKR47" s="3" t="s">
        <v>198</v>
      </c>
      <c r="BKS47" s="2" t="s">
        <v>195</v>
      </c>
      <c r="BKT47" s="3" t="s">
        <v>196</v>
      </c>
      <c r="BKU47" s="3" t="s">
        <v>180</v>
      </c>
      <c r="BKV47" s="3" t="s">
        <v>26</v>
      </c>
      <c r="BKW47" s="3" t="s">
        <v>197</v>
      </c>
      <c r="BKZ47" s="3" t="s">
        <v>198</v>
      </c>
      <c r="BLA47" s="2" t="s">
        <v>195</v>
      </c>
      <c r="BLB47" s="3" t="s">
        <v>196</v>
      </c>
      <c r="BLC47" s="3" t="s">
        <v>180</v>
      </c>
      <c r="BLD47" s="3" t="s">
        <v>26</v>
      </c>
      <c r="BLE47" s="3" t="s">
        <v>197</v>
      </c>
      <c r="BLH47" s="3" t="s">
        <v>198</v>
      </c>
      <c r="BLI47" s="2" t="s">
        <v>195</v>
      </c>
      <c r="BLJ47" s="3" t="s">
        <v>196</v>
      </c>
      <c r="BLK47" s="3" t="s">
        <v>180</v>
      </c>
      <c r="BLL47" s="3" t="s">
        <v>26</v>
      </c>
      <c r="BLM47" s="3" t="s">
        <v>197</v>
      </c>
      <c r="BLP47" s="3" t="s">
        <v>198</v>
      </c>
      <c r="BLQ47" s="2" t="s">
        <v>195</v>
      </c>
      <c r="BLR47" s="3" t="s">
        <v>196</v>
      </c>
      <c r="BLS47" s="3" t="s">
        <v>180</v>
      </c>
      <c r="BLT47" s="3" t="s">
        <v>26</v>
      </c>
      <c r="BLU47" s="3" t="s">
        <v>197</v>
      </c>
      <c r="BLX47" s="3" t="s">
        <v>198</v>
      </c>
      <c r="BLY47" s="2" t="s">
        <v>195</v>
      </c>
      <c r="BLZ47" s="3" t="s">
        <v>196</v>
      </c>
      <c r="BMA47" s="3" t="s">
        <v>180</v>
      </c>
      <c r="BMB47" s="3" t="s">
        <v>26</v>
      </c>
      <c r="BMC47" s="3" t="s">
        <v>197</v>
      </c>
      <c r="BMF47" s="3" t="s">
        <v>198</v>
      </c>
      <c r="BMG47" s="2" t="s">
        <v>195</v>
      </c>
      <c r="BMH47" s="3" t="s">
        <v>196</v>
      </c>
      <c r="BMI47" s="3" t="s">
        <v>180</v>
      </c>
      <c r="BMJ47" s="3" t="s">
        <v>26</v>
      </c>
      <c r="BMK47" s="3" t="s">
        <v>197</v>
      </c>
      <c r="BMN47" s="3" t="s">
        <v>198</v>
      </c>
      <c r="BMO47" s="2" t="s">
        <v>195</v>
      </c>
      <c r="BMP47" s="3" t="s">
        <v>196</v>
      </c>
      <c r="BMQ47" s="3" t="s">
        <v>180</v>
      </c>
      <c r="BMR47" s="3" t="s">
        <v>26</v>
      </c>
      <c r="BMS47" s="3" t="s">
        <v>197</v>
      </c>
      <c r="BMV47" s="3" t="s">
        <v>198</v>
      </c>
      <c r="BMW47" s="2" t="s">
        <v>195</v>
      </c>
      <c r="BMX47" s="3" t="s">
        <v>196</v>
      </c>
      <c r="BMY47" s="3" t="s">
        <v>180</v>
      </c>
      <c r="BMZ47" s="3" t="s">
        <v>26</v>
      </c>
      <c r="BNA47" s="3" t="s">
        <v>197</v>
      </c>
      <c r="BND47" s="3" t="s">
        <v>198</v>
      </c>
      <c r="BNE47" s="2" t="s">
        <v>195</v>
      </c>
      <c r="BNF47" s="3" t="s">
        <v>196</v>
      </c>
      <c r="BNG47" s="3" t="s">
        <v>180</v>
      </c>
      <c r="BNH47" s="3" t="s">
        <v>26</v>
      </c>
      <c r="BNI47" s="3" t="s">
        <v>197</v>
      </c>
      <c r="BNL47" s="3" t="s">
        <v>198</v>
      </c>
      <c r="BNM47" s="2" t="s">
        <v>195</v>
      </c>
      <c r="BNN47" s="3" t="s">
        <v>196</v>
      </c>
      <c r="BNO47" s="3" t="s">
        <v>180</v>
      </c>
      <c r="BNP47" s="3" t="s">
        <v>26</v>
      </c>
      <c r="BNQ47" s="3" t="s">
        <v>197</v>
      </c>
      <c r="BNT47" s="3" t="s">
        <v>198</v>
      </c>
      <c r="BNU47" s="2" t="s">
        <v>195</v>
      </c>
      <c r="BNV47" s="3" t="s">
        <v>196</v>
      </c>
      <c r="BNW47" s="3" t="s">
        <v>180</v>
      </c>
      <c r="BNX47" s="3" t="s">
        <v>26</v>
      </c>
      <c r="BNY47" s="3" t="s">
        <v>197</v>
      </c>
      <c r="BOB47" s="3" t="s">
        <v>198</v>
      </c>
      <c r="BOC47" s="2" t="s">
        <v>195</v>
      </c>
      <c r="BOD47" s="3" t="s">
        <v>196</v>
      </c>
      <c r="BOE47" s="3" t="s">
        <v>180</v>
      </c>
      <c r="BOF47" s="3" t="s">
        <v>26</v>
      </c>
      <c r="BOG47" s="3" t="s">
        <v>197</v>
      </c>
      <c r="BOJ47" s="3" t="s">
        <v>198</v>
      </c>
      <c r="BOK47" s="2" t="s">
        <v>195</v>
      </c>
      <c r="BOL47" s="3" t="s">
        <v>196</v>
      </c>
      <c r="BOM47" s="3" t="s">
        <v>180</v>
      </c>
      <c r="BON47" s="3" t="s">
        <v>26</v>
      </c>
      <c r="BOO47" s="3" t="s">
        <v>197</v>
      </c>
      <c r="BOR47" s="3" t="s">
        <v>198</v>
      </c>
      <c r="BOS47" s="2" t="s">
        <v>195</v>
      </c>
      <c r="BOT47" s="3" t="s">
        <v>196</v>
      </c>
      <c r="BOU47" s="3" t="s">
        <v>180</v>
      </c>
      <c r="BOV47" s="3" t="s">
        <v>26</v>
      </c>
      <c r="BOW47" s="3" t="s">
        <v>197</v>
      </c>
      <c r="BOZ47" s="3" t="s">
        <v>198</v>
      </c>
      <c r="BPA47" s="2" t="s">
        <v>195</v>
      </c>
      <c r="BPB47" s="3" t="s">
        <v>196</v>
      </c>
      <c r="BPC47" s="3" t="s">
        <v>180</v>
      </c>
      <c r="BPD47" s="3" t="s">
        <v>26</v>
      </c>
      <c r="BPE47" s="3" t="s">
        <v>197</v>
      </c>
      <c r="BPH47" s="3" t="s">
        <v>198</v>
      </c>
      <c r="BPI47" s="2" t="s">
        <v>195</v>
      </c>
      <c r="BPJ47" s="3" t="s">
        <v>196</v>
      </c>
      <c r="BPK47" s="3" t="s">
        <v>180</v>
      </c>
      <c r="BPL47" s="3" t="s">
        <v>26</v>
      </c>
      <c r="BPM47" s="3" t="s">
        <v>197</v>
      </c>
      <c r="BPP47" s="3" t="s">
        <v>198</v>
      </c>
      <c r="BPQ47" s="2" t="s">
        <v>195</v>
      </c>
      <c r="BPR47" s="3" t="s">
        <v>196</v>
      </c>
      <c r="BPS47" s="3" t="s">
        <v>180</v>
      </c>
      <c r="BPT47" s="3" t="s">
        <v>26</v>
      </c>
      <c r="BPU47" s="3" t="s">
        <v>197</v>
      </c>
      <c r="BPX47" s="3" t="s">
        <v>198</v>
      </c>
      <c r="BPY47" s="2" t="s">
        <v>195</v>
      </c>
      <c r="BPZ47" s="3" t="s">
        <v>196</v>
      </c>
      <c r="BQA47" s="3" t="s">
        <v>180</v>
      </c>
      <c r="BQB47" s="3" t="s">
        <v>26</v>
      </c>
      <c r="BQC47" s="3" t="s">
        <v>197</v>
      </c>
      <c r="BQF47" s="3" t="s">
        <v>198</v>
      </c>
      <c r="BQG47" s="2" t="s">
        <v>195</v>
      </c>
      <c r="BQH47" s="3" t="s">
        <v>196</v>
      </c>
      <c r="BQI47" s="3" t="s">
        <v>180</v>
      </c>
      <c r="BQJ47" s="3" t="s">
        <v>26</v>
      </c>
      <c r="BQK47" s="3" t="s">
        <v>197</v>
      </c>
      <c r="BQN47" s="3" t="s">
        <v>198</v>
      </c>
      <c r="BQO47" s="2" t="s">
        <v>195</v>
      </c>
      <c r="BQP47" s="3" t="s">
        <v>196</v>
      </c>
      <c r="BQQ47" s="3" t="s">
        <v>180</v>
      </c>
      <c r="BQR47" s="3" t="s">
        <v>26</v>
      </c>
      <c r="BQS47" s="3" t="s">
        <v>197</v>
      </c>
      <c r="BQV47" s="3" t="s">
        <v>198</v>
      </c>
      <c r="BQW47" s="2" t="s">
        <v>195</v>
      </c>
      <c r="BQX47" s="3" t="s">
        <v>196</v>
      </c>
      <c r="BQY47" s="3" t="s">
        <v>180</v>
      </c>
      <c r="BQZ47" s="3" t="s">
        <v>26</v>
      </c>
      <c r="BRA47" s="3" t="s">
        <v>197</v>
      </c>
      <c r="BRD47" s="3" t="s">
        <v>198</v>
      </c>
      <c r="BRE47" s="2" t="s">
        <v>195</v>
      </c>
      <c r="BRF47" s="3" t="s">
        <v>196</v>
      </c>
      <c r="BRG47" s="3" t="s">
        <v>180</v>
      </c>
      <c r="BRH47" s="3" t="s">
        <v>26</v>
      </c>
      <c r="BRI47" s="3" t="s">
        <v>197</v>
      </c>
      <c r="BRL47" s="3" t="s">
        <v>198</v>
      </c>
      <c r="BRM47" s="2" t="s">
        <v>195</v>
      </c>
      <c r="BRN47" s="3" t="s">
        <v>196</v>
      </c>
      <c r="BRO47" s="3" t="s">
        <v>180</v>
      </c>
      <c r="BRP47" s="3" t="s">
        <v>26</v>
      </c>
      <c r="BRQ47" s="3" t="s">
        <v>197</v>
      </c>
      <c r="BRT47" s="3" t="s">
        <v>198</v>
      </c>
      <c r="BRU47" s="2" t="s">
        <v>195</v>
      </c>
      <c r="BRV47" s="3" t="s">
        <v>196</v>
      </c>
      <c r="BRW47" s="3" t="s">
        <v>180</v>
      </c>
      <c r="BRX47" s="3" t="s">
        <v>26</v>
      </c>
      <c r="BRY47" s="3" t="s">
        <v>197</v>
      </c>
      <c r="BSB47" s="3" t="s">
        <v>198</v>
      </c>
      <c r="BSC47" s="2" t="s">
        <v>195</v>
      </c>
      <c r="BSD47" s="3" t="s">
        <v>196</v>
      </c>
      <c r="BSE47" s="3" t="s">
        <v>180</v>
      </c>
      <c r="BSF47" s="3" t="s">
        <v>26</v>
      </c>
      <c r="BSG47" s="3" t="s">
        <v>197</v>
      </c>
      <c r="BSJ47" s="3" t="s">
        <v>198</v>
      </c>
      <c r="BSK47" s="2" t="s">
        <v>195</v>
      </c>
      <c r="BSL47" s="3" t="s">
        <v>196</v>
      </c>
      <c r="BSM47" s="3" t="s">
        <v>180</v>
      </c>
      <c r="BSN47" s="3" t="s">
        <v>26</v>
      </c>
      <c r="BSO47" s="3" t="s">
        <v>197</v>
      </c>
      <c r="BSR47" s="3" t="s">
        <v>198</v>
      </c>
      <c r="BSS47" s="2" t="s">
        <v>195</v>
      </c>
      <c r="BST47" s="3" t="s">
        <v>196</v>
      </c>
      <c r="BSU47" s="3" t="s">
        <v>180</v>
      </c>
      <c r="BSV47" s="3" t="s">
        <v>26</v>
      </c>
      <c r="BSW47" s="3" t="s">
        <v>197</v>
      </c>
      <c r="BSZ47" s="3" t="s">
        <v>198</v>
      </c>
      <c r="BTA47" s="2" t="s">
        <v>195</v>
      </c>
      <c r="BTB47" s="3" t="s">
        <v>196</v>
      </c>
      <c r="BTC47" s="3" t="s">
        <v>180</v>
      </c>
      <c r="BTD47" s="3" t="s">
        <v>26</v>
      </c>
      <c r="BTE47" s="3" t="s">
        <v>197</v>
      </c>
      <c r="BTH47" s="3" t="s">
        <v>198</v>
      </c>
      <c r="BTI47" s="2" t="s">
        <v>195</v>
      </c>
      <c r="BTJ47" s="3" t="s">
        <v>196</v>
      </c>
      <c r="BTK47" s="3" t="s">
        <v>180</v>
      </c>
      <c r="BTL47" s="3" t="s">
        <v>26</v>
      </c>
      <c r="BTM47" s="3" t="s">
        <v>197</v>
      </c>
      <c r="BTP47" s="3" t="s">
        <v>198</v>
      </c>
      <c r="BTQ47" s="2" t="s">
        <v>195</v>
      </c>
      <c r="BTR47" s="3" t="s">
        <v>196</v>
      </c>
      <c r="BTS47" s="3" t="s">
        <v>180</v>
      </c>
      <c r="BTT47" s="3" t="s">
        <v>26</v>
      </c>
      <c r="BTU47" s="3" t="s">
        <v>197</v>
      </c>
      <c r="BTX47" s="3" t="s">
        <v>198</v>
      </c>
      <c r="BTY47" s="2" t="s">
        <v>195</v>
      </c>
      <c r="BTZ47" s="3" t="s">
        <v>196</v>
      </c>
      <c r="BUA47" s="3" t="s">
        <v>180</v>
      </c>
      <c r="BUB47" s="3" t="s">
        <v>26</v>
      </c>
      <c r="BUC47" s="3" t="s">
        <v>197</v>
      </c>
      <c r="BUF47" s="3" t="s">
        <v>198</v>
      </c>
      <c r="BUG47" s="2" t="s">
        <v>195</v>
      </c>
      <c r="BUH47" s="3" t="s">
        <v>196</v>
      </c>
      <c r="BUI47" s="3" t="s">
        <v>180</v>
      </c>
      <c r="BUJ47" s="3" t="s">
        <v>26</v>
      </c>
      <c r="BUK47" s="3" t="s">
        <v>197</v>
      </c>
      <c r="BUN47" s="3" t="s">
        <v>198</v>
      </c>
      <c r="BUO47" s="2" t="s">
        <v>195</v>
      </c>
      <c r="BUP47" s="3" t="s">
        <v>196</v>
      </c>
      <c r="BUQ47" s="3" t="s">
        <v>180</v>
      </c>
      <c r="BUR47" s="3" t="s">
        <v>26</v>
      </c>
      <c r="BUS47" s="3" t="s">
        <v>197</v>
      </c>
      <c r="BUV47" s="3" t="s">
        <v>198</v>
      </c>
      <c r="BUW47" s="2" t="s">
        <v>195</v>
      </c>
      <c r="BUX47" s="3" t="s">
        <v>196</v>
      </c>
      <c r="BUY47" s="3" t="s">
        <v>180</v>
      </c>
      <c r="BUZ47" s="3" t="s">
        <v>26</v>
      </c>
      <c r="BVA47" s="3" t="s">
        <v>197</v>
      </c>
      <c r="BVD47" s="3" t="s">
        <v>198</v>
      </c>
      <c r="BVE47" s="2" t="s">
        <v>195</v>
      </c>
      <c r="BVF47" s="3" t="s">
        <v>196</v>
      </c>
      <c r="BVG47" s="3" t="s">
        <v>180</v>
      </c>
      <c r="BVH47" s="3" t="s">
        <v>26</v>
      </c>
      <c r="BVI47" s="3" t="s">
        <v>197</v>
      </c>
      <c r="BVL47" s="3" t="s">
        <v>198</v>
      </c>
      <c r="BVM47" s="2" t="s">
        <v>195</v>
      </c>
      <c r="BVN47" s="3" t="s">
        <v>196</v>
      </c>
      <c r="BVO47" s="3" t="s">
        <v>180</v>
      </c>
      <c r="BVP47" s="3" t="s">
        <v>26</v>
      </c>
      <c r="BVQ47" s="3" t="s">
        <v>197</v>
      </c>
      <c r="BVT47" s="3" t="s">
        <v>198</v>
      </c>
      <c r="BVU47" s="2" t="s">
        <v>195</v>
      </c>
      <c r="BVV47" s="3" t="s">
        <v>196</v>
      </c>
      <c r="BVW47" s="3" t="s">
        <v>180</v>
      </c>
      <c r="BVX47" s="3" t="s">
        <v>26</v>
      </c>
      <c r="BVY47" s="3" t="s">
        <v>197</v>
      </c>
      <c r="BWB47" s="3" t="s">
        <v>198</v>
      </c>
      <c r="BWC47" s="2" t="s">
        <v>195</v>
      </c>
      <c r="BWD47" s="3" t="s">
        <v>196</v>
      </c>
      <c r="BWE47" s="3" t="s">
        <v>180</v>
      </c>
      <c r="BWF47" s="3" t="s">
        <v>26</v>
      </c>
      <c r="BWG47" s="3" t="s">
        <v>197</v>
      </c>
      <c r="BWJ47" s="3" t="s">
        <v>198</v>
      </c>
      <c r="BWK47" s="2" t="s">
        <v>195</v>
      </c>
      <c r="BWL47" s="3" t="s">
        <v>196</v>
      </c>
      <c r="BWM47" s="3" t="s">
        <v>180</v>
      </c>
      <c r="BWN47" s="3" t="s">
        <v>26</v>
      </c>
      <c r="BWO47" s="3" t="s">
        <v>197</v>
      </c>
      <c r="BWR47" s="3" t="s">
        <v>198</v>
      </c>
      <c r="BWS47" s="2" t="s">
        <v>195</v>
      </c>
      <c r="BWT47" s="3" t="s">
        <v>196</v>
      </c>
      <c r="BWU47" s="3" t="s">
        <v>180</v>
      </c>
      <c r="BWV47" s="3" t="s">
        <v>26</v>
      </c>
      <c r="BWW47" s="3" t="s">
        <v>197</v>
      </c>
      <c r="BWZ47" s="3" t="s">
        <v>198</v>
      </c>
      <c r="BXA47" s="2" t="s">
        <v>195</v>
      </c>
      <c r="BXB47" s="3" t="s">
        <v>196</v>
      </c>
      <c r="BXC47" s="3" t="s">
        <v>180</v>
      </c>
      <c r="BXD47" s="3" t="s">
        <v>26</v>
      </c>
      <c r="BXE47" s="3" t="s">
        <v>197</v>
      </c>
      <c r="BXH47" s="3" t="s">
        <v>198</v>
      </c>
      <c r="BXI47" s="2" t="s">
        <v>195</v>
      </c>
      <c r="BXJ47" s="3" t="s">
        <v>196</v>
      </c>
      <c r="BXK47" s="3" t="s">
        <v>180</v>
      </c>
      <c r="BXL47" s="3" t="s">
        <v>26</v>
      </c>
      <c r="BXM47" s="3" t="s">
        <v>197</v>
      </c>
      <c r="BXP47" s="3" t="s">
        <v>198</v>
      </c>
      <c r="BXQ47" s="2" t="s">
        <v>195</v>
      </c>
      <c r="BXR47" s="3" t="s">
        <v>196</v>
      </c>
      <c r="BXS47" s="3" t="s">
        <v>180</v>
      </c>
      <c r="BXT47" s="3" t="s">
        <v>26</v>
      </c>
      <c r="BXU47" s="3" t="s">
        <v>197</v>
      </c>
      <c r="BXX47" s="3" t="s">
        <v>198</v>
      </c>
      <c r="BXY47" s="2" t="s">
        <v>195</v>
      </c>
      <c r="BXZ47" s="3" t="s">
        <v>196</v>
      </c>
      <c r="BYA47" s="3" t="s">
        <v>180</v>
      </c>
      <c r="BYB47" s="3" t="s">
        <v>26</v>
      </c>
      <c r="BYC47" s="3" t="s">
        <v>197</v>
      </c>
      <c r="BYF47" s="3" t="s">
        <v>198</v>
      </c>
      <c r="BYG47" s="2" t="s">
        <v>195</v>
      </c>
      <c r="BYH47" s="3" t="s">
        <v>196</v>
      </c>
      <c r="BYI47" s="3" t="s">
        <v>180</v>
      </c>
      <c r="BYJ47" s="3" t="s">
        <v>26</v>
      </c>
      <c r="BYK47" s="3" t="s">
        <v>197</v>
      </c>
      <c r="BYN47" s="3" t="s">
        <v>198</v>
      </c>
      <c r="BYO47" s="2" t="s">
        <v>195</v>
      </c>
      <c r="BYP47" s="3" t="s">
        <v>196</v>
      </c>
      <c r="BYQ47" s="3" t="s">
        <v>180</v>
      </c>
      <c r="BYR47" s="3" t="s">
        <v>26</v>
      </c>
      <c r="BYS47" s="3" t="s">
        <v>197</v>
      </c>
      <c r="BYV47" s="3" t="s">
        <v>198</v>
      </c>
      <c r="BYW47" s="2" t="s">
        <v>195</v>
      </c>
      <c r="BYX47" s="3" t="s">
        <v>196</v>
      </c>
      <c r="BYY47" s="3" t="s">
        <v>180</v>
      </c>
      <c r="BYZ47" s="3" t="s">
        <v>26</v>
      </c>
      <c r="BZA47" s="3" t="s">
        <v>197</v>
      </c>
      <c r="BZD47" s="3" t="s">
        <v>198</v>
      </c>
      <c r="BZE47" s="2" t="s">
        <v>195</v>
      </c>
      <c r="BZF47" s="3" t="s">
        <v>196</v>
      </c>
      <c r="BZG47" s="3" t="s">
        <v>180</v>
      </c>
      <c r="BZH47" s="3" t="s">
        <v>26</v>
      </c>
      <c r="BZI47" s="3" t="s">
        <v>197</v>
      </c>
      <c r="BZL47" s="3" t="s">
        <v>198</v>
      </c>
      <c r="BZM47" s="2" t="s">
        <v>195</v>
      </c>
      <c r="BZN47" s="3" t="s">
        <v>196</v>
      </c>
      <c r="BZO47" s="3" t="s">
        <v>180</v>
      </c>
      <c r="BZP47" s="3" t="s">
        <v>26</v>
      </c>
      <c r="BZQ47" s="3" t="s">
        <v>197</v>
      </c>
      <c r="BZT47" s="3" t="s">
        <v>198</v>
      </c>
      <c r="BZU47" s="2" t="s">
        <v>195</v>
      </c>
      <c r="BZV47" s="3" t="s">
        <v>196</v>
      </c>
      <c r="BZW47" s="3" t="s">
        <v>180</v>
      </c>
      <c r="BZX47" s="3" t="s">
        <v>26</v>
      </c>
      <c r="BZY47" s="3" t="s">
        <v>197</v>
      </c>
      <c r="CAB47" s="3" t="s">
        <v>198</v>
      </c>
      <c r="CAC47" s="2" t="s">
        <v>195</v>
      </c>
      <c r="CAD47" s="3" t="s">
        <v>196</v>
      </c>
      <c r="CAE47" s="3" t="s">
        <v>180</v>
      </c>
      <c r="CAF47" s="3" t="s">
        <v>26</v>
      </c>
      <c r="CAG47" s="3" t="s">
        <v>197</v>
      </c>
      <c r="CAJ47" s="3" t="s">
        <v>198</v>
      </c>
      <c r="CAK47" s="2" t="s">
        <v>195</v>
      </c>
      <c r="CAL47" s="3" t="s">
        <v>196</v>
      </c>
      <c r="CAM47" s="3" t="s">
        <v>180</v>
      </c>
      <c r="CAN47" s="3" t="s">
        <v>26</v>
      </c>
      <c r="CAO47" s="3" t="s">
        <v>197</v>
      </c>
      <c r="CAR47" s="3" t="s">
        <v>198</v>
      </c>
      <c r="CAS47" s="2" t="s">
        <v>195</v>
      </c>
      <c r="CAT47" s="3" t="s">
        <v>196</v>
      </c>
      <c r="CAU47" s="3" t="s">
        <v>180</v>
      </c>
      <c r="CAV47" s="3" t="s">
        <v>26</v>
      </c>
      <c r="CAW47" s="3" t="s">
        <v>197</v>
      </c>
      <c r="CAZ47" s="3" t="s">
        <v>198</v>
      </c>
      <c r="CBA47" s="2" t="s">
        <v>195</v>
      </c>
      <c r="CBB47" s="3" t="s">
        <v>196</v>
      </c>
      <c r="CBC47" s="3" t="s">
        <v>180</v>
      </c>
      <c r="CBD47" s="3" t="s">
        <v>26</v>
      </c>
      <c r="CBE47" s="3" t="s">
        <v>197</v>
      </c>
      <c r="CBH47" s="3" t="s">
        <v>198</v>
      </c>
      <c r="CBI47" s="2" t="s">
        <v>195</v>
      </c>
      <c r="CBJ47" s="3" t="s">
        <v>196</v>
      </c>
      <c r="CBK47" s="3" t="s">
        <v>180</v>
      </c>
      <c r="CBL47" s="3" t="s">
        <v>26</v>
      </c>
      <c r="CBM47" s="3" t="s">
        <v>197</v>
      </c>
      <c r="CBP47" s="3" t="s">
        <v>198</v>
      </c>
      <c r="CBQ47" s="2" t="s">
        <v>195</v>
      </c>
      <c r="CBR47" s="3" t="s">
        <v>196</v>
      </c>
      <c r="CBS47" s="3" t="s">
        <v>180</v>
      </c>
      <c r="CBT47" s="3" t="s">
        <v>26</v>
      </c>
      <c r="CBU47" s="3" t="s">
        <v>197</v>
      </c>
      <c r="CBX47" s="3" t="s">
        <v>198</v>
      </c>
      <c r="CBY47" s="2" t="s">
        <v>195</v>
      </c>
      <c r="CBZ47" s="3" t="s">
        <v>196</v>
      </c>
      <c r="CCA47" s="3" t="s">
        <v>180</v>
      </c>
      <c r="CCB47" s="3" t="s">
        <v>26</v>
      </c>
      <c r="CCC47" s="3" t="s">
        <v>197</v>
      </c>
      <c r="CCF47" s="3" t="s">
        <v>198</v>
      </c>
      <c r="CCG47" s="2" t="s">
        <v>195</v>
      </c>
      <c r="CCH47" s="3" t="s">
        <v>196</v>
      </c>
      <c r="CCI47" s="3" t="s">
        <v>180</v>
      </c>
      <c r="CCJ47" s="3" t="s">
        <v>26</v>
      </c>
      <c r="CCK47" s="3" t="s">
        <v>197</v>
      </c>
      <c r="CCN47" s="3" t="s">
        <v>198</v>
      </c>
      <c r="CCO47" s="2" t="s">
        <v>195</v>
      </c>
      <c r="CCP47" s="3" t="s">
        <v>196</v>
      </c>
      <c r="CCQ47" s="3" t="s">
        <v>180</v>
      </c>
      <c r="CCR47" s="3" t="s">
        <v>26</v>
      </c>
      <c r="CCS47" s="3" t="s">
        <v>197</v>
      </c>
      <c r="CCV47" s="3" t="s">
        <v>198</v>
      </c>
      <c r="CCW47" s="2" t="s">
        <v>195</v>
      </c>
      <c r="CCX47" s="3" t="s">
        <v>196</v>
      </c>
      <c r="CCY47" s="3" t="s">
        <v>180</v>
      </c>
      <c r="CCZ47" s="3" t="s">
        <v>26</v>
      </c>
      <c r="CDA47" s="3" t="s">
        <v>197</v>
      </c>
      <c r="CDD47" s="3" t="s">
        <v>198</v>
      </c>
      <c r="CDE47" s="2" t="s">
        <v>195</v>
      </c>
      <c r="CDF47" s="3" t="s">
        <v>196</v>
      </c>
      <c r="CDG47" s="3" t="s">
        <v>180</v>
      </c>
      <c r="CDH47" s="3" t="s">
        <v>26</v>
      </c>
      <c r="CDI47" s="3" t="s">
        <v>197</v>
      </c>
      <c r="CDL47" s="3" t="s">
        <v>198</v>
      </c>
      <c r="CDM47" s="2" t="s">
        <v>195</v>
      </c>
      <c r="CDN47" s="3" t="s">
        <v>196</v>
      </c>
      <c r="CDO47" s="3" t="s">
        <v>180</v>
      </c>
      <c r="CDP47" s="3" t="s">
        <v>26</v>
      </c>
      <c r="CDQ47" s="3" t="s">
        <v>197</v>
      </c>
      <c r="CDT47" s="3" t="s">
        <v>198</v>
      </c>
      <c r="CDU47" s="2" t="s">
        <v>195</v>
      </c>
      <c r="CDV47" s="3" t="s">
        <v>196</v>
      </c>
      <c r="CDW47" s="3" t="s">
        <v>180</v>
      </c>
      <c r="CDX47" s="3" t="s">
        <v>26</v>
      </c>
      <c r="CDY47" s="3" t="s">
        <v>197</v>
      </c>
      <c r="CEB47" s="3" t="s">
        <v>198</v>
      </c>
      <c r="CEC47" s="2" t="s">
        <v>195</v>
      </c>
      <c r="CED47" s="3" t="s">
        <v>196</v>
      </c>
      <c r="CEE47" s="3" t="s">
        <v>180</v>
      </c>
      <c r="CEF47" s="3" t="s">
        <v>26</v>
      </c>
      <c r="CEG47" s="3" t="s">
        <v>197</v>
      </c>
      <c r="CEJ47" s="3" t="s">
        <v>198</v>
      </c>
      <c r="CEK47" s="2" t="s">
        <v>195</v>
      </c>
      <c r="CEL47" s="3" t="s">
        <v>196</v>
      </c>
      <c r="CEM47" s="3" t="s">
        <v>180</v>
      </c>
      <c r="CEN47" s="3" t="s">
        <v>26</v>
      </c>
      <c r="CEO47" s="3" t="s">
        <v>197</v>
      </c>
      <c r="CER47" s="3" t="s">
        <v>198</v>
      </c>
      <c r="CES47" s="2" t="s">
        <v>195</v>
      </c>
      <c r="CET47" s="3" t="s">
        <v>196</v>
      </c>
      <c r="CEU47" s="3" t="s">
        <v>180</v>
      </c>
      <c r="CEV47" s="3" t="s">
        <v>26</v>
      </c>
      <c r="CEW47" s="3" t="s">
        <v>197</v>
      </c>
      <c r="CEZ47" s="3" t="s">
        <v>198</v>
      </c>
      <c r="CFA47" s="2" t="s">
        <v>195</v>
      </c>
      <c r="CFB47" s="3" t="s">
        <v>196</v>
      </c>
      <c r="CFC47" s="3" t="s">
        <v>180</v>
      </c>
      <c r="CFD47" s="3" t="s">
        <v>26</v>
      </c>
      <c r="CFE47" s="3" t="s">
        <v>197</v>
      </c>
      <c r="CFH47" s="3" t="s">
        <v>198</v>
      </c>
      <c r="CFI47" s="2" t="s">
        <v>195</v>
      </c>
      <c r="CFJ47" s="3" t="s">
        <v>196</v>
      </c>
      <c r="CFK47" s="3" t="s">
        <v>180</v>
      </c>
      <c r="CFL47" s="3" t="s">
        <v>26</v>
      </c>
      <c r="CFM47" s="3" t="s">
        <v>197</v>
      </c>
      <c r="CFP47" s="3" t="s">
        <v>198</v>
      </c>
      <c r="CFQ47" s="2" t="s">
        <v>195</v>
      </c>
      <c r="CFR47" s="3" t="s">
        <v>196</v>
      </c>
      <c r="CFS47" s="3" t="s">
        <v>180</v>
      </c>
      <c r="CFT47" s="3" t="s">
        <v>26</v>
      </c>
      <c r="CFU47" s="3" t="s">
        <v>197</v>
      </c>
      <c r="CFX47" s="3" t="s">
        <v>198</v>
      </c>
      <c r="CFY47" s="2" t="s">
        <v>195</v>
      </c>
      <c r="CFZ47" s="3" t="s">
        <v>196</v>
      </c>
      <c r="CGA47" s="3" t="s">
        <v>180</v>
      </c>
      <c r="CGB47" s="3" t="s">
        <v>26</v>
      </c>
      <c r="CGC47" s="3" t="s">
        <v>197</v>
      </c>
      <c r="CGF47" s="3" t="s">
        <v>198</v>
      </c>
      <c r="CGG47" s="2" t="s">
        <v>195</v>
      </c>
      <c r="CGH47" s="3" t="s">
        <v>196</v>
      </c>
      <c r="CGI47" s="3" t="s">
        <v>180</v>
      </c>
      <c r="CGJ47" s="3" t="s">
        <v>26</v>
      </c>
      <c r="CGK47" s="3" t="s">
        <v>197</v>
      </c>
      <c r="CGN47" s="3" t="s">
        <v>198</v>
      </c>
      <c r="CGO47" s="2" t="s">
        <v>195</v>
      </c>
      <c r="CGP47" s="3" t="s">
        <v>196</v>
      </c>
      <c r="CGQ47" s="3" t="s">
        <v>180</v>
      </c>
      <c r="CGR47" s="3" t="s">
        <v>26</v>
      </c>
      <c r="CGS47" s="3" t="s">
        <v>197</v>
      </c>
      <c r="CGV47" s="3" t="s">
        <v>198</v>
      </c>
      <c r="CGW47" s="2" t="s">
        <v>195</v>
      </c>
      <c r="CGX47" s="3" t="s">
        <v>196</v>
      </c>
      <c r="CGY47" s="3" t="s">
        <v>180</v>
      </c>
      <c r="CGZ47" s="3" t="s">
        <v>26</v>
      </c>
      <c r="CHA47" s="3" t="s">
        <v>197</v>
      </c>
      <c r="CHD47" s="3" t="s">
        <v>198</v>
      </c>
      <c r="CHE47" s="2" t="s">
        <v>195</v>
      </c>
      <c r="CHF47" s="3" t="s">
        <v>196</v>
      </c>
      <c r="CHG47" s="3" t="s">
        <v>180</v>
      </c>
      <c r="CHH47" s="3" t="s">
        <v>26</v>
      </c>
      <c r="CHI47" s="3" t="s">
        <v>197</v>
      </c>
      <c r="CHL47" s="3" t="s">
        <v>198</v>
      </c>
      <c r="CHM47" s="2" t="s">
        <v>195</v>
      </c>
      <c r="CHN47" s="3" t="s">
        <v>196</v>
      </c>
      <c r="CHO47" s="3" t="s">
        <v>180</v>
      </c>
      <c r="CHP47" s="3" t="s">
        <v>26</v>
      </c>
      <c r="CHQ47" s="3" t="s">
        <v>197</v>
      </c>
      <c r="CHT47" s="3" t="s">
        <v>198</v>
      </c>
      <c r="CHU47" s="2" t="s">
        <v>195</v>
      </c>
      <c r="CHV47" s="3" t="s">
        <v>196</v>
      </c>
      <c r="CHW47" s="3" t="s">
        <v>180</v>
      </c>
      <c r="CHX47" s="3" t="s">
        <v>26</v>
      </c>
      <c r="CHY47" s="3" t="s">
        <v>197</v>
      </c>
      <c r="CIB47" s="3" t="s">
        <v>198</v>
      </c>
      <c r="CIC47" s="2" t="s">
        <v>195</v>
      </c>
      <c r="CID47" s="3" t="s">
        <v>196</v>
      </c>
      <c r="CIE47" s="3" t="s">
        <v>180</v>
      </c>
      <c r="CIF47" s="3" t="s">
        <v>26</v>
      </c>
      <c r="CIG47" s="3" t="s">
        <v>197</v>
      </c>
      <c r="CIJ47" s="3" t="s">
        <v>198</v>
      </c>
      <c r="CIK47" s="2" t="s">
        <v>195</v>
      </c>
      <c r="CIL47" s="3" t="s">
        <v>196</v>
      </c>
      <c r="CIM47" s="3" t="s">
        <v>180</v>
      </c>
      <c r="CIN47" s="3" t="s">
        <v>26</v>
      </c>
      <c r="CIO47" s="3" t="s">
        <v>197</v>
      </c>
      <c r="CIR47" s="3" t="s">
        <v>198</v>
      </c>
      <c r="CIS47" s="2" t="s">
        <v>195</v>
      </c>
      <c r="CIT47" s="3" t="s">
        <v>196</v>
      </c>
      <c r="CIU47" s="3" t="s">
        <v>180</v>
      </c>
      <c r="CIV47" s="3" t="s">
        <v>26</v>
      </c>
      <c r="CIW47" s="3" t="s">
        <v>197</v>
      </c>
      <c r="CIZ47" s="3" t="s">
        <v>198</v>
      </c>
      <c r="CJA47" s="2" t="s">
        <v>195</v>
      </c>
      <c r="CJB47" s="3" t="s">
        <v>196</v>
      </c>
      <c r="CJC47" s="3" t="s">
        <v>180</v>
      </c>
      <c r="CJD47" s="3" t="s">
        <v>26</v>
      </c>
      <c r="CJE47" s="3" t="s">
        <v>197</v>
      </c>
      <c r="CJH47" s="3" t="s">
        <v>198</v>
      </c>
      <c r="CJI47" s="2" t="s">
        <v>195</v>
      </c>
      <c r="CJJ47" s="3" t="s">
        <v>196</v>
      </c>
      <c r="CJK47" s="3" t="s">
        <v>180</v>
      </c>
      <c r="CJL47" s="3" t="s">
        <v>26</v>
      </c>
      <c r="CJM47" s="3" t="s">
        <v>197</v>
      </c>
      <c r="CJP47" s="3" t="s">
        <v>198</v>
      </c>
      <c r="CJQ47" s="2" t="s">
        <v>195</v>
      </c>
      <c r="CJR47" s="3" t="s">
        <v>196</v>
      </c>
      <c r="CJS47" s="3" t="s">
        <v>180</v>
      </c>
      <c r="CJT47" s="3" t="s">
        <v>26</v>
      </c>
      <c r="CJU47" s="3" t="s">
        <v>197</v>
      </c>
      <c r="CJX47" s="3" t="s">
        <v>198</v>
      </c>
      <c r="CJY47" s="2" t="s">
        <v>195</v>
      </c>
      <c r="CJZ47" s="3" t="s">
        <v>196</v>
      </c>
      <c r="CKA47" s="3" t="s">
        <v>180</v>
      </c>
      <c r="CKB47" s="3" t="s">
        <v>26</v>
      </c>
      <c r="CKC47" s="3" t="s">
        <v>197</v>
      </c>
      <c r="CKF47" s="3" t="s">
        <v>198</v>
      </c>
      <c r="CKG47" s="2" t="s">
        <v>195</v>
      </c>
      <c r="CKH47" s="3" t="s">
        <v>196</v>
      </c>
      <c r="CKI47" s="3" t="s">
        <v>180</v>
      </c>
      <c r="CKJ47" s="3" t="s">
        <v>26</v>
      </c>
      <c r="CKK47" s="3" t="s">
        <v>197</v>
      </c>
      <c r="CKN47" s="3" t="s">
        <v>198</v>
      </c>
      <c r="CKO47" s="2" t="s">
        <v>195</v>
      </c>
      <c r="CKP47" s="3" t="s">
        <v>196</v>
      </c>
      <c r="CKQ47" s="3" t="s">
        <v>180</v>
      </c>
      <c r="CKR47" s="3" t="s">
        <v>26</v>
      </c>
      <c r="CKS47" s="3" t="s">
        <v>197</v>
      </c>
      <c r="CKV47" s="3" t="s">
        <v>198</v>
      </c>
      <c r="CKW47" s="2" t="s">
        <v>195</v>
      </c>
      <c r="CKX47" s="3" t="s">
        <v>196</v>
      </c>
      <c r="CKY47" s="3" t="s">
        <v>180</v>
      </c>
      <c r="CKZ47" s="3" t="s">
        <v>26</v>
      </c>
      <c r="CLA47" s="3" t="s">
        <v>197</v>
      </c>
      <c r="CLD47" s="3" t="s">
        <v>198</v>
      </c>
      <c r="CLE47" s="2" t="s">
        <v>195</v>
      </c>
      <c r="CLF47" s="3" t="s">
        <v>196</v>
      </c>
      <c r="CLG47" s="3" t="s">
        <v>180</v>
      </c>
      <c r="CLH47" s="3" t="s">
        <v>26</v>
      </c>
      <c r="CLI47" s="3" t="s">
        <v>197</v>
      </c>
      <c r="CLL47" s="3" t="s">
        <v>198</v>
      </c>
      <c r="CLM47" s="2" t="s">
        <v>195</v>
      </c>
      <c r="CLN47" s="3" t="s">
        <v>196</v>
      </c>
      <c r="CLO47" s="3" t="s">
        <v>180</v>
      </c>
      <c r="CLP47" s="3" t="s">
        <v>26</v>
      </c>
      <c r="CLQ47" s="3" t="s">
        <v>197</v>
      </c>
      <c r="CLT47" s="3" t="s">
        <v>198</v>
      </c>
      <c r="CLU47" s="2" t="s">
        <v>195</v>
      </c>
      <c r="CLV47" s="3" t="s">
        <v>196</v>
      </c>
      <c r="CLW47" s="3" t="s">
        <v>180</v>
      </c>
      <c r="CLX47" s="3" t="s">
        <v>26</v>
      </c>
      <c r="CLY47" s="3" t="s">
        <v>197</v>
      </c>
      <c r="CMB47" s="3" t="s">
        <v>198</v>
      </c>
      <c r="CMC47" s="2" t="s">
        <v>195</v>
      </c>
      <c r="CMD47" s="3" t="s">
        <v>196</v>
      </c>
      <c r="CME47" s="3" t="s">
        <v>180</v>
      </c>
      <c r="CMF47" s="3" t="s">
        <v>26</v>
      </c>
      <c r="CMG47" s="3" t="s">
        <v>197</v>
      </c>
      <c r="CMJ47" s="3" t="s">
        <v>198</v>
      </c>
      <c r="CMK47" s="2" t="s">
        <v>195</v>
      </c>
      <c r="CML47" s="3" t="s">
        <v>196</v>
      </c>
      <c r="CMM47" s="3" t="s">
        <v>180</v>
      </c>
      <c r="CMN47" s="3" t="s">
        <v>26</v>
      </c>
      <c r="CMO47" s="3" t="s">
        <v>197</v>
      </c>
      <c r="CMR47" s="3" t="s">
        <v>198</v>
      </c>
      <c r="CMS47" s="2" t="s">
        <v>195</v>
      </c>
      <c r="CMT47" s="3" t="s">
        <v>196</v>
      </c>
      <c r="CMU47" s="3" t="s">
        <v>180</v>
      </c>
      <c r="CMV47" s="3" t="s">
        <v>26</v>
      </c>
      <c r="CMW47" s="3" t="s">
        <v>197</v>
      </c>
      <c r="CMZ47" s="3" t="s">
        <v>198</v>
      </c>
      <c r="CNA47" s="2" t="s">
        <v>195</v>
      </c>
      <c r="CNB47" s="3" t="s">
        <v>196</v>
      </c>
      <c r="CNC47" s="3" t="s">
        <v>180</v>
      </c>
      <c r="CND47" s="3" t="s">
        <v>26</v>
      </c>
      <c r="CNE47" s="3" t="s">
        <v>197</v>
      </c>
      <c r="CNH47" s="3" t="s">
        <v>198</v>
      </c>
      <c r="CNI47" s="2" t="s">
        <v>195</v>
      </c>
      <c r="CNJ47" s="3" t="s">
        <v>196</v>
      </c>
      <c r="CNK47" s="3" t="s">
        <v>180</v>
      </c>
      <c r="CNL47" s="3" t="s">
        <v>26</v>
      </c>
      <c r="CNM47" s="3" t="s">
        <v>197</v>
      </c>
      <c r="CNP47" s="3" t="s">
        <v>198</v>
      </c>
      <c r="CNQ47" s="2" t="s">
        <v>195</v>
      </c>
      <c r="CNR47" s="3" t="s">
        <v>196</v>
      </c>
      <c r="CNS47" s="3" t="s">
        <v>180</v>
      </c>
      <c r="CNT47" s="3" t="s">
        <v>26</v>
      </c>
      <c r="CNU47" s="3" t="s">
        <v>197</v>
      </c>
      <c r="CNX47" s="3" t="s">
        <v>198</v>
      </c>
      <c r="CNY47" s="2" t="s">
        <v>195</v>
      </c>
      <c r="CNZ47" s="3" t="s">
        <v>196</v>
      </c>
      <c r="COA47" s="3" t="s">
        <v>180</v>
      </c>
      <c r="COB47" s="3" t="s">
        <v>26</v>
      </c>
      <c r="COC47" s="3" t="s">
        <v>197</v>
      </c>
      <c r="COF47" s="3" t="s">
        <v>198</v>
      </c>
      <c r="COG47" s="2" t="s">
        <v>195</v>
      </c>
      <c r="COH47" s="3" t="s">
        <v>196</v>
      </c>
      <c r="COI47" s="3" t="s">
        <v>180</v>
      </c>
      <c r="COJ47" s="3" t="s">
        <v>26</v>
      </c>
      <c r="COK47" s="3" t="s">
        <v>197</v>
      </c>
      <c r="CON47" s="3" t="s">
        <v>198</v>
      </c>
      <c r="COO47" s="2" t="s">
        <v>195</v>
      </c>
      <c r="COP47" s="3" t="s">
        <v>196</v>
      </c>
      <c r="COQ47" s="3" t="s">
        <v>180</v>
      </c>
      <c r="COR47" s="3" t="s">
        <v>26</v>
      </c>
      <c r="COS47" s="3" t="s">
        <v>197</v>
      </c>
      <c r="COV47" s="3" t="s">
        <v>198</v>
      </c>
      <c r="COW47" s="2" t="s">
        <v>195</v>
      </c>
      <c r="COX47" s="3" t="s">
        <v>196</v>
      </c>
      <c r="COY47" s="3" t="s">
        <v>180</v>
      </c>
      <c r="COZ47" s="3" t="s">
        <v>26</v>
      </c>
      <c r="CPA47" s="3" t="s">
        <v>197</v>
      </c>
      <c r="CPD47" s="3" t="s">
        <v>198</v>
      </c>
      <c r="CPE47" s="2" t="s">
        <v>195</v>
      </c>
      <c r="CPF47" s="3" t="s">
        <v>196</v>
      </c>
      <c r="CPG47" s="3" t="s">
        <v>180</v>
      </c>
      <c r="CPH47" s="3" t="s">
        <v>26</v>
      </c>
      <c r="CPI47" s="3" t="s">
        <v>197</v>
      </c>
      <c r="CPL47" s="3" t="s">
        <v>198</v>
      </c>
      <c r="CPM47" s="2" t="s">
        <v>195</v>
      </c>
      <c r="CPN47" s="3" t="s">
        <v>196</v>
      </c>
      <c r="CPO47" s="3" t="s">
        <v>180</v>
      </c>
      <c r="CPP47" s="3" t="s">
        <v>26</v>
      </c>
      <c r="CPQ47" s="3" t="s">
        <v>197</v>
      </c>
      <c r="CPT47" s="3" t="s">
        <v>198</v>
      </c>
      <c r="CPU47" s="2" t="s">
        <v>195</v>
      </c>
      <c r="CPV47" s="3" t="s">
        <v>196</v>
      </c>
      <c r="CPW47" s="3" t="s">
        <v>180</v>
      </c>
      <c r="CPX47" s="3" t="s">
        <v>26</v>
      </c>
      <c r="CPY47" s="3" t="s">
        <v>197</v>
      </c>
      <c r="CQB47" s="3" t="s">
        <v>198</v>
      </c>
      <c r="CQC47" s="2" t="s">
        <v>195</v>
      </c>
      <c r="CQD47" s="3" t="s">
        <v>196</v>
      </c>
      <c r="CQE47" s="3" t="s">
        <v>180</v>
      </c>
      <c r="CQF47" s="3" t="s">
        <v>26</v>
      </c>
      <c r="CQG47" s="3" t="s">
        <v>197</v>
      </c>
      <c r="CQJ47" s="3" t="s">
        <v>198</v>
      </c>
      <c r="CQK47" s="2" t="s">
        <v>195</v>
      </c>
      <c r="CQL47" s="3" t="s">
        <v>196</v>
      </c>
      <c r="CQM47" s="3" t="s">
        <v>180</v>
      </c>
      <c r="CQN47" s="3" t="s">
        <v>26</v>
      </c>
      <c r="CQO47" s="3" t="s">
        <v>197</v>
      </c>
      <c r="CQR47" s="3" t="s">
        <v>198</v>
      </c>
      <c r="CQS47" s="2" t="s">
        <v>195</v>
      </c>
      <c r="CQT47" s="3" t="s">
        <v>196</v>
      </c>
      <c r="CQU47" s="3" t="s">
        <v>180</v>
      </c>
      <c r="CQV47" s="3" t="s">
        <v>26</v>
      </c>
      <c r="CQW47" s="3" t="s">
        <v>197</v>
      </c>
      <c r="CQZ47" s="3" t="s">
        <v>198</v>
      </c>
      <c r="CRA47" s="2" t="s">
        <v>195</v>
      </c>
      <c r="CRB47" s="3" t="s">
        <v>196</v>
      </c>
      <c r="CRC47" s="3" t="s">
        <v>180</v>
      </c>
      <c r="CRD47" s="3" t="s">
        <v>26</v>
      </c>
      <c r="CRE47" s="3" t="s">
        <v>197</v>
      </c>
      <c r="CRH47" s="3" t="s">
        <v>198</v>
      </c>
      <c r="CRI47" s="2" t="s">
        <v>195</v>
      </c>
      <c r="CRJ47" s="3" t="s">
        <v>196</v>
      </c>
      <c r="CRK47" s="3" t="s">
        <v>180</v>
      </c>
      <c r="CRL47" s="3" t="s">
        <v>26</v>
      </c>
      <c r="CRM47" s="3" t="s">
        <v>197</v>
      </c>
      <c r="CRP47" s="3" t="s">
        <v>198</v>
      </c>
      <c r="CRQ47" s="2" t="s">
        <v>195</v>
      </c>
      <c r="CRR47" s="3" t="s">
        <v>196</v>
      </c>
      <c r="CRS47" s="3" t="s">
        <v>180</v>
      </c>
      <c r="CRT47" s="3" t="s">
        <v>26</v>
      </c>
      <c r="CRU47" s="3" t="s">
        <v>197</v>
      </c>
      <c r="CRX47" s="3" t="s">
        <v>198</v>
      </c>
      <c r="CRY47" s="2" t="s">
        <v>195</v>
      </c>
      <c r="CRZ47" s="3" t="s">
        <v>196</v>
      </c>
      <c r="CSA47" s="3" t="s">
        <v>180</v>
      </c>
      <c r="CSB47" s="3" t="s">
        <v>26</v>
      </c>
      <c r="CSC47" s="3" t="s">
        <v>197</v>
      </c>
      <c r="CSF47" s="3" t="s">
        <v>198</v>
      </c>
      <c r="CSG47" s="2" t="s">
        <v>195</v>
      </c>
      <c r="CSH47" s="3" t="s">
        <v>196</v>
      </c>
      <c r="CSI47" s="3" t="s">
        <v>180</v>
      </c>
      <c r="CSJ47" s="3" t="s">
        <v>26</v>
      </c>
      <c r="CSK47" s="3" t="s">
        <v>197</v>
      </c>
      <c r="CSN47" s="3" t="s">
        <v>198</v>
      </c>
      <c r="CSO47" s="2" t="s">
        <v>195</v>
      </c>
      <c r="CSP47" s="3" t="s">
        <v>196</v>
      </c>
      <c r="CSQ47" s="3" t="s">
        <v>180</v>
      </c>
      <c r="CSR47" s="3" t="s">
        <v>26</v>
      </c>
      <c r="CSS47" s="3" t="s">
        <v>197</v>
      </c>
      <c r="CSV47" s="3" t="s">
        <v>198</v>
      </c>
      <c r="CSW47" s="2" t="s">
        <v>195</v>
      </c>
      <c r="CSX47" s="3" t="s">
        <v>196</v>
      </c>
      <c r="CSY47" s="3" t="s">
        <v>180</v>
      </c>
      <c r="CSZ47" s="3" t="s">
        <v>26</v>
      </c>
      <c r="CTA47" s="3" t="s">
        <v>197</v>
      </c>
      <c r="CTD47" s="3" t="s">
        <v>198</v>
      </c>
      <c r="CTE47" s="2" t="s">
        <v>195</v>
      </c>
      <c r="CTF47" s="3" t="s">
        <v>196</v>
      </c>
      <c r="CTG47" s="3" t="s">
        <v>180</v>
      </c>
      <c r="CTH47" s="3" t="s">
        <v>26</v>
      </c>
      <c r="CTI47" s="3" t="s">
        <v>197</v>
      </c>
      <c r="CTL47" s="3" t="s">
        <v>198</v>
      </c>
      <c r="CTM47" s="2" t="s">
        <v>195</v>
      </c>
      <c r="CTN47" s="3" t="s">
        <v>196</v>
      </c>
      <c r="CTO47" s="3" t="s">
        <v>180</v>
      </c>
      <c r="CTP47" s="3" t="s">
        <v>26</v>
      </c>
      <c r="CTQ47" s="3" t="s">
        <v>197</v>
      </c>
      <c r="CTT47" s="3" t="s">
        <v>198</v>
      </c>
      <c r="CTU47" s="2" t="s">
        <v>195</v>
      </c>
      <c r="CTV47" s="3" t="s">
        <v>196</v>
      </c>
      <c r="CTW47" s="3" t="s">
        <v>180</v>
      </c>
      <c r="CTX47" s="3" t="s">
        <v>26</v>
      </c>
      <c r="CTY47" s="3" t="s">
        <v>197</v>
      </c>
      <c r="CUB47" s="3" t="s">
        <v>198</v>
      </c>
      <c r="CUC47" s="2" t="s">
        <v>195</v>
      </c>
      <c r="CUD47" s="3" t="s">
        <v>196</v>
      </c>
      <c r="CUE47" s="3" t="s">
        <v>180</v>
      </c>
      <c r="CUF47" s="3" t="s">
        <v>26</v>
      </c>
      <c r="CUG47" s="3" t="s">
        <v>197</v>
      </c>
      <c r="CUJ47" s="3" t="s">
        <v>198</v>
      </c>
      <c r="CUK47" s="2" t="s">
        <v>195</v>
      </c>
      <c r="CUL47" s="3" t="s">
        <v>196</v>
      </c>
      <c r="CUM47" s="3" t="s">
        <v>180</v>
      </c>
      <c r="CUN47" s="3" t="s">
        <v>26</v>
      </c>
      <c r="CUO47" s="3" t="s">
        <v>197</v>
      </c>
      <c r="CUR47" s="3" t="s">
        <v>198</v>
      </c>
      <c r="CUS47" s="2" t="s">
        <v>195</v>
      </c>
      <c r="CUT47" s="3" t="s">
        <v>196</v>
      </c>
      <c r="CUU47" s="3" t="s">
        <v>180</v>
      </c>
      <c r="CUV47" s="3" t="s">
        <v>26</v>
      </c>
      <c r="CUW47" s="3" t="s">
        <v>197</v>
      </c>
      <c r="CUZ47" s="3" t="s">
        <v>198</v>
      </c>
      <c r="CVA47" s="2" t="s">
        <v>195</v>
      </c>
      <c r="CVB47" s="3" t="s">
        <v>196</v>
      </c>
      <c r="CVC47" s="3" t="s">
        <v>180</v>
      </c>
      <c r="CVD47" s="3" t="s">
        <v>26</v>
      </c>
      <c r="CVE47" s="3" t="s">
        <v>197</v>
      </c>
      <c r="CVH47" s="3" t="s">
        <v>198</v>
      </c>
      <c r="CVI47" s="2" t="s">
        <v>195</v>
      </c>
      <c r="CVJ47" s="3" t="s">
        <v>196</v>
      </c>
      <c r="CVK47" s="3" t="s">
        <v>180</v>
      </c>
      <c r="CVL47" s="3" t="s">
        <v>26</v>
      </c>
      <c r="CVM47" s="3" t="s">
        <v>197</v>
      </c>
      <c r="CVP47" s="3" t="s">
        <v>198</v>
      </c>
      <c r="CVQ47" s="2" t="s">
        <v>195</v>
      </c>
      <c r="CVR47" s="3" t="s">
        <v>196</v>
      </c>
      <c r="CVS47" s="3" t="s">
        <v>180</v>
      </c>
      <c r="CVT47" s="3" t="s">
        <v>26</v>
      </c>
      <c r="CVU47" s="3" t="s">
        <v>197</v>
      </c>
      <c r="CVX47" s="3" t="s">
        <v>198</v>
      </c>
      <c r="CVY47" s="2" t="s">
        <v>195</v>
      </c>
      <c r="CVZ47" s="3" t="s">
        <v>196</v>
      </c>
      <c r="CWA47" s="3" t="s">
        <v>180</v>
      </c>
      <c r="CWB47" s="3" t="s">
        <v>26</v>
      </c>
      <c r="CWC47" s="3" t="s">
        <v>197</v>
      </c>
      <c r="CWF47" s="3" t="s">
        <v>198</v>
      </c>
      <c r="CWG47" s="2" t="s">
        <v>195</v>
      </c>
      <c r="CWH47" s="3" t="s">
        <v>196</v>
      </c>
      <c r="CWI47" s="3" t="s">
        <v>180</v>
      </c>
      <c r="CWJ47" s="3" t="s">
        <v>26</v>
      </c>
      <c r="CWK47" s="3" t="s">
        <v>197</v>
      </c>
      <c r="CWN47" s="3" t="s">
        <v>198</v>
      </c>
      <c r="CWO47" s="2" t="s">
        <v>195</v>
      </c>
      <c r="CWP47" s="3" t="s">
        <v>196</v>
      </c>
      <c r="CWQ47" s="3" t="s">
        <v>180</v>
      </c>
      <c r="CWR47" s="3" t="s">
        <v>26</v>
      </c>
      <c r="CWS47" s="3" t="s">
        <v>197</v>
      </c>
      <c r="CWV47" s="3" t="s">
        <v>198</v>
      </c>
      <c r="CWW47" s="2" t="s">
        <v>195</v>
      </c>
      <c r="CWX47" s="3" t="s">
        <v>196</v>
      </c>
      <c r="CWY47" s="3" t="s">
        <v>180</v>
      </c>
      <c r="CWZ47" s="3" t="s">
        <v>26</v>
      </c>
      <c r="CXA47" s="3" t="s">
        <v>197</v>
      </c>
      <c r="CXD47" s="3" t="s">
        <v>198</v>
      </c>
      <c r="CXE47" s="2" t="s">
        <v>195</v>
      </c>
      <c r="CXF47" s="3" t="s">
        <v>196</v>
      </c>
      <c r="CXG47" s="3" t="s">
        <v>180</v>
      </c>
      <c r="CXH47" s="3" t="s">
        <v>26</v>
      </c>
      <c r="CXI47" s="3" t="s">
        <v>197</v>
      </c>
      <c r="CXL47" s="3" t="s">
        <v>198</v>
      </c>
      <c r="CXM47" s="2" t="s">
        <v>195</v>
      </c>
      <c r="CXN47" s="3" t="s">
        <v>196</v>
      </c>
      <c r="CXO47" s="3" t="s">
        <v>180</v>
      </c>
      <c r="CXP47" s="3" t="s">
        <v>26</v>
      </c>
      <c r="CXQ47" s="3" t="s">
        <v>197</v>
      </c>
      <c r="CXT47" s="3" t="s">
        <v>198</v>
      </c>
      <c r="CXU47" s="2" t="s">
        <v>195</v>
      </c>
      <c r="CXV47" s="3" t="s">
        <v>196</v>
      </c>
      <c r="CXW47" s="3" t="s">
        <v>180</v>
      </c>
      <c r="CXX47" s="3" t="s">
        <v>26</v>
      </c>
      <c r="CXY47" s="3" t="s">
        <v>197</v>
      </c>
      <c r="CYB47" s="3" t="s">
        <v>198</v>
      </c>
      <c r="CYC47" s="2" t="s">
        <v>195</v>
      </c>
      <c r="CYD47" s="3" t="s">
        <v>196</v>
      </c>
      <c r="CYE47" s="3" t="s">
        <v>180</v>
      </c>
      <c r="CYF47" s="3" t="s">
        <v>26</v>
      </c>
      <c r="CYG47" s="3" t="s">
        <v>197</v>
      </c>
      <c r="CYJ47" s="3" t="s">
        <v>198</v>
      </c>
      <c r="CYK47" s="2" t="s">
        <v>195</v>
      </c>
      <c r="CYL47" s="3" t="s">
        <v>196</v>
      </c>
      <c r="CYM47" s="3" t="s">
        <v>180</v>
      </c>
      <c r="CYN47" s="3" t="s">
        <v>26</v>
      </c>
      <c r="CYO47" s="3" t="s">
        <v>197</v>
      </c>
      <c r="CYR47" s="3" t="s">
        <v>198</v>
      </c>
      <c r="CYS47" s="2" t="s">
        <v>195</v>
      </c>
      <c r="CYT47" s="3" t="s">
        <v>196</v>
      </c>
      <c r="CYU47" s="3" t="s">
        <v>180</v>
      </c>
      <c r="CYV47" s="3" t="s">
        <v>26</v>
      </c>
      <c r="CYW47" s="3" t="s">
        <v>197</v>
      </c>
      <c r="CYZ47" s="3" t="s">
        <v>198</v>
      </c>
      <c r="CZA47" s="2" t="s">
        <v>195</v>
      </c>
      <c r="CZB47" s="3" t="s">
        <v>196</v>
      </c>
      <c r="CZC47" s="3" t="s">
        <v>180</v>
      </c>
      <c r="CZD47" s="3" t="s">
        <v>26</v>
      </c>
      <c r="CZE47" s="3" t="s">
        <v>197</v>
      </c>
      <c r="CZH47" s="3" t="s">
        <v>198</v>
      </c>
      <c r="CZI47" s="2" t="s">
        <v>195</v>
      </c>
      <c r="CZJ47" s="3" t="s">
        <v>196</v>
      </c>
      <c r="CZK47" s="3" t="s">
        <v>180</v>
      </c>
      <c r="CZL47" s="3" t="s">
        <v>26</v>
      </c>
      <c r="CZM47" s="3" t="s">
        <v>197</v>
      </c>
      <c r="CZP47" s="3" t="s">
        <v>198</v>
      </c>
      <c r="CZQ47" s="2" t="s">
        <v>195</v>
      </c>
      <c r="CZR47" s="3" t="s">
        <v>196</v>
      </c>
      <c r="CZS47" s="3" t="s">
        <v>180</v>
      </c>
      <c r="CZT47" s="3" t="s">
        <v>26</v>
      </c>
      <c r="CZU47" s="3" t="s">
        <v>197</v>
      </c>
      <c r="CZX47" s="3" t="s">
        <v>198</v>
      </c>
      <c r="CZY47" s="2" t="s">
        <v>195</v>
      </c>
      <c r="CZZ47" s="3" t="s">
        <v>196</v>
      </c>
      <c r="DAA47" s="3" t="s">
        <v>180</v>
      </c>
      <c r="DAB47" s="3" t="s">
        <v>26</v>
      </c>
      <c r="DAC47" s="3" t="s">
        <v>197</v>
      </c>
      <c r="DAF47" s="3" t="s">
        <v>198</v>
      </c>
      <c r="DAG47" s="2" t="s">
        <v>195</v>
      </c>
      <c r="DAH47" s="3" t="s">
        <v>196</v>
      </c>
      <c r="DAI47" s="3" t="s">
        <v>180</v>
      </c>
      <c r="DAJ47" s="3" t="s">
        <v>26</v>
      </c>
      <c r="DAK47" s="3" t="s">
        <v>197</v>
      </c>
      <c r="DAN47" s="3" t="s">
        <v>198</v>
      </c>
      <c r="DAO47" s="2" t="s">
        <v>195</v>
      </c>
      <c r="DAP47" s="3" t="s">
        <v>196</v>
      </c>
      <c r="DAQ47" s="3" t="s">
        <v>180</v>
      </c>
      <c r="DAR47" s="3" t="s">
        <v>26</v>
      </c>
      <c r="DAS47" s="3" t="s">
        <v>197</v>
      </c>
      <c r="DAV47" s="3" t="s">
        <v>198</v>
      </c>
      <c r="DAW47" s="2" t="s">
        <v>195</v>
      </c>
      <c r="DAX47" s="3" t="s">
        <v>196</v>
      </c>
      <c r="DAY47" s="3" t="s">
        <v>180</v>
      </c>
      <c r="DAZ47" s="3" t="s">
        <v>26</v>
      </c>
      <c r="DBA47" s="3" t="s">
        <v>197</v>
      </c>
      <c r="DBD47" s="3" t="s">
        <v>198</v>
      </c>
      <c r="DBE47" s="2" t="s">
        <v>195</v>
      </c>
      <c r="DBF47" s="3" t="s">
        <v>196</v>
      </c>
      <c r="DBG47" s="3" t="s">
        <v>180</v>
      </c>
      <c r="DBH47" s="3" t="s">
        <v>26</v>
      </c>
      <c r="DBI47" s="3" t="s">
        <v>197</v>
      </c>
      <c r="DBL47" s="3" t="s">
        <v>198</v>
      </c>
      <c r="DBM47" s="2" t="s">
        <v>195</v>
      </c>
      <c r="DBN47" s="3" t="s">
        <v>196</v>
      </c>
      <c r="DBO47" s="3" t="s">
        <v>180</v>
      </c>
      <c r="DBP47" s="3" t="s">
        <v>26</v>
      </c>
      <c r="DBQ47" s="3" t="s">
        <v>197</v>
      </c>
      <c r="DBT47" s="3" t="s">
        <v>198</v>
      </c>
      <c r="DBU47" s="2" t="s">
        <v>195</v>
      </c>
      <c r="DBV47" s="3" t="s">
        <v>196</v>
      </c>
      <c r="DBW47" s="3" t="s">
        <v>180</v>
      </c>
      <c r="DBX47" s="3" t="s">
        <v>26</v>
      </c>
      <c r="DBY47" s="3" t="s">
        <v>197</v>
      </c>
      <c r="DCB47" s="3" t="s">
        <v>198</v>
      </c>
      <c r="DCC47" s="2" t="s">
        <v>195</v>
      </c>
      <c r="DCD47" s="3" t="s">
        <v>196</v>
      </c>
      <c r="DCE47" s="3" t="s">
        <v>180</v>
      </c>
      <c r="DCF47" s="3" t="s">
        <v>26</v>
      </c>
      <c r="DCG47" s="3" t="s">
        <v>197</v>
      </c>
      <c r="DCJ47" s="3" t="s">
        <v>198</v>
      </c>
      <c r="DCK47" s="2" t="s">
        <v>195</v>
      </c>
      <c r="DCL47" s="3" t="s">
        <v>196</v>
      </c>
      <c r="DCM47" s="3" t="s">
        <v>180</v>
      </c>
      <c r="DCN47" s="3" t="s">
        <v>26</v>
      </c>
      <c r="DCO47" s="3" t="s">
        <v>197</v>
      </c>
      <c r="DCR47" s="3" t="s">
        <v>198</v>
      </c>
      <c r="DCS47" s="2" t="s">
        <v>195</v>
      </c>
      <c r="DCT47" s="3" t="s">
        <v>196</v>
      </c>
      <c r="DCU47" s="3" t="s">
        <v>180</v>
      </c>
      <c r="DCV47" s="3" t="s">
        <v>26</v>
      </c>
      <c r="DCW47" s="3" t="s">
        <v>197</v>
      </c>
      <c r="DCZ47" s="3" t="s">
        <v>198</v>
      </c>
      <c r="DDA47" s="2" t="s">
        <v>195</v>
      </c>
      <c r="DDB47" s="3" t="s">
        <v>196</v>
      </c>
      <c r="DDC47" s="3" t="s">
        <v>180</v>
      </c>
      <c r="DDD47" s="3" t="s">
        <v>26</v>
      </c>
      <c r="DDE47" s="3" t="s">
        <v>197</v>
      </c>
      <c r="DDH47" s="3" t="s">
        <v>198</v>
      </c>
      <c r="DDI47" s="2" t="s">
        <v>195</v>
      </c>
      <c r="DDJ47" s="3" t="s">
        <v>196</v>
      </c>
      <c r="DDK47" s="3" t="s">
        <v>180</v>
      </c>
      <c r="DDL47" s="3" t="s">
        <v>26</v>
      </c>
      <c r="DDM47" s="3" t="s">
        <v>197</v>
      </c>
      <c r="DDP47" s="3" t="s">
        <v>198</v>
      </c>
      <c r="DDQ47" s="2" t="s">
        <v>195</v>
      </c>
      <c r="DDR47" s="3" t="s">
        <v>196</v>
      </c>
      <c r="DDS47" s="3" t="s">
        <v>180</v>
      </c>
      <c r="DDT47" s="3" t="s">
        <v>26</v>
      </c>
      <c r="DDU47" s="3" t="s">
        <v>197</v>
      </c>
      <c r="DDX47" s="3" t="s">
        <v>198</v>
      </c>
      <c r="DDY47" s="2" t="s">
        <v>195</v>
      </c>
      <c r="DDZ47" s="3" t="s">
        <v>196</v>
      </c>
      <c r="DEA47" s="3" t="s">
        <v>180</v>
      </c>
      <c r="DEB47" s="3" t="s">
        <v>26</v>
      </c>
      <c r="DEC47" s="3" t="s">
        <v>197</v>
      </c>
      <c r="DEF47" s="3" t="s">
        <v>198</v>
      </c>
      <c r="DEG47" s="2" t="s">
        <v>195</v>
      </c>
      <c r="DEH47" s="3" t="s">
        <v>196</v>
      </c>
      <c r="DEI47" s="3" t="s">
        <v>180</v>
      </c>
      <c r="DEJ47" s="3" t="s">
        <v>26</v>
      </c>
      <c r="DEK47" s="3" t="s">
        <v>197</v>
      </c>
      <c r="DEN47" s="3" t="s">
        <v>198</v>
      </c>
      <c r="DEO47" s="2" t="s">
        <v>195</v>
      </c>
      <c r="DEP47" s="3" t="s">
        <v>196</v>
      </c>
      <c r="DEQ47" s="3" t="s">
        <v>180</v>
      </c>
      <c r="DER47" s="3" t="s">
        <v>26</v>
      </c>
      <c r="DES47" s="3" t="s">
        <v>197</v>
      </c>
      <c r="DEV47" s="3" t="s">
        <v>198</v>
      </c>
      <c r="DEW47" s="2" t="s">
        <v>195</v>
      </c>
      <c r="DEX47" s="3" t="s">
        <v>196</v>
      </c>
      <c r="DEY47" s="3" t="s">
        <v>180</v>
      </c>
      <c r="DEZ47" s="3" t="s">
        <v>26</v>
      </c>
      <c r="DFA47" s="3" t="s">
        <v>197</v>
      </c>
      <c r="DFD47" s="3" t="s">
        <v>198</v>
      </c>
      <c r="DFE47" s="2" t="s">
        <v>195</v>
      </c>
      <c r="DFF47" s="3" t="s">
        <v>196</v>
      </c>
      <c r="DFG47" s="3" t="s">
        <v>180</v>
      </c>
      <c r="DFH47" s="3" t="s">
        <v>26</v>
      </c>
      <c r="DFI47" s="3" t="s">
        <v>197</v>
      </c>
      <c r="DFL47" s="3" t="s">
        <v>198</v>
      </c>
      <c r="DFM47" s="2" t="s">
        <v>195</v>
      </c>
      <c r="DFN47" s="3" t="s">
        <v>196</v>
      </c>
      <c r="DFO47" s="3" t="s">
        <v>180</v>
      </c>
      <c r="DFP47" s="3" t="s">
        <v>26</v>
      </c>
      <c r="DFQ47" s="3" t="s">
        <v>197</v>
      </c>
      <c r="DFT47" s="3" t="s">
        <v>198</v>
      </c>
      <c r="DFU47" s="2" t="s">
        <v>195</v>
      </c>
      <c r="DFV47" s="3" t="s">
        <v>196</v>
      </c>
      <c r="DFW47" s="3" t="s">
        <v>180</v>
      </c>
      <c r="DFX47" s="3" t="s">
        <v>26</v>
      </c>
      <c r="DFY47" s="3" t="s">
        <v>197</v>
      </c>
      <c r="DGB47" s="3" t="s">
        <v>198</v>
      </c>
      <c r="DGC47" s="2" t="s">
        <v>195</v>
      </c>
      <c r="DGD47" s="3" t="s">
        <v>196</v>
      </c>
      <c r="DGE47" s="3" t="s">
        <v>180</v>
      </c>
      <c r="DGF47" s="3" t="s">
        <v>26</v>
      </c>
      <c r="DGG47" s="3" t="s">
        <v>197</v>
      </c>
      <c r="DGJ47" s="3" t="s">
        <v>198</v>
      </c>
      <c r="DGK47" s="2" t="s">
        <v>195</v>
      </c>
      <c r="DGL47" s="3" t="s">
        <v>196</v>
      </c>
      <c r="DGM47" s="3" t="s">
        <v>180</v>
      </c>
      <c r="DGN47" s="3" t="s">
        <v>26</v>
      </c>
      <c r="DGO47" s="3" t="s">
        <v>197</v>
      </c>
      <c r="DGR47" s="3" t="s">
        <v>198</v>
      </c>
      <c r="DGS47" s="2" t="s">
        <v>195</v>
      </c>
      <c r="DGT47" s="3" t="s">
        <v>196</v>
      </c>
      <c r="DGU47" s="3" t="s">
        <v>180</v>
      </c>
      <c r="DGV47" s="3" t="s">
        <v>26</v>
      </c>
      <c r="DGW47" s="3" t="s">
        <v>197</v>
      </c>
      <c r="DGZ47" s="3" t="s">
        <v>198</v>
      </c>
      <c r="DHA47" s="2" t="s">
        <v>195</v>
      </c>
      <c r="DHB47" s="3" t="s">
        <v>196</v>
      </c>
      <c r="DHC47" s="3" t="s">
        <v>180</v>
      </c>
      <c r="DHD47" s="3" t="s">
        <v>26</v>
      </c>
      <c r="DHE47" s="3" t="s">
        <v>197</v>
      </c>
      <c r="DHH47" s="3" t="s">
        <v>198</v>
      </c>
      <c r="DHI47" s="2" t="s">
        <v>195</v>
      </c>
      <c r="DHJ47" s="3" t="s">
        <v>196</v>
      </c>
      <c r="DHK47" s="3" t="s">
        <v>180</v>
      </c>
      <c r="DHL47" s="3" t="s">
        <v>26</v>
      </c>
      <c r="DHM47" s="3" t="s">
        <v>197</v>
      </c>
      <c r="DHP47" s="3" t="s">
        <v>198</v>
      </c>
      <c r="DHQ47" s="2" t="s">
        <v>195</v>
      </c>
      <c r="DHR47" s="3" t="s">
        <v>196</v>
      </c>
      <c r="DHS47" s="3" t="s">
        <v>180</v>
      </c>
      <c r="DHT47" s="3" t="s">
        <v>26</v>
      </c>
      <c r="DHU47" s="3" t="s">
        <v>197</v>
      </c>
      <c r="DHX47" s="3" t="s">
        <v>198</v>
      </c>
      <c r="DHY47" s="2" t="s">
        <v>195</v>
      </c>
      <c r="DHZ47" s="3" t="s">
        <v>196</v>
      </c>
      <c r="DIA47" s="3" t="s">
        <v>180</v>
      </c>
      <c r="DIB47" s="3" t="s">
        <v>26</v>
      </c>
      <c r="DIC47" s="3" t="s">
        <v>197</v>
      </c>
      <c r="DIF47" s="3" t="s">
        <v>198</v>
      </c>
      <c r="DIG47" s="2" t="s">
        <v>195</v>
      </c>
      <c r="DIH47" s="3" t="s">
        <v>196</v>
      </c>
      <c r="DII47" s="3" t="s">
        <v>180</v>
      </c>
      <c r="DIJ47" s="3" t="s">
        <v>26</v>
      </c>
      <c r="DIK47" s="3" t="s">
        <v>197</v>
      </c>
      <c r="DIN47" s="3" t="s">
        <v>198</v>
      </c>
      <c r="DIO47" s="2" t="s">
        <v>195</v>
      </c>
      <c r="DIP47" s="3" t="s">
        <v>196</v>
      </c>
      <c r="DIQ47" s="3" t="s">
        <v>180</v>
      </c>
      <c r="DIR47" s="3" t="s">
        <v>26</v>
      </c>
      <c r="DIS47" s="3" t="s">
        <v>197</v>
      </c>
      <c r="DIV47" s="3" t="s">
        <v>198</v>
      </c>
      <c r="DIW47" s="2" t="s">
        <v>195</v>
      </c>
      <c r="DIX47" s="3" t="s">
        <v>196</v>
      </c>
      <c r="DIY47" s="3" t="s">
        <v>180</v>
      </c>
      <c r="DIZ47" s="3" t="s">
        <v>26</v>
      </c>
      <c r="DJA47" s="3" t="s">
        <v>197</v>
      </c>
      <c r="DJD47" s="3" t="s">
        <v>198</v>
      </c>
      <c r="DJE47" s="2" t="s">
        <v>195</v>
      </c>
      <c r="DJF47" s="3" t="s">
        <v>196</v>
      </c>
      <c r="DJG47" s="3" t="s">
        <v>180</v>
      </c>
      <c r="DJH47" s="3" t="s">
        <v>26</v>
      </c>
      <c r="DJI47" s="3" t="s">
        <v>197</v>
      </c>
      <c r="DJL47" s="3" t="s">
        <v>198</v>
      </c>
      <c r="DJM47" s="2" t="s">
        <v>195</v>
      </c>
      <c r="DJN47" s="3" t="s">
        <v>196</v>
      </c>
      <c r="DJO47" s="3" t="s">
        <v>180</v>
      </c>
      <c r="DJP47" s="3" t="s">
        <v>26</v>
      </c>
      <c r="DJQ47" s="3" t="s">
        <v>197</v>
      </c>
      <c r="DJT47" s="3" t="s">
        <v>198</v>
      </c>
      <c r="DJU47" s="2" t="s">
        <v>195</v>
      </c>
      <c r="DJV47" s="3" t="s">
        <v>196</v>
      </c>
      <c r="DJW47" s="3" t="s">
        <v>180</v>
      </c>
      <c r="DJX47" s="3" t="s">
        <v>26</v>
      </c>
      <c r="DJY47" s="3" t="s">
        <v>197</v>
      </c>
      <c r="DKB47" s="3" t="s">
        <v>198</v>
      </c>
      <c r="DKC47" s="2" t="s">
        <v>195</v>
      </c>
      <c r="DKD47" s="3" t="s">
        <v>196</v>
      </c>
      <c r="DKE47" s="3" t="s">
        <v>180</v>
      </c>
      <c r="DKF47" s="3" t="s">
        <v>26</v>
      </c>
      <c r="DKG47" s="3" t="s">
        <v>197</v>
      </c>
      <c r="DKJ47" s="3" t="s">
        <v>198</v>
      </c>
      <c r="DKK47" s="2" t="s">
        <v>195</v>
      </c>
      <c r="DKL47" s="3" t="s">
        <v>196</v>
      </c>
      <c r="DKM47" s="3" t="s">
        <v>180</v>
      </c>
      <c r="DKN47" s="3" t="s">
        <v>26</v>
      </c>
      <c r="DKO47" s="3" t="s">
        <v>197</v>
      </c>
      <c r="DKR47" s="3" t="s">
        <v>198</v>
      </c>
      <c r="DKS47" s="2" t="s">
        <v>195</v>
      </c>
      <c r="DKT47" s="3" t="s">
        <v>196</v>
      </c>
      <c r="DKU47" s="3" t="s">
        <v>180</v>
      </c>
      <c r="DKV47" s="3" t="s">
        <v>26</v>
      </c>
      <c r="DKW47" s="3" t="s">
        <v>197</v>
      </c>
      <c r="DKZ47" s="3" t="s">
        <v>198</v>
      </c>
      <c r="DLA47" s="2" t="s">
        <v>195</v>
      </c>
      <c r="DLB47" s="3" t="s">
        <v>196</v>
      </c>
      <c r="DLC47" s="3" t="s">
        <v>180</v>
      </c>
      <c r="DLD47" s="3" t="s">
        <v>26</v>
      </c>
      <c r="DLE47" s="3" t="s">
        <v>197</v>
      </c>
      <c r="DLH47" s="3" t="s">
        <v>198</v>
      </c>
      <c r="DLI47" s="2" t="s">
        <v>195</v>
      </c>
      <c r="DLJ47" s="3" t="s">
        <v>196</v>
      </c>
      <c r="DLK47" s="3" t="s">
        <v>180</v>
      </c>
      <c r="DLL47" s="3" t="s">
        <v>26</v>
      </c>
      <c r="DLM47" s="3" t="s">
        <v>197</v>
      </c>
      <c r="DLP47" s="3" t="s">
        <v>198</v>
      </c>
      <c r="DLQ47" s="2" t="s">
        <v>195</v>
      </c>
      <c r="DLR47" s="3" t="s">
        <v>196</v>
      </c>
      <c r="DLS47" s="3" t="s">
        <v>180</v>
      </c>
      <c r="DLT47" s="3" t="s">
        <v>26</v>
      </c>
      <c r="DLU47" s="3" t="s">
        <v>197</v>
      </c>
      <c r="DLX47" s="3" t="s">
        <v>198</v>
      </c>
      <c r="DLY47" s="2" t="s">
        <v>195</v>
      </c>
      <c r="DLZ47" s="3" t="s">
        <v>196</v>
      </c>
      <c r="DMA47" s="3" t="s">
        <v>180</v>
      </c>
      <c r="DMB47" s="3" t="s">
        <v>26</v>
      </c>
      <c r="DMC47" s="3" t="s">
        <v>197</v>
      </c>
      <c r="DMF47" s="3" t="s">
        <v>198</v>
      </c>
      <c r="DMG47" s="2" t="s">
        <v>195</v>
      </c>
      <c r="DMH47" s="3" t="s">
        <v>196</v>
      </c>
      <c r="DMI47" s="3" t="s">
        <v>180</v>
      </c>
      <c r="DMJ47" s="3" t="s">
        <v>26</v>
      </c>
      <c r="DMK47" s="3" t="s">
        <v>197</v>
      </c>
      <c r="DMN47" s="3" t="s">
        <v>198</v>
      </c>
      <c r="DMO47" s="2" t="s">
        <v>195</v>
      </c>
      <c r="DMP47" s="3" t="s">
        <v>196</v>
      </c>
      <c r="DMQ47" s="3" t="s">
        <v>180</v>
      </c>
      <c r="DMR47" s="3" t="s">
        <v>26</v>
      </c>
      <c r="DMS47" s="3" t="s">
        <v>197</v>
      </c>
      <c r="DMV47" s="3" t="s">
        <v>198</v>
      </c>
      <c r="DMW47" s="2" t="s">
        <v>195</v>
      </c>
      <c r="DMX47" s="3" t="s">
        <v>196</v>
      </c>
      <c r="DMY47" s="3" t="s">
        <v>180</v>
      </c>
      <c r="DMZ47" s="3" t="s">
        <v>26</v>
      </c>
      <c r="DNA47" s="3" t="s">
        <v>197</v>
      </c>
      <c r="DND47" s="3" t="s">
        <v>198</v>
      </c>
      <c r="DNE47" s="2" t="s">
        <v>195</v>
      </c>
      <c r="DNF47" s="3" t="s">
        <v>196</v>
      </c>
      <c r="DNG47" s="3" t="s">
        <v>180</v>
      </c>
      <c r="DNH47" s="3" t="s">
        <v>26</v>
      </c>
      <c r="DNI47" s="3" t="s">
        <v>197</v>
      </c>
      <c r="DNL47" s="3" t="s">
        <v>198</v>
      </c>
      <c r="DNM47" s="2" t="s">
        <v>195</v>
      </c>
      <c r="DNN47" s="3" t="s">
        <v>196</v>
      </c>
      <c r="DNO47" s="3" t="s">
        <v>180</v>
      </c>
      <c r="DNP47" s="3" t="s">
        <v>26</v>
      </c>
      <c r="DNQ47" s="3" t="s">
        <v>197</v>
      </c>
      <c r="DNT47" s="3" t="s">
        <v>198</v>
      </c>
      <c r="DNU47" s="2" t="s">
        <v>195</v>
      </c>
      <c r="DNV47" s="3" t="s">
        <v>196</v>
      </c>
      <c r="DNW47" s="3" t="s">
        <v>180</v>
      </c>
      <c r="DNX47" s="3" t="s">
        <v>26</v>
      </c>
      <c r="DNY47" s="3" t="s">
        <v>197</v>
      </c>
      <c r="DOB47" s="3" t="s">
        <v>198</v>
      </c>
      <c r="DOC47" s="2" t="s">
        <v>195</v>
      </c>
      <c r="DOD47" s="3" t="s">
        <v>196</v>
      </c>
      <c r="DOE47" s="3" t="s">
        <v>180</v>
      </c>
      <c r="DOF47" s="3" t="s">
        <v>26</v>
      </c>
      <c r="DOG47" s="3" t="s">
        <v>197</v>
      </c>
      <c r="DOJ47" s="3" t="s">
        <v>198</v>
      </c>
      <c r="DOK47" s="2" t="s">
        <v>195</v>
      </c>
      <c r="DOL47" s="3" t="s">
        <v>196</v>
      </c>
      <c r="DOM47" s="3" t="s">
        <v>180</v>
      </c>
      <c r="DON47" s="3" t="s">
        <v>26</v>
      </c>
      <c r="DOO47" s="3" t="s">
        <v>197</v>
      </c>
      <c r="DOR47" s="3" t="s">
        <v>198</v>
      </c>
      <c r="DOS47" s="2" t="s">
        <v>195</v>
      </c>
      <c r="DOT47" s="3" t="s">
        <v>196</v>
      </c>
      <c r="DOU47" s="3" t="s">
        <v>180</v>
      </c>
      <c r="DOV47" s="3" t="s">
        <v>26</v>
      </c>
      <c r="DOW47" s="3" t="s">
        <v>197</v>
      </c>
      <c r="DOZ47" s="3" t="s">
        <v>198</v>
      </c>
      <c r="DPA47" s="2" t="s">
        <v>195</v>
      </c>
      <c r="DPB47" s="3" t="s">
        <v>196</v>
      </c>
      <c r="DPC47" s="3" t="s">
        <v>180</v>
      </c>
      <c r="DPD47" s="3" t="s">
        <v>26</v>
      </c>
      <c r="DPE47" s="3" t="s">
        <v>197</v>
      </c>
      <c r="DPH47" s="3" t="s">
        <v>198</v>
      </c>
      <c r="DPI47" s="2" t="s">
        <v>195</v>
      </c>
      <c r="DPJ47" s="3" t="s">
        <v>196</v>
      </c>
      <c r="DPK47" s="3" t="s">
        <v>180</v>
      </c>
      <c r="DPL47" s="3" t="s">
        <v>26</v>
      </c>
      <c r="DPM47" s="3" t="s">
        <v>197</v>
      </c>
      <c r="DPP47" s="3" t="s">
        <v>198</v>
      </c>
      <c r="DPQ47" s="2" t="s">
        <v>195</v>
      </c>
      <c r="DPR47" s="3" t="s">
        <v>196</v>
      </c>
      <c r="DPS47" s="3" t="s">
        <v>180</v>
      </c>
      <c r="DPT47" s="3" t="s">
        <v>26</v>
      </c>
      <c r="DPU47" s="3" t="s">
        <v>197</v>
      </c>
      <c r="DPX47" s="3" t="s">
        <v>198</v>
      </c>
      <c r="DPY47" s="2" t="s">
        <v>195</v>
      </c>
      <c r="DPZ47" s="3" t="s">
        <v>196</v>
      </c>
      <c r="DQA47" s="3" t="s">
        <v>180</v>
      </c>
      <c r="DQB47" s="3" t="s">
        <v>26</v>
      </c>
      <c r="DQC47" s="3" t="s">
        <v>197</v>
      </c>
      <c r="DQF47" s="3" t="s">
        <v>198</v>
      </c>
      <c r="DQG47" s="2" t="s">
        <v>195</v>
      </c>
      <c r="DQH47" s="3" t="s">
        <v>196</v>
      </c>
      <c r="DQI47" s="3" t="s">
        <v>180</v>
      </c>
      <c r="DQJ47" s="3" t="s">
        <v>26</v>
      </c>
      <c r="DQK47" s="3" t="s">
        <v>197</v>
      </c>
      <c r="DQN47" s="3" t="s">
        <v>198</v>
      </c>
      <c r="DQO47" s="2" t="s">
        <v>195</v>
      </c>
      <c r="DQP47" s="3" t="s">
        <v>196</v>
      </c>
      <c r="DQQ47" s="3" t="s">
        <v>180</v>
      </c>
      <c r="DQR47" s="3" t="s">
        <v>26</v>
      </c>
      <c r="DQS47" s="3" t="s">
        <v>197</v>
      </c>
      <c r="DQV47" s="3" t="s">
        <v>198</v>
      </c>
      <c r="DQW47" s="2" t="s">
        <v>195</v>
      </c>
      <c r="DQX47" s="3" t="s">
        <v>196</v>
      </c>
      <c r="DQY47" s="3" t="s">
        <v>180</v>
      </c>
      <c r="DQZ47" s="3" t="s">
        <v>26</v>
      </c>
      <c r="DRA47" s="3" t="s">
        <v>197</v>
      </c>
      <c r="DRD47" s="3" t="s">
        <v>198</v>
      </c>
      <c r="DRE47" s="2" t="s">
        <v>195</v>
      </c>
      <c r="DRF47" s="3" t="s">
        <v>196</v>
      </c>
      <c r="DRG47" s="3" t="s">
        <v>180</v>
      </c>
      <c r="DRH47" s="3" t="s">
        <v>26</v>
      </c>
      <c r="DRI47" s="3" t="s">
        <v>197</v>
      </c>
      <c r="DRL47" s="3" t="s">
        <v>198</v>
      </c>
      <c r="DRM47" s="2" t="s">
        <v>195</v>
      </c>
      <c r="DRN47" s="3" t="s">
        <v>196</v>
      </c>
      <c r="DRO47" s="3" t="s">
        <v>180</v>
      </c>
      <c r="DRP47" s="3" t="s">
        <v>26</v>
      </c>
      <c r="DRQ47" s="3" t="s">
        <v>197</v>
      </c>
      <c r="DRT47" s="3" t="s">
        <v>198</v>
      </c>
      <c r="DRU47" s="2" t="s">
        <v>195</v>
      </c>
      <c r="DRV47" s="3" t="s">
        <v>196</v>
      </c>
      <c r="DRW47" s="3" t="s">
        <v>180</v>
      </c>
      <c r="DRX47" s="3" t="s">
        <v>26</v>
      </c>
      <c r="DRY47" s="3" t="s">
        <v>197</v>
      </c>
      <c r="DSB47" s="3" t="s">
        <v>198</v>
      </c>
      <c r="DSC47" s="2" t="s">
        <v>195</v>
      </c>
      <c r="DSD47" s="3" t="s">
        <v>196</v>
      </c>
      <c r="DSE47" s="3" t="s">
        <v>180</v>
      </c>
      <c r="DSF47" s="3" t="s">
        <v>26</v>
      </c>
      <c r="DSG47" s="3" t="s">
        <v>197</v>
      </c>
      <c r="DSJ47" s="3" t="s">
        <v>198</v>
      </c>
      <c r="DSK47" s="2" t="s">
        <v>195</v>
      </c>
      <c r="DSL47" s="3" t="s">
        <v>196</v>
      </c>
      <c r="DSM47" s="3" t="s">
        <v>180</v>
      </c>
      <c r="DSN47" s="3" t="s">
        <v>26</v>
      </c>
      <c r="DSO47" s="3" t="s">
        <v>197</v>
      </c>
      <c r="DSR47" s="3" t="s">
        <v>198</v>
      </c>
      <c r="DSS47" s="2" t="s">
        <v>195</v>
      </c>
      <c r="DST47" s="3" t="s">
        <v>196</v>
      </c>
      <c r="DSU47" s="3" t="s">
        <v>180</v>
      </c>
      <c r="DSV47" s="3" t="s">
        <v>26</v>
      </c>
      <c r="DSW47" s="3" t="s">
        <v>197</v>
      </c>
      <c r="DSZ47" s="3" t="s">
        <v>198</v>
      </c>
      <c r="DTA47" s="2" t="s">
        <v>195</v>
      </c>
      <c r="DTB47" s="3" t="s">
        <v>196</v>
      </c>
      <c r="DTC47" s="3" t="s">
        <v>180</v>
      </c>
      <c r="DTD47" s="3" t="s">
        <v>26</v>
      </c>
      <c r="DTE47" s="3" t="s">
        <v>197</v>
      </c>
      <c r="DTH47" s="3" t="s">
        <v>198</v>
      </c>
      <c r="DTI47" s="2" t="s">
        <v>195</v>
      </c>
      <c r="DTJ47" s="3" t="s">
        <v>196</v>
      </c>
      <c r="DTK47" s="3" t="s">
        <v>180</v>
      </c>
      <c r="DTL47" s="3" t="s">
        <v>26</v>
      </c>
      <c r="DTM47" s="3" t="s">
        <v>197</v>
      </c>
      <c r="DTP47" s="3" t="s">
        <v>198</v>
      </c>
      <c r="DTQ47" s="2" t="s">
        <v>195</v>
      </c>
      <c r="DTR47" s="3" t="s">
        <v>196</v>
      </c>
      <c r="DTS47" s="3" t="s">
        <v>180</v>
      </c>
      <c r="DTT47" s="3" t="s">
        <v>26</v>
      </c>
      <c r="DTU47" s="3" t="s">
        <v>197</v>
      </c>
      <c r="DTX47" s="3" t="s">
        <v>198</v>
      </c>
      <c r="DTY47" s="2" t="s">
        <v>195</v>
      </c>
      <c r="DTZ47" s="3" t="s">
        <v>196</v>
      </c>
      <c r="DUA47" s="3" t="s">
        <v>180</v>
      </c>
      <c r="DUB47" s="3" t="s">
        <v>26</v>
      </c>
      <c r="DUC47" s="3" t="s">
        <v>197</v>
      </c>
      <c r="DUF47" s="3" t="s">
        <v>198</v>
      </c>
      <c r="DUG47" s="2" t="s">
        <v>195</v>
      </c>
      <c r="DUH47" s="3" t="s">
        <v>196</v>
      </c>
      <c r="DUI47" s="3" t="s">
        <v>180</v>
      </c>
      <c r="DUJ47" s="3" t="s">
        <v>26</v>
      </c>
      <c r="DUK47" s="3" t="s">
        <v>197</v>
      </c>
      <c r="DUN47" s="3" t="s">
        <v>198</v>
      </c>
      <c r="DUO47" s="2" t="s">
        <v>195</v>
      </c>
      <c r="DUP47" s="3" t="s">
        <v>196</v>
      </c>
      <c r="DUQ47" s="3" t="s">
        <v>180</v>
      </c>
      <c r="DUR47" s="3" t="s">
        <v>26</v>
      </c>
      <c r="DUS47" s="3" t="s">
        <v>197</v>
      </c>
      <c r="DUV47" s="3" t="s">
        <v>198</v>
      </c>
      <c r="DUW47" s="2" t="s">
        <v>195</v>
      </c>
      <c r="DUX47" s="3" t="s">
        <v>196</v>
      </c>
      <c r="DUY47" s="3" t="s">
        <v>180</v>
      </c>
      <c r="DUZ47" s="3" t="s">
        <v>26</v>
      </c>
      <c r="DVA47" s="3" t="s">
        <v>197</v>
      </c>
      <c r="DVD47" s="3" t="s">
        <v>198</v>
      </c>
      <c r="DVE47" s="2" t="s">
        <v>195</v>
      </c>
      <c r="DVF47" s="3" t="s">
        <v>196</v>
      </c>
      <c r="DVG47" s="3" t="s">
        <v>180</v>
      </c>
      <c r="DVH47" s="3" t="s">
        <v>26</v>
      </c>
      <c r="DVI47" s="3" t="s">
        <v>197</v>
      </c>
      <c r="DVL47" s="3" t="s">
        <v>198</v>
      </c>
      <c r="DVM47" s="2" t="s">
        <v>195</v>
      </c>
      <c r="DVN47" s="3" t="s">
        <v>196</v>
      </c>
      <c r="DVO47" s="3" t="s">
        <v>180</v>
      </c>
      <c r="DVP47" s="3" t="s">
        <v>26</v>
      </c>
      <c r="DVQ47" s="3" t="s">
        <v>197</v>
      </c>
      <c r="DVT47" s="3" t="s">
        <v>198</v>
      </c>
      <c r="DVU47" s="2" t="s">
        <v>195</v>
      </c>
      <c r="DVV47" s="3" t="s">
        <v>196</v>
      </c>
      <c r="DVW47" s="3" t="s">
        <v>180</v>
      </c>
      <c r="DVX47" s="3" t="s">
        <v>26</v>
      </c>
      <c r="DVY47" s="3" t="s">
        <v>197</v>
      </c>
      <c r="DWB47" s="3" t="s">
        <v>198</v>
      </c>
      <c r="DWC47" s="2" t="s">
        <v>195</v>
      </c>
      <c r="DWD47" s="3" t="s">
        <v>196</v>
      </c>
      <c r="DWE47" s="3" t="s">
        <v>180</v>
      </c>
      <c r="DWF47" s="3" t="s">
        <v>26</v>
      </c>
      <c r="DWG47" s="3" t="s">
        <v>197</v>
      </c>
      <c r="DWJ47" s="3" t="s">
        <v>198</v>
      </c>
      <c r="DWK47" s="2" t="s">
        <v>195</v>
      </c>
      <c r="DWL47" s="3" t="s">
        <v>196</v>
      </c>
      <c r="DWM47" s="3" t="s">
        <v>180</v>
      </c>
      <c r="DWN47" s="3" t="s">
        <v>26</v>
      </c>
      <c r="DWO47" s="3" t="s">
        <v>197</v>
      </c>
      <c r="DWR47" s="3" t="s">
        <v>198</v>
      </c>
      <c r="DWS47" s="2" t="s">
        <v>195</v>
      </c>
      <c r="DWT47" s="3" t="s">
        <v>196</v>
      </c>
      <c r="DWU47" s="3" t="s">
        <v>180</v>
      </c>
      <c r="DWV47" s="3" t="s">
        <v>26</v>
      </c>
      <c r="DWW47" s="3" t="s">
        <v>197</v>
      </c>
      <c r="DWZ47" s="3" t="s">
        <v>198</v>
      </c>
      <c r="DXA47" s="2" t="s">
        <v>195</v>
      </c>
      <c r="DXB47" s="3" t="s">
        <v>196</v>
      </c>
      <c r="DXC47" s="3" t="s">
        <v>180</v>
      </c>
      <c r="DXD47" s="3" t="s">
        <v>26</v>
      </c>
      <c r="DXE47" s="3" t="s">
        <v>197</v>
      </c>
      <c r="DXH47" s="3" t="s">
        <v>198</v>
      </c>
      <c r="DXI47" s="2" t="s">
        <v>195</v>
      </c>
      <c r="DXJ47" s="3" t="s">
        <v>196</v>
      </c>
      <c r="DXK47" s="3" t="s">
        <v>180</v>
      </c>
      <c r="DXL47" s="3" t="s">
        <v>26</v>
      </c>
      <c r="DXM47" s="3" t="s">
        <v>197</v>
      </c>
      <c r="DXP47" s="3" t="s">
        <v>198</v>
      </c>
      <c r="DXQ47" s="2" t="s">
        <v>195</v>
      </c>
      <c r="DXR47" s="3" t="s">
        <v>196</v>
      </c>
      <c r="DXS47" s="3" t="s">
        <v>180</v>
      </c>
      <c r="DXT47" s="3" t="s">
        <v>26</v>
      </c>
      <c r="DXU47" s="3" t="s">
        <v>197</v>
      </c>
      <c r="DXX47" s="3" t="s">
        <v>198</v>
      </c>
      <c r="DXY47" s="2" t="s">
        <v>195</v>
      </c>
      <c r="DXZ47" s="3" t="s">
        <v>196</v>
      </c>
      <c r="DYA47" s="3" t="s">
        <v>180</v>
      </c>
      <c r="DYB47" s="3" t="s">
        <v>26</v>
      </c>
      <c r="DYC47" s="3" t="s">
        <v>197</v>
      </c>
      <c r="DYF47" s="3" t="s">
        <v>198</v>
      </c>
      <c r="DYG47" s="2" t="s">
        <v>195</v>
      </c>
      <c r="DYH47" s="3" t="s">
        <v>196</v>
      </c>
      <c r="DYI47" s="3" t="s">
        <v>180</v>
      </c>
      <c r="DYJ47" s="3" t="s">
        <v>26</v>
      </c>
      <c r="DYK47" s="3" t="s">
        <v>197</v>
      </c>
      <c r="DYN47" s="3" t="s">
        <v>198</v>
      </c>
      <c r="DYO47" s="2" t="s">
        <v>195</v>
      </c>
      <c r="DYP47" s="3" t="s">
        <v>196</v>
      </c>
      <c r="DYQ47" s="3" t="s">
        <v>180</v>
      </c>
      <c r="DYR47" s="3" t="s">
        <v>26</v>
      </c>
      <c r="DYS47" s="3" t="s">
        <v>197</v>
      </c>
      <c r="DYV47" s="3" t="s">
        <v>198</v>
      </c>
      <c r="DYW47" s="2" t="s">
        <v>195</v>
      </c>
      <c r="DYX47" s="3" t="s">
        <v>196</v>
      </c>
      <c r="DYY47" s="3" t="s">
        <v>180</v>
      </c>
      <c r="DYZ47" s="3" t="s">
        <v>26</v>
      </c>
      <c r="DZA47" s="3" t="s">
        <v>197</v>
      </c>
      <c r="DZD47" s="3" t="s">
        <v>198</v>
      </c>
      <c r="DZE47" s="2" t="s">
        <v>195</v>
      </c>
      <c r="DZF47" s="3" t="s">
        <v>196</v>
      </c>
      <c r="DZG47" s="3" t="s">
        <v>180</v>
      </c>
      <c r="DZH47" s="3" t="s">
        <v>26</v>
      </c>
      <c r="DZI47" s="3" t="s">
        <v>197</v>
      </c>
      <c r="DZL47" s="3" t="s">
        <v>198</v>
      </c>
      <c r="DZM47" s="2" t="s">
        <v>195</v>
      </c>
      <c r="DZN47" s="3" t="s">
        <v>196</v>
      </c>
      <c r="DZO47" s="3" t="s">
        <v>180</v>
      </c>
      <c r="DZP47" s="3" t="s">
        <v>26</v>
      </c>
      <c r="DZQ47" s="3" t="s">
        <v>197</v>
      </c>
      <c r="DZT47" s="3" t="s">
        <v>198</v>
      </c>
      <c r="DZU47" s="2" t="s">
        <v>195</v>
      </c>
      <c r="DZV47" s="3" t="s">
        <v>196</v>
      </c>
      <c r="DZW47" s="3" t="s">
        <v>180</v>
      </c>
      <c r="DZX47" s="3" t="s">
        <v>26</v>
      </c>
      <c r="DZY47" s="3" t="s">
        <v>197</v>
      </c>
      <c r="EAB47" s="3" t="s">
        <v>198</v>
      </c>
      <c r="EAC47" s="2" t="s">
        <v>195</v>
      </c>
      <c r="EAD47" s="3" t="s">
        <v>196</v>
      </c>
      <c r="EAE47" s="3" t="s">
        <v>180</v>
      </c>
      <c r="EAF47" s="3" t="s">
        <v>26</v>
      </c>
      <c r="EAG47" s="3" t="s">
        <v>197</v>
      </c>
      <c r="EAJ47" s="3" t="s">
        <v>198</v>
      </c>
      <c r="EAK47" s="2" t="s">
        <v>195</v>
      </c>
      <c r="EAL47" s="3" t="s">
        <v>196</v>
      </c>
      <c r="EAM47" s="3" t="s">
        <v>180</v>
      </c>
      <c r="EAN47" s="3" t="s">
        <v>26</v>
      </c>
      <c r="EAO47" s="3" t="s">
        <v>197</v>
      </c>
      <c r="EAR47" s="3" t="s">
        <v>198</v>
      </c>
      <c r="EAS47" s="2" t="s">
        <v>195</v>
      </c>
      <c r="EAT47" s="3" t="s">
        <v>196</v>
      </c>
      <c r="EAU47" s="3" t="s">
        <v>180</v>
      </c>
      <c r="EAV47" s="3" t="s">
        <v>26</v>
      </c>
      <c r="EAW47" s="3" t="s">
        <v>197</v>
      </c>
      <c r="EAZ47" s="3" t="s">
        <v>198</v>
      </c>
      <c r="EBA47" s="2" t="s">
        <v>195</v>
      </c>
      <c r="EBB47" s="3" t="s">
        <v>196</v>
      </c>
      <c r="EBC47" s="3" t="s">
        <v>180</v>
      </c>
      <c r="EBD47" s="3" t="s">
        <v>26</v>
      </c>
      <c r="EBE47" s="3" t="s">
        <v>197</v>
      </c>
      <c r="EBH47" s="3" t="s">
        <v>198</v>
      </c>
      <c r="EBI47" s="2" t="s">
        <v>195</v>
      </c>
      <c r="EBJ47" s="3" t="s">
        <v>196</v>
      </c>
      <c r="EBK47" s="3" t="s">
        <v>180</v>
      </c>
      <c r="EBL47" s="3" t="s">
        <v>26</v>
      </c>
      <c r="EBM47" s="3" t="s">
        <v>197</v>
      </c>
      <c r="EBP47" s="3" t="s">
        <v>198</v>
      </c>
      <c r="EBQ47" s="2" t="s">
        <v>195</v>
      </c>
      <c r="EBR47" s="3" t="s">
        <v>196</v>
      </c>
      <c r="EBS47" s="3" t="s">
        <v>180</v>
      </c>
      <c r="EBT47" s="3" t="s">
        <v>26</v>
      </c>
      <c r="EBU47" s="3" t="s">
        <v>197</v>
      </c>
      <c r="EBX47" s="3" t="s">
        <v>198</v>
      </c>
      <c r="EBY47" s="2" t="s">
        <v>195</v>
      </c>
      <c r="EBZ47" s="3" t="s">
        <v>196</v>
      </c>
      <c r="ECA47" s="3" t="s">
        <v>180</v>
      </c>
      <c r="ECB47" s="3" t="s">
        <v>26</v>
      </c>
      <c r="ECC47" s="3" t="s">
        <v>197</v>
      </c>
      <c r="ECF47" s="3" t="s">
        <v>198</v>
      </c>
      <c r="ECG47" s="2" t="s">
        <v>195</v>
      </c>
      <c r="ECH47" s="3" t="s">
        <v>196</v>
      </c>
      <c r="ECI47" s="3" t="s">
        <v>180</v>
      </c>
      <c r="ECJ47" s="3" t="s">
        <v>26</v>
      </c>
      <c r="ECK47" s="3" t="s">
        <v>197</v>
      </c>
      <c r="ECN47" s="3" t="s">
        <v>198</v>
      </c>
      <c r="ECO47" s="2" t="s">
        <v>195</v>
      </c>
      <c r="ECP47" s="3" t="s">
        <v>196</v>
      </c>
      <c r="ECQ47" s="3" t="s">
        <v>180</v>
      </c>
      <c r="ECR47" s="3" t="s">
        <v>26</v>
      </c>
      <c r="ECS47" s="3" t="s">
        <v>197</v>
      </c>
      <c r="ECV47" s="3" t="s">
        <v>198</v>
      </c>
      <c r="ECW47" s="2" t="s">
        <v>195</v>
      </c>
      <c r="ECX47" s="3" t="s">
        <v>196</v>
      </c>
      <c r="ECY47" s="3" t="s">
        <v>180</v>
      </c>
      <c r="ECZ47" s="3" t="s">
        <v>26</v>
      </c>
      <c r="EDA47" s="3" t="s">
        <v>197</v>
      </c>
      <c r="EDD47" s="3" t="s">
        <v>198</v>
      </c>
      <c r="EDE47" s="2" t="s">
        <v>195</v>
      </c>
      <c r="EDF47" s="3" t="s">
        <v>196</v>
      </c>
      <c r="EDG47" s="3" t="s">
        <v>180</v>
      </c>
      <c r="EDH47" s="3" t="s">
        <v>26</v>
      </c>
      <c r="EDI47" s="3" t="s">
        <v>197</v>
      </c>
      <c r="EDL47" s="3" t="s">
        <v>198</v>
      </c>
      <c r="EDM47" s="2" t="s">
        <v>195</v>
      </c>
      <c r="EDN47" s="3" t="s">
        <v>196</v>
      </c>
      <c r="EDO47" s="3" t="s">
        <v>180</v>
      </c>
      <c r="EDP47" s="3" t="s">
        <v>26</v>
      </c>
      <c r="EDQ47" s="3" t="s">
        <v>197</v>
      </c>
      <c r="EDT47" s="3" t="s">
        <v>198</v>
      </c>
      <c r="EDU47" s="2" t="s">
        <v>195</v>
      </c>
      <c r="EDV47" s="3" t="s">
        <v>196</v>
      </c>
      <c r="EDW47" s="3" t="s">
        <v>180</v>
      </c>
      <c r="EDX47" s="3" t="s">
        <v>26</v>
      </c>
      <c r="EDY47" s="3" t="s">
        <v>197</v>
      </c>
      <c r="EEB47" s="3" t="s">
        <v>198</v>
      </c>
      <c r="EEC47" s="2" t="s">
        <v>195</v>
      </c>
      <c r="EED47" s="3" t="s">
        <v>196</v>
      </c>
      <c r="EEE47" s="3" t="s">
        <v>180</v>
      </c>
      <c r="EEF47" s="3" t="s">
        <v>26</v>
      </c>
      <c r="EEG47" s="3" t="s">
        <v>197</v>
      </c>
      <c r="EEJ47" s="3" t="s">
        <v>198</v>
      </c>
      <c r="EEK47" s="2" t="s">
        <v>195</v>
      </c>
      <c r="EEL47" s="3" t="s">
        <v>196</v>
      </c>
      <c r="EEM47" s="3" t="s">
        <v>180</v>
      </c>
      <c r="EEN47" s="3" t="s">
        <v>26</v>
      </c>
      <c r="EEO47" s="3" t="s">
        <v>197</v>
      </c>
      <c r="EER47" s="3" t="s">
        <v>198</v>
      </c>
      <c r="EES47" s="2" t="s">
        <v>195</v>
      </c>
      <c r="EET47" s="3" t="s">
        <v>196</v>
      </c>
      <c r="EEU47" s="3" t="s">
        <v>180</v>
      </c>
      <c r="EEV47" s="3" t="s">
        <v>26</v>
      </c>
      <c r="EEW47" s="3" t="s">
        <v>197</v>
      </c>
      <c r="EEZ47" s="3" t="s">
        <v>198</v>
      </c>
      <c r="EFA47" s="2" t="s">
        <v>195</v>
      </c>
      <c r="EFB47" s="3" t="s">
        <v>196</v>
      </c>
      <c r="EFC47" s="3" t="s">
        <v>180</v>
      </c>
      <c r="EFD47" s="3" t="s">
        <v>26</v>
      </c>
      <c r="EFE47" s="3" t="s">
        <v>197</v>
      </c>
      <c r="EFH47" s="3" t="s">
        <v>198</v>
      </c>
      <c r="EFI47" s="2" t="s">
        <v>195</v>
      </c>
      <c r="EFJ47" s="3" t="s">
        <v>196</v>
      </c>
      <c r="EFK47" s="3" t="s">
        <v>180</v>
      </c>
      <c r="EFL47" s="3" t="s">
        <v>26</v>
      </c>
      <c r="EFM47" s="3" t="s">
        <v>197</v>
      </c>
      <c r="EFP47" s="3" t="s">
        <v>198</v>
      </c>
      <c r="EFQ47" s="2" t="s">
        <v>195</v>
      </c>
      <c r="EFR47" s="3" t="s">
        <v>196</v>
      </c>
      <c r="EFS47" s="3" t="s">
        <v>180</v>
      </c>
      <c r="EFT47" s="3" t="s">
        <v>26</v>
      </c>
      <c r="EFU47" s="3" t="s">
        <v>197</v>
      </c>
      <c r="EFX47" s="3" t="s">
        <v>198</v>
      </c>
      <c r="EFY47" s="2" t="s">
        <v>195</v>
      </c>
      <c r="EFZ47" s="3" t="s">
        <v>196</v>
      </c>
      <c r="EGA47" s="3" t="s">
        <v>180</v>
      </c>
      <c r="EGB47" s="3" t="s">
        <v>26</v>
      </c>
      <c r="EGC47" s="3" t="s">
        <v>197</v>
      </c>
      <c r="EGF47" s="3" t="s">
        <v>198</v>
      </c>
      <c r="EGG47" s="2" t="s">
        <v>195</v>
      </c>
      <c r="EGH47" s="3" t="s">
        <v>196</v>
      </c>
      <c r="EGI47" s="3" t="s">
        <v>180</v>
      </c>
      <c r="EGJ47" s="3" t="s">
        <v>26</v>
      </c>
      <c r="EGK47" s="3" t="s">
        <v>197</v>
      </c>
      <c r="EGN47" s="3" t="s">
        <v>198</v>
      </c>
      <c r="EGO47" s="2" t="s">
        <v>195</v>
      </c>
      <c r="EGP47" s="3" t="s">
        <v>196</v>
      </c>
      <c r="EGQ47" s="3" t="s">
        <v>180</v>
      </c>
      <c r="EGR47" s="3" t="s">
        <v>26</v>
      </c>
      <c r="EGS47" s="3" t="s">
        <v>197</v>
      </c>
      <c r="EGV47" s="3" t="s">
        <v>198</v>
      </c>
      <c r="EGW47" s="2" t="s">
        <v>195</v>
      </c>
      <c r="EGX47" s="3" t="s">
        <v>196</v>
      </c>
      <c r="EGY47" s="3" t="s">
        <v>180</v>
      </c>
      <c r="EGZ47" s="3" t="s">
        <v>26</v>
      </c>
      <c r="EHA47" s="3" t="s">
        <v>197</v>
      </c>
      <c r="EHD47" s="3" t="s">
        <v>198</v>
      </c>
      <c r="EHE47" s="2" t="s">
        <v>195</v>
      </c>
      <c r="EHF47" s="3" t="s">
        <v>196</v>
      </c>
      <c r="EHG47" s="3" t="s">
        <v>180</v>
      </c>
      <c r="EHH47" s="3" t="s">
        <v>26</v>
      </c>
      <c r="EHI47" s="3" t="s">
        <v>197</v>
      </c>
      <c r="EHL47" s="3" t="s">
        <v>198</v>
      </c>
      <c r="EHM47" s="2" t="s">
        <v>195</v>
      </c>
      <c r="EHN47" s="3" t="s">
        <v>196</v>
      </c>
      <c r="EHO47" s="3" t="s">
        <v>180</v>
      </c>
      <c r="EHP47" s="3" t="s">
        <v>26</v>
      </c>
      <c r="EHQ47" s="3" t="s">
        <v>197</v>
      </c>
      <c r="EHT47" s="3" t="s">
        <v>198</v>
      </c>
      <c r="EHU47" s="2" t="s">
        <v>195</v>
      </c>
      <c r="EHV47" s="3" t="s">
        <v>196</v>
      </c>
      <c r="EHW47" s="3" t="s">
        <v>180</v>
      </c>
      <c r="EHX47" s="3" t="s">
        <v>26</v>
      </c>
      <c r="EHY47" s="3" t="s">
        <v>197</v>
      </c>
      <c r="EIB47" s="3" t="s">
        <v>198</v>
      </c>
      <c r="EIC47" s="2" t="s">
        <v>195</v>
      </c>
      <c r="EID47" s="3" t="s">
        <v>196</v>
      </c>
      <c r="EIE47" s="3" t="s">
        <v>180</v>
      </c>
      <c r="EIF47" s="3" t="s">
        <v>26</v>
      </c>
      <c r="EIG47" s="3" t="s">
        <v>197</v>
      </c>
      <c r="EIJ47" s="3" t="s">
        <v>198</v>
      </c>
      <c r="EIK47" s="2" t="s">
        <v>195</v>
      </c>
      <c r="EIL47" s="3" t="s">
        <v>196</v>
      </c>
      <c r="EIM47" s="3" t="s">
        <v>180</v>
      </c>
      <c r="EIN47" s="3" t="s">
        <v>26</v>
      </c>
      <c r="EIO47" s="3" t="s">
        <v>197</v>
      </c>
      <c r="EIR47" s="3" t="s">
        <v>198</v>
      </c>
      <c r="EIS47" s="2" t="s">
        <v>195</v>
      </c>
      <c r="EIT47" s="3" t="s">
        <v>196</v>
      </c>
      <c r="EIU47" s="3" t="s">
        <v>180</v>
      </c>
      <c r="EIV47" s="3" t="s">
        <v>26</v>
      </c>
      <c r="EIW47" s="3" t="s">
        <v>197</v>
      </c>
      <c r="EIZ47" s="3" t="s">
        <v>198</v>
      </c>
      <c r="EJA47" s="2" t="s">
        <v>195</v>
      </c>
      <c r="EJB47" s="3" t="s">
        <v>196</v>
      </c>
      <c r="EJC47" s="3" t="s">
        <v>180</v>
      </c>
      <c r="EJD47" s="3" t="s">
        <v>26</v>
      </c>
      <c r="EJE47" s="3" t="s">
        <v>197</v>
      </c>
      <c r="EJH47" s="3" t="s">
        <v>198</v>
      </c>
      <c r="EJI47" s="2" t="s">
        <v>195</v>
      </c>
      <c r="EJJ47" s="3" t="s">
        <v>196</v>
      </c>
      <c r="EJK47" s="3" t="s">
        <v>180</v>
      </c>
      <c r="EJL47" s="3" t="s">
        <v>26</v>
      </c>
      <c r="EJM47" s="3" t="s">
        <v>197</v>
      </c>
      <c r="EJP47" s="3" t="s">
        <v>198</v>
      </c>
      <c r="EJQ47" s="2" t="s">
        <v>195</v>
      </c>
      <c r="EJR47" s="3" t="s">
        <v>196</v>
      </c>
      <c r="EJS47" s="3" t="s">
        <v>180</v>
      </c>
      <c r="EJT47" s="3" t="s">
        <v>26</v>
      </c>
      <c r="EJU47" s="3" t="s">
        <v>197</v>
      </c>
      <c r="EJX47" s="3" t="s">
        <v>198</v>
      </c>
      <c r="EJY47" s="2" t="s">
        <v>195</v>
      </c>
      <c r="EJZ47" s="3" t="s">
        <v>196</v>
      </c>
      <c r="EKA47" s="3" t="s">
        <v>180</v>
      </c>
      <c r="EKB47" s="3" t="s">
        <v>26</v>
      </c>
      <c r="EKC47" s="3" t="s">
        <v>197</v>
      </c>
      <c r="EKF47" s="3" t="s">
        <v>198</v>
      </c>
      <c r="EKG47" s="2" t="s">
        <v>195</v>
      </c>
      <c r="EKH47" s="3" t="s">
        <v>196</v>
      </c>
      <c r="EKI47" s="3" t="s">
        <v>180</v>
      </c>
      <c r="EKJ47" s="3" t="s">
        <v>26</v>
      </c>
      <c r="EKK47" s="3" t="s">
        <v>197</v>
      </c>
      <c r="EKN47" s="3" t="s">
        <v>198</v>
      </c>
      <c r="EKO47" s="2" t="s">
        <v>195</v>
      </c>
      <c r="EKP47" s="3" t="s">
        <v>196</v>
      </c>
      <c r="EKQ47" s="3" t="s">
        <v>180</v>
      </c>
      <c r="EKR47" s="3" t="s">
        <v>26</v>
      </c>
      <c r="EKS47" s="3" t="s">
        <v>197</v>
      </c>
      <c r="EKV47" s="3" t="s">
        <v>198</v>
      </c>
      <c r="EKW47" s="2" t="s">
        <v>195</v>
      </c>
      <c r="EKX47" s="3" t="s">
        <v>196</v>
      </c>
      <c r="EKY47" s="3" t="s">
        <v>180</v>
      </c>
      <c r="EKZ47" s="3" t="s">
        <v>26</v>
      </c>
      <c r="ELA47" s="3" t="s">
        <v>197</v>
      </c>
      <c r="ELD47" s="3" t="s">
        <v>198</v>
      </c>
      <c r="ELE47" s="2" t="s">
        <v>195</v>
      </c>
      <c r="ELF47" s="3" t="s">
        <v>196</v>
      </c>
      <c r="ELG47" s="3" t="s">
        <v>180</v>
      </c>
      <c r="ELH47" s="3" t="s">
        <v>26</v>
      </c>
      <c r="ELI47" s="3" t="s">
        <v>197</v>
      </c>
      <c r="ELL47" s="3" t="s">
        <v>198</v>
      </c>
      <c r="ELM47" s="2" t="s">
        <v>195</v>
      </c>
      <c r="ELN47" s="3" t="s">
        <v>196</v>
      </c>
      <c r="ELO47" s="3" t="s">
        <v>180</v>
      </c>
      <c r="ELP47" s="3" t="s">
        <v>26</v>
      </c>
      <c r="ELQ47" s="3" t="s">
        <v>197</v>
      </c>
      <c r="ELT47" s="3" t="s">
        <v>198</v>
      </c>
      <c r="ELU47" s="2" t="s">
        <v>195</v>
      </c>
      <c r="ELV47" s="3" t="s">
        <v>196</v>
      </c>
      <c r="ELW47" s="3" t="s">
        <v>180</v>
      </c>
      <c r="ELX47" s="3" t="s">
        <v>26</v>
      </c>
      <c r="ELY47" s="3" t="s">
        <v>197</v>
      </c>
      <c r="EMB47" s="3" t="s">
        <v>198</v>
      </c>
      <c r="EMC47" s="2" t="s">
        <v>195</v>
      </c>
      <c r="EMD47" s="3" t="s">
        <v>196</v>
      </c>
      <c r="EME47" s="3" t="s">
        <v>180</v>
      </c>
      <c r="EMF47" s="3" t="s">
        <v>26</v>
      </c>
      <c r="EMG47" s="3" t="s">
        <v>197</v>
      </c>
      <c r="EMJ47" s="3" t="s">
        <v>198</v>
      </c>
      <c r="EMK47" s="2" t="s">
        <v>195</v>
      </c>
      <c r="EML47" s="3" t="s">
        <v>196</v>
      </c>
      <c r="EMM47" s="3" t="s">
        <v>180</v>
      </c>
      <c r="EMN47" s="3" t="s">
        <v>26</v>
      </c>
      <c r="EMO47" s="3" t="s">
        <v>197</v>
      </c>
      <c r="EMR47" s="3" t="s">
        <v>198</v>
      </c>
      <c r="EMS47" s="2" t="s">
        <v>195</v>
      </c>
      <c r="EMT47" s="3" t="s">
        <v>196</v>
      </c>
      <c r="EMU47" s="3" t="s">
        <v>180</v>
      </c>
      <c r="EMV47" s="3" t="s">
        <v>26</v>
      </c>
      <c r="EMW47" s="3" t="s">
        <v>197</v>
      </c>
      <c r="EMZ47" s="3" t="s">
        <v>198</v>
      </c>
      <c r="ENA47" s="2" t="s">
        <v>195</v>
      </c>
      <c r="ENB47" s="3" t="s">
        <v>196</v>
      </c>
      <c r="ENC47" s="3" t="s">
        <v>180</v>
      </c>
      <c r="END47" s="3" t="s">
        <v>26</v>
      </c>
      <c r="ENE47" s="3" t="s">
        <v>197</v>
      </c>
      <c r="ENH47" s="3" t="s">
        <v>198</v>
      </c>
      <c r="ENI47" s="2" t="s">
        <v>195</v>
      </c>
      <c r="ENJ47" s="3" t="s">
        <v>196</v>
      </c>
      <c r="ENK47" s="3" t="s">
        <v>180</v>
      </c>
      <c r="ENL47" s="3" t="s">
        <v>26</v>
      </c>
      <c r="ENM47" s="3" t="s">
        <v>197</v>
      </c>
      <c r="ENP47" s="3" t="s">
        <v>198</v>
      </c>
      <c r="ENQ47" s="2" t="s">
        <v>195</v>
      </c>
      <c r="ENR47" s="3" t="s">
        <v>196</v>
      </c>
      <c r="ENS47" s="3" t="s">
        <v>180</v>
      </c>
      <c r="ENT47" s="3" t="s">
        <v>26</v>
      </c>
      <c r="ENU47" s="3" t="s">
        <v>197</v>
      </c>
      <c r="ENX47" s="3" t="s">
        <v>198</v>
      </c>
      <c r="ENY47" s="2" t="s">
        <v>195</v>
      </c>
      <c r="ENZ47" s="3" t="s">
        <v>196</v>
      </c>
      <c r="EOA47" s="3" t="s">
        <v>180</v>
      </c>
      <c r="EOB47" s="3" t="s">
        <v>26</v>
      </c>
      <c r="EOC47" s="3" t="s">
        <v>197</v>
      </c>
      <c r="EOF47" s="3" t="s">
        <v>198</v>
      </c>
      <c r="EOG47" s="2" t="s">
        <v>195</v>
      </c>
      <c r="EOH47" s="3" t="s">
        <v>196</v>
      </c>
      <c r="EOI47" s="3" t="s">
        <v>180</v>
      </c>
      <c r="EOJ47" s="3" t="s">
        <v>26</v>
      </c>
      <c r="EOK47" s="3" t="s">
        <v>197</v>
      </c>
      <c r="EON47" s="3" t="s">
        <v>198</v>
      </c>
      <c r="EOO47" s="2" t="s">
        <v>195</v>
      </c>
      <c r="EOP47" s="3" t="s">
        <v>196</v>
      </c>
      <c r="EOQ47" s="3" t="s">
        <v>180</v>
      </c>
      <c r="EOR47" s="3" t="s">
        <v>26</v>
      </c>
      <c r="EOS47" s="3" t="s">
        <v>197</v>
      </c>
      <c r="EOV47" s="3" t="s">
        <v>198</v>
      </c>
      <c r="EOW47" s="2" t="s">
        <v>195</v>
      </c>
      <c r="EOX47" s="3" t="s">
        <v>196</v>
      </c>
      <c r="EOY47" s="3" t="s">
        <v>180</v>
      </c>
      <c r="EOZ47" s="3" t="s">
        <v>26</v>
      </c>
      <c r="EPA47" s="3" t="s">
        <v>197</v>
      </c>
      <c r="EPD47" s="3" t="s">
        <v>198</v>
      </c>
      <c r="EPE47" s="2" t="s">
        <v>195</v>
      </c>
      <c r="EPF47" s="3" t="s">
        <v>196</v>
      </c>
      <c r="EPG47" s="3" t="s">
        <v>180</v>
      </c>
      <c r="EPH47" s="3" t="s">
        <v>26</v>
      </c>
      <c r="EPI47" s="3" t="s">
        <v>197</v>
      </c>
      <c r="EPL47" s="3" t="s">
        <v>198</v>
      </c>
      <c r="EPM47" s="2" t="s">
        <v>195</v>
      </c>
      <c r="EPN47" s="3" t="s">
        <v>196</v>
      </c>
      <c r="EPO47" s="3" t="s">
        <v>180</v>
      </c>
      <c r="EPP47" s="3" t="s">
        <v>26</v>
      </c>
      <c r="EPQ47" s="3" t="s">
        <v>197</v>
      </c>
      <c r="EPT47" s="3" t="s">
        <v>198</v>
      </c>
      <c r="EPU47" s="2" t="s">
        <v>195</v>
      </c>
      <c r="EPV47" s="3" t="s">
        <v>196</v>
      </c>
      <c r="EPW47" s="3" t="s">
        <v>180</v>
      </c>
      <c r="EPX47" s="3" t="s">
        <v>26</v>
      </c>
      <c r="EPY47" s="3" t="s">
        <v>197</v>
      </c>
      <c r="EQB47" s="3" t="s">
        <v>198</v>
      </c>
      <c r="EQC47" s="2" t="s">
        <v>195</v>
      </c>
      <c r="EQD47" s="3" t="s">
        <v>196</v>
      </c>
      <c r="EQE47" s="3" t="s">
        <v>180</v>
      </c>
      <c r="EQF47" s="3" t="s">
        <v>26</v>
      </c>
      <c r="EQG47" s="3" t="s">
        <v>197</v>
      </c>
      <c r="EQJ47" s="3" t="s">
        <v>198</v>
      </c>
      <c r="EQK47" s="2" t="s">
        <v>195</v>
      </c>
      <c r="EQL47" s="3" t="s">
        <v>196</v>
      </c>
      <c r="EQM47" s="3" t="s">
        <v>180</v>
      </c>
      <c r="EQN47" s="3" t="s">
        <v>26</v>
      </c>
      <c r="EQO47" s="3" t="s">
        <v>197</v>
      </c>
      <c r="EQR47" s="3" t="s">
        <v>198</v>
      </c>
      <c r="EQS47" s="2" t="s">
        <v>195</v>
      </c>
      <c r="EQT47" s="3" t="s">
        <v>196</v>
      </c>
      <c r="EQU47" s="3" t="s">
        <v>180</v>
      </c>
      <c r="EQV47" s="3" t="s">
        <v>26</v>
      </c>
      <c r="EQW47" s="3" t="s">
        <v>197</v>
      </c>
      <c r="EQZ47" s="3" t="s">
        <v>198</v>
      </c>
      <c r="ERA47" s="2" t="s">
        <v>195</v>
      </c>
      <c r="ERB47" s="3" t="s">
        <v>196</v>
      </c>
      <c r="ERC47" s="3" t="s">
        <v>180</v>
      </c>
      <c r="ERD47" s="3" t="s">
        <v>26</v>
      </c>
      <c r="ERE47" s="3" t="s">
        <v>197</v>
      </c>
      <c r="ERH47" s="3" t="s">
        <v>198</v>
      </c>
      <c r="ERI47" s="2" t="s">
        <v>195</v>
      </c>
      <c r="ERJ47" s="3" t="s">
        <v>196</v>
      </c>
      <c r="ERK47" s="3" t="s">
        <v>180</v>
      </c>
      <c r="ERL47" s="3" t="s">
        <v>26</v>
      </c>
      <c r="ERM47" s="3" t="s">
        <v>197</v>
      </c>
      <c r="ERP47" s="3" t="s">
        <v>198</v>
      </c>
      <c r="ERQ47" s="2" t="s">
        <v>195</v>
      </c>
      <c r="ERR47" s="3" t="s">
        <v>196</v>
      </c>
      <c r="ERS47" s="3" t="s">
        <v>180</v>
      </c>
      <c r="ERT47" s="3" t="s">
        <v>26</v>
      </c>
      <c r="ERU47" s="3" t="s">
        <v>197</v>
      </c>
      <c r="ERX47" s="3" t="s">
        <v>198</v>
      </c>
      <c r="ERY47" s="2" t="s">
        <v>195</v>
      </c>
      <c r="ERZ47" s="3" t="s">
        <v>196</v>
      </c>
      <c r="ESA47" s="3" t="s">
        <v>180</v>
      </c>
      <c r="ESB47" s="3" t="s">
        <v>26</v>
      </c>
      <c r="ESC47" s="3" t="s">
        <v>197</v>
      </c>
      <c r="ESF47" s="3" t="s">
        <v>198</v>
      </c>
      <c r="ESG47" s="2" t="s">
        <v>195</v>
      </c>
      <c r="ESH47" s="3" t="s">
        <v>196</v>
      </c>
      <c r="ESI47" s="3" t="s">
        <v>180</v>
      </c>
      <c r="ESJ47" s="3" t="s">
        <v>26</v>
      </c>
      <c r="ESK47" s="3" t="s">
        <v>197</v>
      </c>
      <c r="ESN47" s="3" t="s">
        <v>198</v>
      </c>
      <c r="ESO47" s="2" t="s">
        <v>195</v>
      </c>
      <c r="ESP47" s="3" t="s">
        <v>196</v>
      </c>
      <c r="ESQ47" s="3" t="s">
        <v>180</v>
      </c>
      <c r="ESR47" s="3" t="s">
        <v>26</v>
      </c>
      <c r="ESS47" s="3" t="s">
        <v>197</v>
      </c>
      <c r="ESV47" s="3" t="s">
        <v>198</v>
      </c>
      <c r="ESW47" s="2" t="s">
        <v>195</v>
      </c>
      <c r="ESX47" s="3" t="s">
        <v>196</v>
      </c>
      <c r="ESY47" s="3" t="s">
        <v>180</v>
      </c>
      <c r="ESZ47" s="3" t="s">
        <v>26</v>
      </c>
      <c r="ETA47" s="3" t="s">
        <v>197</v>
      </c>
      <c r="ETD47" s="3" t="s">
        <v>198</v>
      </c>
      <c r="ETE47" s="2" t="s">
        <v>195</v>
      </c>
      <c r="ETF47" s="3" t="s">
        <v>196</v>
      </c>
      <c r="ETG47" s="3" t="s">
        <v>180</v>
      </c>
      <c r="ETH47" s="3" t="s">
        <v>26</v>
      </c>
      <c r="ETI47" s="3" t="s">
        <v>197</v>
      </c>
      <c r="ETL47" s="3" t="s">
        <v>198</v>
      </c>
      <c r="ETM47" s="2" t="s">
        <v>195</v>
      </c>
      <c r="ETN47" s="3" t="s">
        <v>196</v>
      </c>
      <c r="ETO47" s="3" t="s">
        <v>180</v>
      </c>
      <c r="ETP47" s="3" t="s">
        <v>26</v>
      </c>
      <c r="ETQ47" s="3" t="s">
        <v>197</v>
      </c>
      <c r="ETT47" s="3" t="s">
        <v>198</v>
      </c>
      <c r="ETU47" s="2" t="s">
        <v>195</v>
      </c>
      <c r="ETV47" s="3" t="s">
        <v>196</v>
      </c>
      <c r="ETW47" s="3" t="s">
        <v>180</v>
      </c>
      <c r="ETX47" s="3" t="s">
        <v>26</v>
      </c>
      <c r="ETY47" s="3" t="s">
        <v>197</v>
      </c>
      <c r="EUB47" s="3" t="s">
        <v>198</v>
      </c>
      <c r="EUC47" s="2" t="s">
        <v>195</v>
      </c>
      <c r="EUD47" s="3" t="s">
        <v>196</v>
      </c>
      <c r="EUE47" s="3" t="s">
        <v>180</v>
      </c>
      <c r="EUF47" s="3" t="s">
        <v>26</v>
      </c>
      <c r="EUG47" s="3" t="s">
        <v>197</v>
      </c>
      <c r="EUJ47" s="3" t="s">
        <v>198</v>
      </c>
      <c r="EUK47" s="2" t="s">
        <v>195</v>
      </c>
      <c r="EUL47" s="3" t="s">
        <v>196</v>
      </c>
      <c r="EUM47" s="3" t="s">
        <v>180</v>
      </c>
      <c r="EUN47" s="3" t="s">
        <v>26</v>
      </c>
      <c r="EUO47" s="3" t="s">
        <v>197</v>
      </c>
      <c r="EUR47" s="3" t="s">
        <v>198</v>
      </c>
      <c r="EUS47" s="2" t="s">
        <v>195</v>
      </c>
      <c r="EUT47" s="3" t="s">
        <v>196</v>
      </c>
      <c r="EUU47" s="3" t="s">
        <v>180</v>
      </c>
      <c r="EUV47" s="3" t="s">
        <v>26</v>
      </c>
      <c r="EUW47" s="3" t="s">
        <v>197</v>
      </c>
      <c r="EUZ47" s="3" t="s">
        <v>198</v>
      </c>
      <c r="EVA47" s="2" t="s">
        <v>195</v>
      </c>
      <c r="EVB47" s="3" t="s">
        <v>196</v>
      </c>
      <c r="EVC47" s="3" t="s">
        <v>180</v>
      </c>
      <c r="EVD47" s="3" t="s">
        <v>26</v>
      </c>
      <c r="EVE47" s="3" t="s">
        <v>197</v>
      </c>
      <c r="EVH47" s="3" t="s">
        <v>198</v>
      </c>
      <c r="EVI47" s="2" t="s">
        <v>195</v>
      </c>
      <c r="EVJ47" s="3" t="s">
        <v>196</v>
      </c>
      <c r="EVK47" s="3" t="s">
        <v>180</v>
      </c>
      <c r="EVL47" s="3" t="s">
        <v>26</v>
      </c>
      <c r="EVM47" s="3" t="s">
        <v>197</v>
      </c>
      <c r="EVP47" s="3" t="s">
        <v>198</v>
      </c>
      <c r="EVQ47" s="2" t="s">
        <v>195</v>
      </c>
      <c r="EVR47" s="3" t="s">
        <v>196</v>
      </c>
      <c r="EVS47" s="3" t="s">
        <v>180</v>
      </c>
      <c r="EVT47" s="3" t="s">
        <v>26</v>
      </c>
      <c r="EVU47" s="3" t="s">
        <v>197</v>
      </c>
      <c r="EVX47" s="3" t="s">
        <v>198</v>
      </c>
      <c r="EVY47" s="2" t="s">
        <v>195</v>
      </c>
      <c r="EVZ47" s="3" t="s">
        <v>196</v>
      </c>
      <c r="EWA47" s="3" t="s">
        <v>180</v>
      </c>
      <c r="EWB47" s="3" t="s">
        <v>26</v>
      </c>
      <c r="EWC47" s="3" t="s">
        <v>197</v>
      </c>
      <c r="EWF47" s="3" t="s">
        <v>198</v>
      </c>
      <c r="EWG47" s="2" t="s">
        <v>195</v>
      </c>
      <c r="EWH47" s="3" t="s">
        <v>196</v>
      </c>
      <c r="EWI47" s="3" t="s">
        <v>180</v>
      </c>
      <c r="EWJ47" s="3" t="s">
        <v>26</v>
      </c>
      <c r="EWK47" s="3" t="s">
        <v>197</v>
      </c>
      <c r="EWN47" s="3" t="s">
        <v>198</v>
      </c>
      <c r="EWO47" s="2" t="s">
        <v>195</v>
      </c>
      <c r="EWP47" s="3" t="s">
        <v>196</v>
      </c>
      <c r="EWQ47" s="3" t="s">
        <v>180</v>
      </c>
      <c r="EWR47" s="3" t="s">
        <v>26</v>
      </c>
      <c r="EWS47" s="3" t="s">
        <v>197</v>
      </c>
      <c r="EWV47" s="3" t="s">
        <v>198</v>
      </c>
      <c r="EWW47" s="2" t="s">
        <v>195</v>
      </c>
      <c r="EWX47" s="3" t="s">
        <v>196</v>
      </c>
      <c r="EWY47" s="3" t="s">
        <v>180</v>
      </c>
      <c r="EWZ47" s="3" t="s">
        <v>26</v>
      </c>
      <c r="EXA47" s="3" t="s">
        <v>197</v>
      </c>
      <c r="EXD47" s="3" t="s">
        <v>198</v>
      </c>
      <c r="EXE47" s="2" t="s">
        <v>195</v>
      </c>
      <c r="EXF47" s="3" t="s">
        <v>196</v>
      </c>
      <c r="EXG47" s="3" t="s">
        <v>180</v>
      </c>
      <c r="EXH47" s="3" t="s">
        <v>26</v>
      </c>
      <c r="EXI47" s="3" t="s">
        <v>197</v>
      </c>
      <c r="EXL47" s="3" t="s">
        <v>198</v>
      </c>
      <c r="EXM47" s="2" t="s">
        <v>195</v>
      </c>
      <c r="EXN47" s="3" t="s">
        <v>196</v>
      </c>
      <c r="EXO47" s="3" t="s">
        <v>180</v>
      </c>
      <c r="EXP47" s="3" t="s">
        <v>26</v>
      </c>
      <c r="EXQ47" s="3" t="s">
        <v>197</v>
      </c>
      <c r="EXT47" s="3" t="s">
        <v>198</v>
      </c>
      <c r="EXU47" s="2" t="s">
        <v>195</v>
      </c>
      <c r="EXV47" s="3" t="s">
        <v>196</v>
      </c>
      <c r="EXW47" s="3" t="s">
        <v>180</v>
      </c>
      <c r="EXX47" s="3" t="s">
        <v>26</v>
      </c>
      <c r="EXY47" s="3" t="s">
        <v>197</v>
      </c>
      <c r="EYB47" s="3" t="s">
        <v>198</v>
      </c>
      <c r="EYC47" s="2" t="s">
        <v>195</v>
      </c>
      <c r="EYD47" s="3" t="s">
        <v>196</v>
      </c>
      <c r="EYE47" s="3" t="s">
        <v>180</v>
      </c>
      <c r="EYF47" s="3" t="s">
        <v>26</v>
      </c>
      <c r="EYG47" s="3" t="s">
        <v>197</v>
      </c>
      <c r="EYJ47" s="3" t="s">
        <v>198</v>
      </c>
      <c r="EYK47" s="2" t="s">
        <v>195</v>
      </c>
      <c r="EYL47" s="3" t="s">
        <v>196</v>
      </c>
      <c r="EYM47" s="3" t="s">
        <v>180</v>
      </c>
      <c r="EYN47" s="3" t="s">
        <v>26</v>
      </c>
      <c r="EYO47" s="3" t="s">
        <v>197</v>
      </c>
      <c r="EYR47" s="3" t="s">
        <v>198</v>
      </c>
      <c r="EYS47" s="2" t="s">
        <v>195</v>
      </c>
      <c r="EYT47" s="3" t="s">
        <v>196</v>
      </c>
      <c r="EYU47" s="3" t="s">
        <v>180</v>
      </c>
      <c r="EYV47" s="3" t="s">
        <v>26</v>
      </c>
      <c r="EYW47" s="3" t="s">
        <v>197</v>
      </c>
      <c r="EYZ47" s="3" t="s">
        <v>198</v>
      </c>
      <c r="EZA47" s="2" t="s">
        <v>195</v>
      </c>
      <c r="EZB47" s="3" t="s">
        <v>196</v>
      </c>
      <c r="EZC47" s="3" t="s">
        <v>180</v>
      </c>
      <c r="EZD47" s="3" t="s">
        <v>26</v>
      </c>
      <c r="EZE47" s="3" t="s">
        <v>197</v>
      </c>
      <c r="EZH47" s="3" t="s">
        <v>198</v>
      </c>
      <c r="EZI47" s="2" t="s">
        <v>195</v>
      </c>
      <c r="EZJ47" s="3" t="s">
        <v>196</v>
      </c>
      <c r="EZK47" s="3" t="s">
        <v>180</v>
      </c>
      <c r="EZL47" s="3" t="s">
        <v>26</v>
      </c>
      <c r="EZM47" s="3" t="s">
        <v>197</v>
      </c>
      <c r="EZP47" s="3" t="s">
        <v>198</v>
      </c>
      <c r="EZQ47" s="2" t="s">
        <v>195</v>
      </c>
      <c r="EZR47" s="3" t="s">
        <v>196</v>
      </c>
      <c r="EZS47" s="3" t="s">
        <v>180</v>
      </c>
      <c r="EZT47" s="3" t="s">
        <v>26</v>
      </c>
      <c r="EZU47" s="3" t="s">
        <v>197</v>
      </c>
      <c r="EZX47" s="3" t="s">
        <v>198</v>
      </c>
      <c r="EZY47" s="2" t="s">
        <v>195</v>
      </c>
      <c r="EZZ47" s="3" t="s">
        <v>196</v>
      </c>
      <c r="FAA47" s="3" t="s">
        <v>180</v>
      </c>
      <c r="FAB47" s="3" t="s">
        <v>26</v>
      </c>
      <c r="FAC47" s="3" t="s">
        <v>197</v>
      </c>
      <c r="FAF47" s="3" t="s">
        <v>198</v>
      </c>
      <c r="FAG47" s="2" t="s">
        <v>195</v>
      </c>
      <c r="FAH47" s="3" t="s">
        <v>196</v>
      </c>
      <c r="FAI47" s="3" t="s">
        <v>180</v>
      </c>
      <c r="FAJ47" s="3" t="s">
        <v>26</v>
      </c>
      <c r="FAK47" s="3" t="s">
        <v>197</v>
      </c>
      <c r="FAN47" s="3" t="s">
        <v>198</v>
      </c>
      <c r="FAO47" s="2" t="s">
        <v>195</v>
      </c>
      <c r="FAP47" s="3" t="s">
        <v>196</v>
      </c>
      <c r="FAQ47" s="3" t="s">
        <v>180</v>
      </c>
      <c r="FAR47" s="3" t="s">
        <v>26</v>
      </c>
      <c r="FAS47" s="3" t="s">
        <v>197</v>
      </c>
      <c r="FAV47" s="3" t="s">
        <v>198</v>
      </c>
      <c r="FAW47" s="2" t="s">
        <v>195</v>
      </c>
      <c r="FAX47" s="3" t="s">
        <v>196</v>
      </c>
      <c r="FAY47" s="3" t="s">
        <v>180</v>
      </c>
      <c r="FAZ47" s="3" t="s">
        <v>26</v>
      </c>
      <c r="FBA47" s="3" t="s">
        <v>197</v>
      </c>
      <c r="FBD47" s="3" t="s">
        <v>198</v>
      </c>
      <c r="FBE47" s="2" t="s">
        <v>195</v>
      </c>
      <c r="FBF47" s="3" t="s">
        <v>196</v>
      </c>
      <c r="FBG47" s="3" t="s">
        <v>180</v>
      </c>
      <c r="FBH47" s="3" t="s">
        <v>26</v>
      </c>
      <c r="FBI47" s="3" t="s">
        <v>197</v>
      </c>
      <c r="FBL47" s="3" t="s">
        <v>198</v>
      </c>
      <c r="FBM47" s="2" t="s">
        <v>195</v>
      </c>
      <c r="FBN47" s="3" t="s">
        <v>196</v>
      </c>
      <c r="FBO47" s="3" t="s">
        <v>180</v>
      </c>
      <c r="FBP47" s="3" t="s">
        <v>26</v>
      </c>
      <c r="FBQ47" s="3" t="s">
        <v>197</v>
      </c>
      <c r="FBT47" s="3" t="s">
        <v>198</v>
      </c>
      <c r="FBU47" s="2" t="s">
        <v>195</v>
      </c>
      <c r="FBV47" s="3" t="s">
        <v>196</v>
      </c>
      <c r="FBW47" s="3" t="s">
        <v>180</v>
      </c>
      <c r="FBX47" s="3" t="s">
        <v>26</v>
      </c>
      <c r="FBY47" s="3" t="s">
        <v>197</v>
      </c>
      <c r="FCB47" s="3" t="s">
        <v>198</v>
      </c>
      <c r="FCC47" s="2" t="s">
        <v>195</v>
      </c>
      <c r="FCD47" s="3" t="s">
        <v>196</v>
      </c>
      <c r="FCE47" s="3" t="s">
        <v>180</v>
      </c>
      <c r="FCF47" s="3" t="s">
        <v>26</v>
      </c>
      <c r="FCG47" s="3" t="s">
        <v>197</v>
      </c>
      <c r="FCJ47" s="3" t="s">
        <v>198</v>
      </c>
      <c r="FCK47" s="2" t="s">
        <v>195</v>
      </c>
      <c r="FCL47" s="3" t="s">
        <v>196</v>
      </c>
      <c r="FCM47" s="3" t="s">
        <v>180</v>
      </c>
      <c r="FCN47" s="3" t="s">
        <v>26</v>
      </c>
      <c r="FCO47" s="3" t="s">
        <v>197</v>
      </c>
      <c r="FCR47" s="3" t="s">
        <v>198</v>
      </c>
      <c r="FCS47" s="2" t="s">
        <v>195</v>
      </c>
      <c r="FCT47" s="3" t="s">
        <v>196</v>
      </c>
      <c r="FCU47" s="3" t="s">
        <v>180</v>
      </c>
      <c r="FCV47" s="3" t="s">
        <v>26</v>
      </c>
      <c r="FCW47" s="3" t="s">
        <v>197</v>
      </c>
      <c r="FCZ47" s="3" t="s">
        <v>198</v>
      </c>
      <c r="FDA47" s="2" t="s">
        <v>195</v>
      </c>
      <c r="FDB47" s="3" t="s">
        <v>196</v>
      </c>
      <c r="FDC47" s="3" t="s">
        <v>180</v>
      </c>
      <c r="FDD47" s="3" t="s">
        <v>26</v>
      </c>
      <c r="FDE47" s="3" t="s">
        <v>197</v>
      </c>
      <c r="FDH47" s="3" t="s">
        <v>198</v>
      </c>
      <c r="FDI47" s="2" t="s">
        <v>195</v>
      </c>
      <c r="FDJ47" s="3" t="s">
        <v>196</v>
      </c>
      <c r="FDK47" s="3" t="s">
        <v>180</v>
      </c>
      <c r="FDL47" s="3" t="s">
        <v>26</v>
      </c>
      <c r="FDM47" s="3" t="s">
        <v>197</v>
      </c>
      <c r="FDP47" s="3" t="s">
        <v>198</v>
      </c>
      <c r="FDQ47" s="2" t="s">
        <v>195</v>
      </c>
      <c r="FDR47" s="3" t="s">
        <v>196</v>
      </c>
      <c r="FDS47" s="3" t="s">
        <v>180</v>
      </c>
      <c r="FDT47" s="3" t="s">
        <v>26</v>
      </c>
      <c r="FDU47" s="3" t="s">
        <v>197</v>
      </c>
      <c r="FDX47" s="3" t="s">
        <v>198</v>
      </c>
      <c r="FDY47" s="2" t="s">
        <v>195</v>
      </c>
      <c r="FDZ47" s="3" t="s">
        <v>196</v>
      </c>
      <c r="FEA47" s="3" t="s">
        <v>180</v>
      </c>
      <c r="FEB47" s="3" t="s">
        <v>26</v>
      </c>
      <c r="FEC47" s="3" t="s">
        <v>197</v>
      </c>
      <c r="FEF47" s="3" t="s">
        <v>198</v>
      </c>
      <c r="FEG47" s="2" t="s">
        <v>195</v>
      </c>
      <c r="FEH47" s="3" t="s">
        <v>196</v>
      </c>
      <c r="FEI47" s="3" t="s">
        <v>180</v>
      </c>
      <c r="FEJ47" s="3" t="s">
        <v>26</v>
      </c>
      <c r="FEK47" s="3" t="s">
        <v>197</v>
      </c>
      <c r="FEN47" s="3" t="s">
        <v>198</v>
      </c>
      <c r="FEO47" s="2" t="s">
        <v>195</v>
      </c>
      <c r="FEP47" s="3" t="s">
        <v>196</v>
      </c>
      <c r="FEQ47" s="3" t="s">
        <v>180</v>
      </c>
      <c r="FER47" s="3" t="s">
        <v>26</v>
      </c>
      <c r="FES47" s="3" t="s">
        <v>197</v>
      </c>
      <c r="FEV47" s="3" t="s">
        <v>198</v>
      </c>
      <c r="FEW47" s="2" t="s">
        <v>195</v>
      </c>
      <c r="FEX47" s="3" t="s">
        <v>196</v>
      </c>
      <c r="FEY47" s="3" t="s">
        <v>180</v>
      </c>
      <c r="FEZ47" s="3" t="s">
        <v>26</v>
      </c>
      <c r="FFA47" s="3" t="s">
        <v>197</v>
      </c>
      <c r="FFD47" s="3" t="s">
        <v>198</v>
      </c>
      <c r="FFE47" s="2" t="s">
        <v>195</v>
      </c>
      <c r="FFF47" s="3" t="s">
        <v>196</v>
      </c>
      <c r="FFG47" s="3" t="s">
        <v>180</v>
      </c>
      <c r="FFH47" s="3" t="s">
        <v>26</v>
      </c>
      <c r="FFI47" s="3" t="s">
        <v>197</v>
      </c>
      <c r="FFL47" s="3" t="s">
        <v>198</v>
      </c>
      <c r="FFM47" s="2" t="s">
        <v>195</v>
      </c>
      <c r="FFN47" s="3" t="s">
        <v>196</v>
      </c>
      <c r="FFO47" s="3" t="s">
        <v>180</v>
      </c>
      <c r="FFP47" s="3" t="s">
        <v>26</v>
      </c>
      <c r="FFQ47" s="3" t="s">
        <v>197</v>
      </c>
      <c r="FFT47" s="3" t="s">
        <v>198</v>
      </c>
      <c r="FFU47" s="2" t="s">
        <v>195</v>
      </c>
      <c r="FFV47" s="3" t="s">
        <v>196</v>
      </c>
      <c r="FFW47" s="3" t="s">
        <v>180</v>
      </c>
      <c r="FFX47" s="3" t="s">
        <v>26</v>
      </c>
      <c r="FFY47" s="3" t="s">
        <v>197</v>
      </c>
      <c r="FGB47" s="3" t="s">
        <v>198</v>
      </c>
      <c r="FGC47" s="2" t="s">
        <v>195</v>
      </c>
      <c r="FGD47" s="3" t="s">
        <v>196</v>
      </c>
      <c r="FGE47" s="3" t="s">
        <v>180</v>
      </c>
      <c r="FGF47" s="3" t="s">
        <v>26</v>
      </c>
      <c r="FGG47" s="3" t="s">
        <v>197</v>
      </c>
      <c r="FGJ47" s="3" t="s">
        <v>198</v>
      </c>
      <c r="FGK47" s="2" t="s">
        <v>195</v>
      </c>
      <c r="FGL47" s="3" t="s">
        <v>196</v>
      </c>
      <c r="FGM47" s="3" t="s">
        <v>180</v>
      </c>
      <c r="FGN47" s="3" t="s">
        <v>26</v>
      </c>
      <c r="FGO47" s="3" t="s">
        <v>197</v>
      </c>
      <c r="FGR47" s="3" t="s">
        <v>198</v>
      </c>
      <c r="FGS47" s="2" t="s">
        <v>195</v>
      </c>
      <c r="FGT47" s="3" t="s">
        <v>196</v>
      </c>
      <c r="FGU47" s="3" t="s">
        <v>180</v>
      </c>
      <c r="FGV47" s="3" t="s">
        <v>26</v>
      </c>
      <c r="FGW47" s="3" t="s">
        <v>197</v>
      </c>
      <c r="FGZ47" s="3" t="s">
        <v>198</v>
      </c>
      <c r="FHA47" s="2" t="s">
        <v>195</v>
      </c>
      <c r="FHB47" s="3" t="s">
        <v>196</v>
      </c>
      <c r="FHC47" s="3" t="s">
        <v>180</v>
      </c>
      <c r="FHD47" s="3" t="s">
        <v>26</v>
      </c>
      <c r="FHE47" s="3" t="s">
        <v>197</v>
      </c>
      <c r="FHH47" s="3" t="s">
        <v>198</v>
      </c>
      <c r="FHI47" s="2" t="s">
        <v>195</v>
      </c>
      <c r="FHJ47" s="3" t="s">
        <v>196</v>
      </c>
      <c r="FHK47" s="3" t="s">
        <v>180</v>
      </c>
      <c r="FHL47" s="3" t="s">
        <v>26</v>
      </c>
      <c r="FHM47" s="3" t="s">
        <v>197</v>
      </c>
      <c r="FHP47" s="3" t="s">
        <v>198</v>
      </c>
      <c r="FHQ47" s="2" t="s">
        <v>195</v>
      </c>
      <c r="FHR47" s="3" t="s">
        <v>196</v>
      </c>
      <c r="FHS47" s="3" t="s">
        <v>180</v>
      </c>
      <c r="FHT47" s="3" t="s">
        <v>26</v>
      </c>
      <c r="FHU47" s="3" t="s">
        <v>197</v>
      </c>
      <c r="FHX47" s="3" t="s">
        <v>198</v>
      </c>
      <c r="FHY47" s="2" t="s">
        <v>195</v>
      </c>
      <c r="FHZ47" s="3" t="s">
        <v>196</v>
      </c>
      <c r="FIA47" s="3" t="s">
        <v>180</v>
      </c>
      <c r="FIB47" s="3" t="s">
        <v>26</v>
      </c>
      <c r="FIC47" s="3" t="s">
        <v>197</v>
      </c>
      <c r="FIF47" s="3" t="s">
        <v>198</v>
      </c>
      <c r="FIG47" s="2" t="s">
        <v>195</v>
      </c>
      <c r="FIH47" s="3" t="s">
        <v>196</v>
      </c>
      <c r="FII47" s="3" t="s">
        <v>180</v>
      </c>
      <c r="FIJ47" s="3" t="s">
        <v>26</v>
      </c>
      <c r="FIK47" s="3" t="s">
        <v>197</v>
      </c>
      <c r="FIN47" s="3" t="s">
        <v>198</v>
      </c>
      <c r="FIO47" s="2" t="s">
        <v>195</v>
      </c>
      <c r="FIP47" s="3" t="s">
        <v>196</v>
      </c>
      <c r="FIQ47" s="3" t="s">
        <v>180</v>
      </c>
      <c r="FIR47" s="3" t="s">
        <v>26</v>
      </c>
      <c r="FIS47" s="3" t="s">
        <v>197</v>
      </c>
      <c r="FIV47" s="3" t="s">
        <v>198</v>
      </c>
      <c r="FIW47" s="2" t="s">
        <v>195</v>
      </c>
      <c r="FIX47" s="3" t="s">
        <v>196</v>
      </c>
      <c r="FIY47" s="3" t="s">
        <v>180</v>
      </c>
      <c r="FIZ47" s="3" t="s">
        <v>26</v>
      </c>
      <c r="FJA47" s="3" t="s">
        <v>197</v>
      </c>
      <c r="FJD47" s="3" t="s">
        <v>198</v>
      </c>
      <c r="FJE47" s="2" t="s">
        <v>195</v>
      </c>
      <c r="FJF47" s="3" t="s">
        <v>196</v>
      </c>
      <c r="FJG47" s="3" t="s">
        <v>180</v>
      </c>
      <c r="FJH47" s="3" t="s">
        <v>26</v>
      </c>
      <c r="FJI47" s="3" t="s">
        <v>197</v>
      </c>
      <c r="FJL47" s="3" t="s">
        <v>198</v>
      </c>
      <c r="FJM47" s="2" t="s">
        <v>195</v>
      </c>
      <c r="FJN47" s="3" t="s">
        <v>196</v>
      </c>
      <c r="FJO47" s="3" t="s">
        <v>180</v>
      </c>
      <c r="FJP47" s="3" t="s">
        <v>26</v>
      </c>
      <c r="FJQ47" s="3" t="s">
        <v>197</v>
      </c>
      <c r="FJT47" s="3" t="s">
        <v>198</v>
      </c>
      <c r="FJU47" s="2" t="s">
        <v>195</v>
      </c>
      <c r="FJV47" s="3" t="s">
        <v>196</v>
      </c>
      <c r="FJW47" s="3" t="s">
        <v>180</v>
      </c>
      <c r="FJX47" s="3" t="s">
        <v>26</v>
      </c>
      <c r="FJY47" s="3" t="s">
        <v>197</v>
      </c>
      <c r="FKB47" s="3" t="s">
        <v>198</v>
      </c>
      <c r="FKC47" s="2" t="s">
        <v>195</v>
      </c>
      <c r="FKD47" s="3" t="s">
        <v>196</v>
      </c>
      <c r="FKE47" s="3" t="s">
        <v>180</v>
      </c>
      <c r="FKF47" s="3" t="s">
        <v>26</v>
      </c>
      <c r="FKG47" s="3" t="s">
        <v>197</v>
      </c>
      <c r="FKJ47" s="3" t="s">
        <v>198</v>
      </c>
      <c r="FKK47" s="2" t="s">
        <v>195</v>
      </c>
      <c r="FKL47" s="3" t="s">
        <v>196</v>
      </c>
      <c r="FKM47" s="3" t="s">
        <v>180</v>
      </c>
      <c r="FKN47" s="3" t="s">
        <v>26</v>
      </c>
      <c r="FKO47" s="3" t="s">
        <v>197</v>
      </c>
      <c r="FKR47" s="3" t="s">
        <v>198</v>
      </c>
      <c r="FKS47" s="2" t="s">
        <v>195</v>
      </c>
      <c r="FKT47" s="3" t="s">
        <v>196</v>
      </c>
      <c r="FKU47" s="3" t="s">
        <v>180</v>
      </c>
      <c r="FKV47" s="3" t="s">
        <v>26</v>
      </c>
      <c r="FKW47" s="3" t="s">
        <v>197</v>
      </c>
      <c r="FKZ47" s="3" t="s">
        <v>198</v>
      </c>
      <c r="FLA47" s="2" t="s">
        <v>195</v>
      </c>
      <c r="FLB47" s="3" t="s">
        <v>196</v>
      </c>
      <c r="FLC47" s="3" t="s">
        <v>180</v>
      </c>
      <c r="FLD47" s="3" t="s">
        <v>26</v>
      </c>
      <c r="FLE47" s="3" t="s">
        <v>197</v>
      </c>
      <c r="FLH47" s="3" t="s">
        <v>198</v>
      </c>
      <c r="FLI47" s="2" t="s">
        <v>195</v>
      </c>
      <c r="FLJ47" s="3" t="s">
        <v>196</v>
      </c>
      <c r="FLK47" s="3" t="s">
        <v>180</v>
      </c>
      <c r="FLL47" s="3" t="s">
        <v>26</v>
      </c>
      <c r="FLM47" s="3" t="s">
        <v>197</v>
      </c>
      <c r="FLP47" s="3" t="s">
        <v>198</v>
      </c>
      <c r="FLQ47" s="2" t="s">
        <v>195</v>
      </c>
      <c r="FLR47" s="3" t="s">
        <v>196</v>
      </c>
      <c r="FLS47" s="3" t="s">
        <v>180</v>
      </c>
      <c r="FLT47" s="3" t="s">
        <v>26</v>
      </c>
      <c r="FLU47" s="3" t="s">
        <v>197</v>
      </c>
      <c r="FLX47" s="3" t="s">
        <v>198</v>
      </c>
      <c r="FLY47" s="2" t="s">
        <v>195</v>
      </c>
      <c r="FLZ47" s="3" t="s">
        <v>196</v>
      </c>
      <c r="FMA47" s="3" t="s">
        <v>180</v>
      </c>
      <c r="FMB47" s="3" t="s">
        <v>26</v>
      </c>
      <c r="FMC47" s="3" t="s">
        <v>197</v>
      </c>
      <c r="FMF47" s="3" t="s">
        <v>198</v>
      </c>
      <c r="FMG47" s="2" t="s">
        <v>195</v>
      </c>
      <c r="FMH47" s="3" t="s">
        <v>196</v>
      </c>
      <c r="FMI47" s="3" t="s">
        <v>180</v>
      </c>
      <c r="FMJ47" s="3" t="s">
        <v>26</v>
      </c>
      <c r="FMK47" s="3" t="s">
        <v>197</v>
      </c>
      <c r="FMN47" s="3" t="s">
        <v>198</v>
      </c>
      <c r="FMO47" s="2" t="s">
        <v>195</v>
      </c>
      <c r="FMP47" s="3" t="s">
        <v>196</v>
      </c>
      <c r="FMQ47" s="3" t="s">
        <v>180</v>
      </c>
      <c r="FMR47" s="3" t="s">
        <v>26</v>
      </c>
      <c r="FMS47" s="3" t="s">
        <v>197</v>
      </c>
      <c r="FMV47" s="3" t="s">
        <v>198</v>
      </c>
      <c r="FMW47" s="2" t="s">
        <v>195</v>
      </c>
      <c r="FMX47" s="3" t="s">
        <v>196</v>
      </c>
      <c r="FMY47" s="3" t="s">
        <v>180</v>
      </c>
      <c r="FMZ47" s="3" t="s">
        <v>26</v>
      </c>
      <c r="FNA47" s="3" t="s">
        <v>197</v>
      </c>
      <c r="FND47" s="3" t="s">
        <v>198</v>
      </c>
      <c r="FNE47" s="2" t="s">
        <v>195</v>
      </c>
      <c r="FNF47" s="3" t="s">
        <v>196</v>
      </c>
      <c r="FNG47" s="3" t="s">
        <v>180</v>
      </c>
      <c r="FNH47" s="3" t="s">
        <v>26</v>
      </c>
      <c r="FNI47" s="3" t="s">
        <v>197</v>
      </c>
      <c r="FNL47" s="3" t="s">
        <v>198</v>
      </c>
      <c r="FNM47" s="2" t="s">
        <v>195</v>
      </c>
      <c r="FNN47" s="3" t="s">
        <v>196</v>
      </c>
      <c r="FNO47" s="3" t="s">
        <v>180</v>
      </c>
      <c r="FNP47" s="3" t="s">
        <v>26</v>
      </c>
      <c r="FNQ47" s="3" t="s">
        <v>197</v>
      </c>
      <c r="FNT47" s="3" t="s">
        <v>198</v>
      </c>
      <c r="FNU47" s="2" t="s">
        <v>195</v>
      </c>
      <c r="FNV47" s="3" t="s">
        <v>196</v>
      </c>
      <c r="FNW47" s="3" t="s">
        <v>180</v>
      </c>
      <c r="FNX47" s="3" t="s">
        <v>26</v>
      </c>
      <c r="FNY47" s="3" t="s">
        <v>197</v>
      </c>
      <c r="FOB47" s="3" t="s">
        <v>198</v>
      </c>
      <c r="FOC47" s="2" t="s">
        <v>195</v>
      </c>
      <c r="FOD47" s="3" t="s">
        <v>196</v>
      </c>
      <c r="FOE47" s="3" t="s">
        <v>180</v>
      </c>
      <c r="FOF47" s="3" t="s">
        <v>26</v>
      </c>
      <c r="FOG47" s="3" t="s">
        <v>197</v>
      </c>
      <c r="FOJ47" s="3" t="s">
        <v>198</v>
      </c>
      <c r="FOK47" s="2" t="s">
        <v>195</v>
      </c>
      <c r="FOL47" s="3" t="s">
        <v>196</v>
      </c>
      <c r="FOM47" s="3" t="s">
        <v>180</v>
      </c>
      <c r="FON47" s="3" t="s">
        <v>26</v>
      </c>
      <c r="FOO47" s="3" t="s">
        <v>197</v>
      </c>
      <c r="FOR47" s="3" t="s">
        <v>198</v>
      </c>
      <c r="FOS47" s="2" t="s">
        <v>195</v>
      </c>
      <c r="FOT47" s="3" t="s">
        <v>196</v>
      </c>
      <c r="FOU47" s="3" t="s">
        <v>180</v>
      </c>
      <c r="FOV47" s="3" t="s">
        <v>26</v>
      </c>
      <c r="FOW47" s="3" t="s">
        <v>197</v>
      </c>
      <c r="FOZ47" s="3" t="s">
        <v>198</v>
      </c>
      <c r="FPA47" s="2" t="s">
        <v>195</v>
      </c>
      <c r="FPB47" s="3" t="s">
        <v>196</v>
      </c>
      <c r="FPC47" s="3" t="s">
        <v>180</v>
      </c>
      <c r="FPD47" s="3" t="s">
        <v>26</v>
      </c>
      <c r="FPE47" s="3" t="s">
        <v>197</v>
      </c>
      <c r="FPH47" s="3" t="s">
        <v>198</v>
      </c>
      <c r="FPI47" s="2" t="s">
        <v>195</v>
      </c>
      <c r="FPJ47" s="3" t="s">
        <v>196</v>
      </c>
      <c r="FPK47" s="3" t="s">
        <v>180</v>
      </c>
      <c r="FPL47" s="3" t="s">
        <v>26</v>
      </c>
      <c r="FPM47" s="3" t="s">
        <v>197</v>
      </c>
      <c r="FPP47" s="3" t="s">
        <v>198</v>
      </c>
      <c r="FPQ47" s="2" t="s">
        <v>195</v>
      </c>
      <c r="FPR47" s="3" t="s">
        <v>196</v>
      </c>
      <c r="FPS47" s="3" t="s">
        <v>180</v>
      </c>
      <c r="FPT47" s="3" t="s">
        <v>26</v>
      </c>
      <c r="FPU47" s="3" t="s">
        <v>197</v>
      </c>
      <c r="FPX47" s="3" t="s">
        <v>198</v>
      </c>
      <c r="FPY47" s="2" t="s">
        <v>195</v>
      </c>
      <c r="FPZ47" s="3" t="s">
        <v>196</v>
      </c>
      <c r="FQA47" s="3" t="s">
        <v>180</v>
      </c>
      <c r="FQB47" s="3" t="s">
        <v>26</v>
      </c>
      <c r="FQC47" s="3" t="s">
        <v>197</v>
      </c>
      <c r="FQF47" s="3" t="s">
        <v>198</v>
      </c>
      <c r="FQG47" s="2" t="s">
        <v>195</v>
      </c>
      <c r="FQH47" s="3" t="s">
        <v>196</v>
      </c>
      <c r="FQI47" s="3" t="s">
        <v>180</v>
      </c>
      <c r="FQJ47" s="3" t="s">
        <v>26</v>
      </c>
      <c r="FQK47" s="3" t="s">
        <v>197</v>
      </c>
      <c r="FQN47" s="3" t="s">
        <v>198</v>
      </c>
      <c r="FQO47" s="2" t="s">
        <v>195</v>
      </c>
      <c r="FQP47" s="3" t="s">
        <v>196</v>
      </c>
      <c r="FQQ47" s="3" t="s">
        <v>180</v>
      </c>
      <c r="FQR47" s="3" t="s">
        <v>26</v>
      </c>
      <c r="FQS47" s="3" t="s">
        <v>197</v>
      </c>
      <c r="FQV47" s="3" t="s">
        <v>198</v>
      </c>
      <c r="FQW47" s="2" t="s">
        <v>195</v>
      </c>
      <c r="FQX47" s="3" t="s">
        <v>196</v>
      </c>
      <c r="FQY47" s="3" t="s">
        <v>180</v>
      </c>
      <c r="FQZ47" s="3" t="s">
        <v>26</v>
      </c>
      <c r="FRA47" s="3" t="s">
        <v>197</v>
      </c>
      <c r="FRD47" s="3" t="s">
        <v>198</v>
      </c>
      <c r="FRE47" s="2" t="s">
        <v>195</v>
      </c>
      <c r="FRF47" s="3" t="s">
        <v>196</v>
      </c>
      <c r="FRG47" s="3" t="s">
        <v>180</v>
      </c>
      <c r="FRH47" s="3" t="s">
        <v>26</v>
      </c>
      <c r="FRI47" s="3" t="s">
        <v>197</v>
      </c>
      <c r="FRL47" s="3" t="s">
        <v>198</v>
      </c>
      <c r="FRM47" s="2" t="s">
        <v>195</v>
      </c>
      <c r="FRN47" s="3" t="s">
        <v>196</v>
      </c>
      <c r="FRO47" s="3" t="s">
        <v>180</v>
      </c>
      <c r="FRP47" s="3" t="s">
        <v>26</v>
      </c>
      <c r="FRQ47" s="3" t="s">
        <v>197</v>
      </c>
      <c r="FRT47" s="3" t="s">
        <v>198</v>
      </c>
      <c r="FRU47" s="2" t="s">
        <v>195</v>
      </c>
      <c r="FRV47" s="3" t="s">
        <v>196</v>
      </c>
      <c r="FRW47" s="3" t="s">
        <v>180</v>
      </c>
      <c r="FRX47" s="3" t="s">
        <v>26</v>
      </c>
      <c r="FRY47" s="3" t="s">
        <v>197</v>
      </c>
      <c r="FSB47" s="3" t="s">
        <v>198</v>
      </c>
      <c r="FSC47" s="2" t="s">
        <v>195</v>
      </c>
      <c r="FSD47" s="3" t="s">
        <v>196</v>
      </c>
      <c r="FSE47" s="3" t="s">
        <v>180</v>
      </c>
      <c r="FSF47" s="3" t="s">
        <v>26</v>
      </c>
      <c r="FSG47" s="3" t="s">
        <v>197</v>
      </c>
      <c r="FSJ47" s="3" t="s">
        <v>198</v>
      </c>
      <c r="FSK47" s="2" t="s">
        <v>195</v>
      </c>
      <c r="FSL47" s="3" t="s">
        <v>196</v>
      </c>
      <c r="FSM47" s="3" t="s">
        <v>180</v>
      </c>
      <c r="FSN47" s="3" t="s">
        <v>26</v>
      </c>
      <c r="FSO47" s="3" t="s">
        <v>197</v>
      </c>
      <c r="FSR47" s="3" t="s">
        <v>198</v>
      </c>
      <c r="FSS47" s="2" t="s">
        <v>195</v>
      </c>
      <c r="FST47" s="3" t="s">
        <v>196</v>
      </c>
      <c r="FSU47" s="3" t="s">
        <v>180</v>
      </c>
      <c r="FSV47" s="3" t="s">
        <v>26</v>
      </c>
      <c r="FSW47" s="3" t="s">
        <v>197</v>
      </c>
      <c r="FSZ47" s="3" t="s">
        <v>198</v>
      </c>
      <c r="FTA47" s="2" t="s">
        <v>195</v>
      </c>
      <c r="FTB47" s="3" t="s">
        <v>196</v>
      </c>
      <c r="FTC47" s="3" t="s">
        <v>180</v>
      </c>
      <c r="FTD47" s="3" t="s">
        <v>26</v>
      </c>
      <c r="FTE47" s="3" t="s">
        <v>197</v>
      </c>
      <c r="FTH47" s="3" t="s">
        <v>198</v>
      </c>
      <c r="FTI47" s="2" t="s">
        <v>195</v>
      </c>
      <c r="FTJ47" s="3" t="s">
        <v>196</v>
      </c>
      <c r="FTK47" s="3" t="s">
        <v>180</v>
      </c>
      <c r="FTL47" s="3" t="s">
        <v>26</v>
      </c>
      <c r="FTM47" s="3" t="s">
        <v>197</v>
      </c>
      <c r="FTP47" s="3" t="s">
        <v>198</v>
      </c>
      <c r="FTQ47" s="2" t="s">
        <v>195</v>
      </c>
      <c r="FTR47" s="3" t="s">
        <v>196</v>
      </c>
      <c r="FTS47" s="3" t="s">
        <v>180</v>
      </c>
      <c r="FTT47" s="3" t="s">
        <v>26</v>
      </c>
      <c r="FTU47" s="3" t="s">
        <v>197</v>
      </c>
      <c r="FTX47" s="3" t="s">
        <v>198</v>
      </c>
      <c r="FTY47" s="2" t="s">
        <v>195</v>
      </c>
      <c r="FTZ47" s="3" t="s">
        <v>196</v>
      </c>
      <c r="FUA47" s="3" t="s">
        <v>180</v>
      </c>
      <c r="FUB47" s="3" t="s">
        <v>26</v>
      </c>
      <c r="FUC47" s="3" t="s">
        <v>197</v>
      </c>
      <c r="FUF47" s="3" t="s">
        <v>198</v>
      </c>
      <c r="FUG47" s="2" t="s">
        <v>195</v>
      </c>
      <c r="FUH47" s="3" t="s">
        <v>196</v>
      </c>
      <c r="FUI47" s="3" t="s">
        <v>180</v>
      </c>
      <c r="FUJ47" s="3" t="s">
        <v>26</v>
      </c>
      <c r="FUK47" s="3" t="s">
        <v>197</v>
      </c>
      <c r="FUN47" s="3" t="s">
        <v>198</v>
      </c>
      <c r="FUO47" s="2" t="s">
        <v>195</v>
      </c>
      <c r="FUP47" s="3" t="s">
        <v>196</v>
      </c>
      <c r="FUQ47" s="3" t="s">
        <v>180</v>
      </c>
      <c r="FUR47" s="3" t="s">
        <v>26</v>
      </c>
      <c r="FUS47" s="3" t="s">
        <v>197</v>
      </c>
      <c r="FUV47" s="3" t="s">
        <v>198</v>
      </c>
      <c r="FUW47" s="2" t="s">
        <v>195</v>
      </c>
      <c r="FUX47" s="3" t="s">
        <v>196</v>
      </c>
      <c r="FUY47" s="3" t="s">
        <v>180</v>
      </c>
      <c r="FUZ47" s="3" t="s">
        <v>26</v>
      </c>
      <c r="FVA47" s="3" t="s">
        <v>197</v>
      </c>
      <c r="FVD47" s="3" t="s">
        <v>198</v>
      </c>
      <c r="FVE47" s="2" t="s">
        <v>195</v>
      </c>
      <c r="FVF47" s="3" t="s">
        <v>196</v>
      </c>
      <c r="FVG47" s="3" t="s">
        <v>180</v>
      </c>
      <c r="FVH47" s="3" t="s">
        <v>26</v>
      </c>
      <c r="FVI47" s="3" t="s">
        <v>197</v>
      </c>
      <c r="FVL47" s="3" t="s">
        <v>198</v>
      </c>
      <c r="FVM47" s="2" t="s">
        <v>195</v>
      </c>
      <c r="FVN47" s="3" t="s">
        <v>196</v>
      </c>
      <c r="FVO47" s="3" t="s">
        <v>180</v>
      </c>
      <c r="FVP47" s="3" t="s">
        <v>26</v>
      </c>
      <c r="FVQ47" s="3" t="s">
        <v>197</v>
      </c>
      <c r="FVT47" s="3" t="s">
        <v>198</v>
      </c>
      <c r="FVU47" s="2" t="s">
        <v>195</v>
      </c>
      <c r="FVV47" s="3" t="s">
        <v>196</v>
      </c>
      <c r="FVW47" s="3" t="s">
        <v>180</v>
      </c>
      <c r="FVX47" s="3" t="s">
        <v>26</v>
      </c>
      <c r="FVY47" s="3" t="s">
        <v>197</v>
      </c>
      <c r="FWB47" s="3" t="s">
        <v>198</v>
      </c>
      <c r="FWC47" s="2" t="s">
        <v>195</v>
      </c>
      <c r="FWD47" s="3" t="s">
        <v>196</v>
      </c>
      <c r="FWE47" s="3" t="s">
        <v>180</v>
      </c>
      <c r="FWF47" s="3" t="s">
        <v>26</v>
      </c>
      <c r="FWG47" s="3" t="s">
        <v>197</v>
      </c>
      <c r="FWJ47" s="3" t="s">
        <v>198</v>
      </c>
      <c r="FWK47" s="2" t="s">
        <v>195</v>
      </c>
      <c r="FWL47" s="3" t="s">
        <v>196</v>
      </c>
      <c r="FWM47" s="3" t="s">
        <v>180</v>
      </c>
      <c r="FWN47" s="3" t="s">
        <v>26</v>
      </c>
      <c r="FWO47" s="3" t="s">
        <v>197</v>
      </c>
      <c r="FWR47" s="3" t="s">
        <v>198</v>
      </c>
      <c r="FWS47" s="2" t="s">
        <v>195</v>
      </c>
      <c r="FWT47" s="3" t="s">
        <v>196</v>
      </c>
      <c r="FWU47" s="3" t="s">
        <v>180</v>
      </c>
      <c r="FWV47" s="3" t="s">
        <v>26</v>
      </c>
      <c r="FWW47" s="3" t="s">
        <v>197</v>
      </c>
      <c r="FWZ47" s="3" t="s">
        <v>198</v>
      </c>
      <c r="FXA47" s="2" t="s">
        <v>195</v>
      </c>
      <c r="FXB47" s="3" t="s">
        <v>196</v>
      </c>
      <c r="FXC47" s="3" t="s">
        <v>180</v>
      </c>
      <c r="FXD47" s="3" t="s">
        <v>26</v>
      </c>
      <c r="FXE47" s="3" t="s">
        <v>197</v>
      </c>
      <c r="FXH47" s="3" t="s">
        <v>198</v>
      </c>
      <c r="FXI47" s="2" t="s">
        <v>195</v>
      </c>
      <c r="FXJ47" s="3" t="s">
        <v>196</v>
      </c>
      <c r="FXK47" s="3" t="s">
        <v>180</v>
      </c>
      <c r="FXL47" s="3" t="s">
        <v>26</v>
      </c>
      <c r="FXM47" s="3" t="s">
        <v>197</v>
      </c>
      <c r="FXP47" s="3" t="s">
        <v>198</v>
      </c>
      <c r="FXQ47" s="2" t="s">
        <v>195</v>
      </c>
      <c r="FXR47" s="3" t="s">
        <v>196</v>
      </c>
      <c r="FXS47" s="3" t="s">
        <v>180</v>
      </c>
      <c r="FXT47" s="3" t="s">
        <v>26</v>
      </c>
      <c r="FXU47" s="3" t="s">
        <v>197</v>
      </c>
      <c r="FXX47" s="3" t="s">
        <v>198</v>
      </c>
      <c r="FXY47" s="2" t="s">
        <v>195</v>
      </c>
      <c r="FXZ47" s="3" t="s">
        <v>196</v>
      </c>
      <c r="FYA47" s="3" t="s">
        <v>180</v>
      </c>
      <c r="FYB47" s="3" t="s">
        <v>26</v>
      </c>
      <c r="FYC47" s="3" t="s">
        <v>197</v>
      </c>
      <c r="FYF47" s="3" t="s">
        <v>198</v>
      </c>
      <c r="FYG47" s="2" t="s">
        <v>195</v>
      </c>
      <c r="FYH47" s="3" t="s">
        <v>196</v>
      </c>
      <c r="FYI47" s="3" t="s">
        <v>180</v>
      </c>
      <c r="FYJ47" s="3" t="s">
        <v>26</v>
      </c>
      <c r="FYK47" s="3" t="s">
        <v>197</v>
      </c>
      <c r="FYN47" s="3" t="s">
        <v>198</v>
      </c>
      <c r="FYO47" s="2" t="s">
        <v>195</v>
      </c>
      <c r="FYP47" s="3" t="s">
        <v>196</v>
      </c>
      <c r="FYQ47" s="3" t="s">
        <v>180</v>
      </c>
      <c r="FYR47" s="3" t="s">
        <v>26</v>
      </c>
      <c r="FYS47" s="3" t="s">
        <v>197</v>
      </c>
      <c r="FYV47" s="3" t="s">
        <v>198</v>
      </c>
      <c r="FYW47" s="2" t="s">
        <v>195</v>
      </c>
      <c r="FYX47" s="3" t="s">
        <v>196</v>
      </c>
      <c r="FYY47" s="3" t="s">
        <v>180</v>
      </c>
      <c r="FYZ47" s="3" t="s">
        <v>26</v>
      </c>
      <c r="FZA47" s="3" t="s">
        <v>197</v>
      </c>
      <c r="FZD47" s="3" t="s">
        <v>198</v>
      </c>
      <c r="FZE47" s="2" t="s">
        <v>195</v>
      </c>
      <c r="FZF47" s="3" t="s">
        <v>196</v>
      </c>
      <c r="FZG47" s="3" t="s">
        <v>180</v>
      </c>
      <c r="FZH47" s="3" t="s">
        <v>26</v>
      </c>
      <c r="FZI47" s="3" t="s">
        <v>197</v>
      </c>
      <c r="FZL47" s="3" t="s">
        <v>198</v>
      </c>
      <c r="FZM47" s="2" t="s">
        <v>195</v>
      </c>
      <c r="FZN47" s="3" t="s">
        <v>196</v>
      </c>
      <c r="FZO47" s="3" t="s">
        <v>180</v>
      </c>
      <c r="FZP47" s="3" t="s">
        <v>26</v>
      </c>
      <c r="FZQ47" s="3" t="s">
        <v>197</v>
      </c>
      <c r="FZT47" s="3" t="s">
        <v>198</v>
      </c>
      <c r="FZU47" s="2" t="s">
        <v>195</v>
      </c>
      <c r="FZV47" s="3" t="s">
        <v>196</v>
      </c>
      <c r="FZW47" s="3" t="s">
        <v>180</v>
      </c>
      <c r="FZX47" s="3" t="s">
        <v>26</v>
      </c>
      <c r="FZY47" s="3" t="s">
        <v>197</v>
      </c>
      <c r="GAB47" s="3" t="s">
        <v>198</v>
      </c>
      <c r="GAC47" s="2" t="s">
        <v>195</v>
      </c>
      <c r="GAD47" s="3" t="s">
        <v>196</v>
      </c>
      <c r="GAE47" s="3" t="s">
        <v>180</v>
      </c>
      <c r="GAF47" s="3" t="s">
        <v>26</v>
      </c>
      <c r="GAG47" s="3" t="s">
        <v>197</v>
      </c>
      <c r="GAJ47" s="3" t="s">
        <v>198</v>
      </c>
      <c r="GAK47" s="2" t="s">
        <v>195</v>
      </c>
      <c r="GAL47" s="3" t="s">
        <v>196</v>
      </c>
      <c r="GAM47" s="3" t="s">
        <v>180</v>
      </c>
      <c r="GAN47" s="3" t="s">
        <v>26</v>
      </c>
      <c r="GAO47" s="3" t="s">
        <v>197</v>
      </c>
      <c r="GAR47" s="3" t="s">
        <v>198</v>
      </c>
      <c r="GAS47" s="2" t="s">
        <v>195</v>
      </c>
      <c r="GAT47" s="3" t="s">
        <v>196</v>
      </c>
      <c r="GAU47" s="3" t="s">
        <v>180</v>
      </c>
      <c r="GAV47" s="3" t="s">
        <v>26</v>
      </c>
      <c r="GAW47" s="3" t="s">
        <v>197</v>
      </c>
      <c r="GAZ47" s="3" t="s">
        <v>198</v>
      </c>
      <c r="GBA47" s="2" t="s">
        <v>195</v>
      </c>
      <c r="GBB47" s="3" t="s">
        <v>196</v>
      </c>
      <c r="GBC47" s="3" t="s">
        <v>180</v>
      </c>
      <c r="GBD47" s="3" t="s">
        <v>26</v>
      </c>
      <c r="GBE47" s="3" t="s">
        <v>197</v>
      </c>
      <c r="GBH47" s="3" t="s">
        <v>198</v>
      </c>
      <c r="GBI47" s="2" t="s">
        <v>195</v>
      </c>
      <c r="GBJ47" s="3" t="s">
        <v>196</v>
      </c>
      <c r="GBK47" s="3" t="s">
        <v>180</v>
      </c>
      <c r="GBL47" s="3" t="s">
        <v>26</v>
      </c>
      <c r="GBM47" s="3" t="s">
        <v>197</v>
      </c>
      <c r="GBP47" s="3" t="s">
        <v>198</v>
      </c>
      <c r="GBQ47" s="2" t="s">
        <v>195</v>
      </c>
      <c r="GBR47" s="3" t="s">
        <v>196</v>
      </c>
      <c r="GBS47" s="3" t="s">
        <v>180</v>
      </c>
      <c r="GBT47" s="3" t="s">
        <v>26</v>
      </c>
      <c r="GBU47" s="3" t="s">
        <v>197</v>
      </c>
      <c r="GBX47" s="3" t="s">
        <v>198</v>
      </c>
      <c r="GBY47" s="2" t="s">
        <v>195</v>
      </c>
      <c r="GBZ47" s="3" t="s">
        <v>196</v>
      </c>
      <c r="GCA47" s="3" t="s">
        <v>180</v>
      </c>
      <c r="GCB47" s="3" t="s">
        <v>26</v>
      </c>
      <c r="GCC47" s="3" t="s">
        <v>197</v>
      </c>
      <c r="GCF47" s="3" t="s">
        <v>198</v>
      </c>
      <c r="GCG47" s="2" t="s">
        <v>195</v>
      </c>
      <c r="GCH47" s="3" t="s">
        <v>196</v>
      </c>
      <c r="GCI47" s="3" t="s">
        <v>180</v>
      </c>
      <c r="GCJ47" s="3" t="s">
        <v>26</v>
      </c>
      <c r="GCK47" s="3" t="s">
        <v>197</v>
      </c>
      <c r="GCN47" s="3" t="s">
        <v>198</v>
      </c>
      <c r="GCO47" s="2" t="s">
        <v>195</v>
      </c>
      <c r="GCP47" s="3" t="s">
        <v>196</v>
      </c>
      <c r="GCQ47" s="3" t="s">
        <v>180</v>
      </c>
      <c r="GCR47" s="3" t="s">
        <v>26</v>
      </c>
      <c r="GCS47" s="3" t="s">
        <v>197</v>
      </c>
      <c r="GCV47" s="3" t="s">
        <v>198</v>
      </c>
      <c r="GCW47" s="2" t="s">
        <v>195</v>
      </c>
      <c r="GCX47" s="3" t="s">
        <v>196</v>
      </c>
      <c r="GCY47" s="3" t="s">
        <v>180</v>
      </c>
      <c r="GCZ47" s="3" t="s">
        <v>26</v>
      </c>
      <c r="GDA47" s="3" t="s">
        <v>197</v>
      </c>
      <c r="GDD47" s="3" t="s">
        <v>198</v>
      </c>
      <c r="GDE47" s="2" t="s">
        <v>195</v>
      </c>
      <c r="GDF47" s="3" t="s">
        <v>196</v>
      </c>
      <c r="GDG47" s="3" t="s">
        <v>180</v>
      </c>
      <c r="GDH47" s="3" t="s">
        <v>26</v>
      </c>
      <c r="GDI47" s="3" t="s">
        <v>197</v>
      </c>
      <c r="GDL47" s="3" t="s">
        <v>198</v>
      </c>
      <c r="GDM47" s="2" t="s">
        <v>195</v>
      </c>
      <c r="GDN47" s="3" t="s">
        <v>196</v>
      </c>
      <c r="GDO47" s="3" t="s">
        <v>180</v>
      </c>
      <c r="GDP47" s="3" t="s">
        <v>26</v>
      </c>
      <c r="GDQ47" s="3" t="s">
        <v>197</v>
      </c>
      <c r="GDT47" s="3" t="s">
        <v>198</v>
      </c>
      <c r="GDU47" s="2" t="s">
        <v>195</v>
      </c>
      <c r="GDV47" s="3" t="s">
        <v>196</v>
      </c>
      <c r="GDW47" s="3" t="s">
        <v>180</v>
      </c>
      <c r="GDX47" s="3" t="s">
        <v>26</v>
      </c>
      <c r="GDY47" s="3" t="s">
        <v>197</v>
      </c>
      <c r="GEB47" s="3" t="s">
        <v>198</v>
      </c>
      <c r="GEC47" s="2" t="s">
        <v>195</v>
      </c>
      <c r="GED47" s="3" t="s">
        <v>196</v>
      </c>
      <c r="GEE47" s="3" t="s">
        <v>180</v>
      </c>
      <c r="GEF47" s="3" t="s">
        <v>26</v>
      </c>
      <c r="GEG47" s="3" t="s">
        <v>197</v>
      </c>
      <c r="GEJ47" s="3" t="s">
        <v>198</v>
      </c>
      <c r="GEK47" s="2" t="s">
        <v>195</v>
      </c>
      <c r="GEL47" s="3" t="s">
        <v>196</v>
      </c>
      <c r="GEM47" s="3" t="s">
        <v>180</v>
      </c>
      <c r="GEN47" s="3" t="s">
        <v>26</v>
      </c>
      <c r="GEO47" s="3" t="s">
        <v>197</v>
      </c>
      <c r="GER47" s="3" t="s">
        <v>198</v>
      </c>
      <c r="GES47" s="2" t="s">
        <v>195</v>
      </c>
      <c r="GET47" s="3" t="s">
        <v>196</v>
      </c>
      <c r="GEU47" s="3" t="s">
        <v>180</v>
      </c>
      <c r="GEV47" s="3" t="s">
        <v>26</v>
      </c>
      <c r="GEW47" s="3" t="s">
        <v>197</v>
      </c>
      <c r="GEZ47" s="3" t="s">
        <v>198</v>
      </c>
      <c r="GFA47" s="2" t="s">
        <v>195</v>
      </c>
      <c r="GFB47" s="3" t="s">
        <v>196</v>
      </c>
      <c r="GFC47" s="3" t="s">
        <v>180</v>
      </c>
      <c r="GFD47" s="3" t="s">
        <v>26</v>
      </c>
      <c r="GFE47" s="3" t="s">
        <v>197</v>
      </c>
      <c r="GFH47" s="3" t="s">
        <v>198</v>
      </c>
      <c r="GFI47" s="2" t="s">
        <v>195</v>
      </c>
      <c r="GFJ47" s="3" t="s">
        <v>196</v>
      </c>
      <c r="GFK47" s="3" t="s">
        <v>180</v>
      </c>
      <c r="GFL47" s="3" t="s">
        <v>26</v>
      </c>
      <c r="GFM47" s="3" t="s">
        <v>197</v>
      </c>
      <c r="GFP47" s="3" t="s">
        <v>198</v>
      </c>
      <c r="GFQ47" s="2" t="s">
        <v>195</v>
      </c>
      <c r="GFR47" s="3" t="s">
        <v>196</v>
      </c>
      <c r="GFS47" s="3" t="s">
        <v>180</v>
      </c>
      <c r="GFT47" s="3" t="s">
        <v>26</v>
      </c>
      <c r="GFU47" s="3" t="s">
        <v>197</v>
      </c>
      <c r="GFX47" s="3" t="s">
        <v>198</v>
      </c>
      <c r="GFY47" s="2" t="s">
        <v>195</v>
      </c>
      <c r="GFZ47" s="3" t="s">
        <v>196</v>
      </c>
      <c r="GGA47" s="3" t="s">
        <v>180</v>
      </c>
      <c r="GGB47" s="3" t="s">
        <v>26</v>
      </c>
      <c r="GGC47" s="3" t="s">
        <v>197</v>
      </c>
      <c r="GGF47" s="3" t="s">
        <v>198</v>
      </c>
      <c r="GGG47" s="2" t="s">
        <v>195</v>
      </c>
      <c r="GGH47" s="3" t="s">
        <v>196</v>
      </c>
      <c r="GGI47" s="3" t="s">
        <v>180</v>
      </c>
      <c r="GGJ47" s="3" t="s">
        <v>26</v>
      </c>
      <c r="GGK47" s="3" t="s">
        <v>197</v>
      </c>
      <c r="GGN47" s="3" t="s">
        <v>198</v>
      </c>
      <c r="GGO47" s="2" t="s">
        <v>195</v>
      </c>
      <c r="GGP47" s="3" t="s">
        <v>196</v>
      </c>
      <c r="GGQ47" s="3" t="s">
        <v>180</v>
      </c>
      <c r="GGR47" s="3" t="s">
        <v>26</v>
      </c>
      <c r="GGS47" s="3" t="s">
        <v>197</v>
      </c>
      <c r="GGV47" s="3" t="s">
        <v>198</v>
      </c>
      <c r="GGW47" s="2" t="s">
        <v>195</v>
      </c>
      <c r="GGX47" s="3" t="s">
        <v>196</v>
      </c>
      <c r="GGY47" s="3" t="s">
        <v>180</v>
      </c>
      <c r="GGZ47" s="3" t="s">
        <v>26</v>
      </c>
      <c r="GHA47" s="3" t="s">
        <v>197</v>
      </c>
      <c r="GHD47" s="3" t="s">
        <v>198</v>
      </c>
      <c r="GHE47" s="2" t="s">
        <v>195</v>
      </c>
      <c r="GHF47" s="3" t="s">
        <v>196</v>
      </c>
      <c r="GHG47" s="3" t="s">
        <v>180</v>
      </c>
      <c r="GHH47" s="3" t="s">
        <v>26</v>
      </c>
      <c r="GHI47" s="3" t="s">
        <v>197</v>
      </c>
      <c r="GHL47" s="3" t="s">
        <v>198</v>
      </c>
      <c r="GHM47" s="2" t="s">
        <v>195</v>
      </c>
      <c r="GHN47" s="3" t="s">
        <v>196</v>
      </c>
      <c r="GHO47" s="3" t="s">
        <v>180</v>
      </c>
      <c r="GHP47" s="3" t="s">
        <v>26</v>
      </c>
      <c r="GHQ47" s="3" t="s">
        <v>197</v>
      </c>
      <c r="GHT47" s="3" t="s">
        <v>198</v>
      </c>
      <c r="GHU47" s="2" t="s">
        <v>195</v>
      </c>
      <c r="GHV47" s="3" t="s">
        <v>196</v>
      </c>
      <c r="GHW47" s="3" t="s">
        <v>180</v>
      </c>
      <c r="GHX47" s="3" t="s">
        <v>26</v>
      </c>
      <c r="GHY47" s="3" t="s">
        <v>197</v>
      </c>
      <c r="GIB47" s="3" t="s">
        <v>198</v>
      </c>
      <c r="GIC47" s="2" t="s">
        <v>195</v>
      </c>
      <c r="GID47" s="3" t="s">
        <v>196</v>
      </c>
      <c r="GIE47" s="3" t="s">
        <v>180</v>
      </c>
      <c r="GIF47" s="3" t="s">
        <v>26</v>
      </c>
      <c r="GIG47" s="3" t="s">
        <v>197</v>
      </c>
      <c r="GIJ47" s="3" t="s">
        <v>198</v>
      </c>
      <c r="GIK47" s="2" t="s">
        <v>195</v>
      </c>
      <c r="GIL47" s="3" t="s">
        <v>196</v>
      </c>
      <c r="GIM47" s="3" t="s">
        <v>180</v>
      </c>
      <c r="GIN47" s="3" t="s">
        <v>26</v>
      </c>
      <c r="GIO47" s="3" t="s">
        <v>197</v>
      </c>
      <c r="GIR47" s="3" t="s">
        <v>198</v>
      </c>
      <c r="GIS47" s="2" t="s">
        <v>195</v>
      </c>
      <c r="GIT47" s="3" t="s">
        <v>196</v>
      </c>
      <c r="GIU47" s="3" t="s">
        <v>180</v>
      </c>
      <c r="GIV47" s="3" t="s">
        <v>26</v>
      </c>
      <c r="GIW47" s="3" t="s">
        <v>197</v>
      </c>
      <c r="GIZ47" s="3" t="s">
        <v>198</v>
      </c>
      <c r="GJA47" s="2" t="s">
        <v>195</v>
      </c>
      <c r="GJB47" s="3" t="s">
        <v>196</v>
      </c>
      <c r="GJC47" s="3" t="s">
        <v>180</v>
      </c>
      <c r="GJD47" s="3" t="s">
        <v>26</v>
      </c>
      <c r="GJE47" s="3" t="s">
        <v>197</v>
      </c>
      <c r="GJH47" s="3" t="s">
        <v>198</v>
      </c>
      <c r="GJI47" s="2" t="s">
        <v>195</v>
      </c>
      <c r="GJJ47" s="3" t="s">
        <v>196</v>
      </c>
      <c r="GJK47" s="3" t="s">
        <v>180</v>
      </c>
      <c r="GJL47" s="3" t="s">
        <v>26</v>
      </c>
      <c r="GJM47" s="3" t="s">
        <v>197</v>
      </c>
      <c r="GJP47" s="3" t="s">
        <v>198</v>
      </c>
      <c r="GJQ47" s="2" t="s">
        <v>195</v>
      </c>
      <c r="GJR47" s="3" t="s">
        <v>196</v>
      </c>
      <c r="GJS47" s="3" t="s">
        <v>180</v>
      </c>
      <c r="GJT47" s="3" t="s">
        <v>26</v>
      </c>
      <c r="GJU47" s="3" t="s">
        <v>197</v>
      </c>
      <c r="GJX47" s="3" t="s">
        <v>198</v>
      </c>
      <c r="GJY47" s="2" t="s">
        <v>195</v>
      </c>
      <c r="GJZ47" s="3" t="s">
        <v>196</v>
      </c>
      <c r="GKA47" s="3" t="s">
        <v>180</v>
      </c>
      <c r="GKB47" s="3" t="s">
        <v>26</v>
      </c>
      <c r="GKC47" s="3" t="s">
        <v>197</v>
      </c>
      <c r="GKF47" s="3" t="s">
        <v>198</v>
      </c>
      <c r="GKG47" s="2" t="s">
        <v>195</v>
      </c>
      <c r="GKH47" s="3" t="s">
        <v>196</v>
      </c>
      <c r="GKI47" s="3" t="s">
        <v>180</v>
      </c>
      <c r="GKJ47" s="3" t="s">
        <v>26</v>
      </c>
      <c r="GKK47" s="3" t="s">
        <v>197</v>
      </c>
      <c r="GKN47" s="3" t="s">
        <v>198</v>
      </c>
      <c r="GKO47" s="2" t="s">
        <v>195</v>
      </c>
      <c r="GKP47" s="3" t="s">
        <v>196</v>
      </c>
      <c r="GKQ47" s="3" t="s">
        <v>180</v>
      </c>
      <c r="GKR47" s="3" t="s">
        <v>26</v>
      </c>
      <c r="GKS47" s="3" t="s">
        <v>197</v>
      </c>
      <c r="GKV47" s="3" t="s">
        <v>198</v>
      </c>
      <c r="GKW47" s="2" t="s">
        <v>195</v>
      </c>
      <c r="GKX47" s="3" t="s">
        <v>196</v>
      </c>
      <c r="GKY47" s="3" t="s">
        <v>180</v>
      </c>
      <c r="GKZ47" s="3" t="s">
        <v>26</v>
      </c>
      <c r="GLA47" s="3" t="s">
        <v>197</v>
      </c>
      <c r="GLD47" s="3" t="s">
        <v>198</v>
      </c>
      <c r="GLE47" s="2" t="s">
        <v>195</v>
      </c>
      <c r="GLF47" s="3" t="s">
        <v>196</v>
      </c>
      <c r="GLG47" s="3" t="s">
        <v>180</v>
      </c>
      <c r="GLH47" s="3" t="s">
        <v>26</v>
      </c>
      <c r="GLI47" s="3" t="s">
        <v>197</v>
      </c>
      <c r="GLL47" s="3" t="s">
        <v>198</v>
      </c>
      <c r="GLM47" s="2" t="s">
        <v>195</v>
      </c>
      <c r="GLN47" s="3" t="s">
        <v>196</v>
      </c>
      <c r="GLO47" s="3" t="s">
        <v>180</v>
      </c>
      <c r="GLP47" s="3" t="s">
        <v>26</v>
      </c>
      <c r="GLQ47" s="3" t="s">
        <v>197</v>
      </c>
      <c r="GLT47" s="3" t="s">
        <v>198</v>
      </c>
      <c r="GLU47" s="2" t="s">
        <v>195</v>
      </c>
      <c r="GLV47" s="3" t="s">
        <v>196</v>
      </c>
      <c r="GLW47" s="3" t="s">
        <v>180</v>
      </c>
      <c r="GLX47" s="3" t="s">
        <v>26</v>
      </c>
      <c r="GLY47" s="3" t="s">
        <v>197</v>
      </c>
      <c r="GMB47" s="3" t="s">
        <v>198</v>
      </c>
      <c r="GMC47" s="2" t="s">
        <v>195</v>
      </c>
      <c r="GMD47" s="3" t="s">
        <v>196</v>
      </c>
      <c r="GME47" s="3" t="s">
        <v>180</v>
      </c>
      <c r="GMF47" s="3" t="s">
        <v>26</v>
      </c>
      <c r="GMG47" s="3" t="s">
        <v>197</v>
      </c>
      <c r="GMJ47" s="3" t="s">
        <v>198</v>
      </c>
      <c r="GMK47" s="2" t="s">
        <v>195</v>
      </c>
      <c r="GML47" s="3" t="s">
        <v>196</v>
      </c>
      <c r="GMM47" s="3" t="s">
        <v>180</v>
      </c>
      <c r="GMN47" s="3" t="s">
        <v>26</v>
      </c>
      <c r="GMO47" s="3" t="s">
        <v>197</v>
      </c>
      <c r="GMR47" s="3" t="s">
        <v>198</v>
      </c>
      <c r="GMS47" s="2" t="s">
        <v>195</v>
      </c>
      <c r="GMT47" s="3" t="s">
        <v>196</v>
      </c>
      <c r="GMU47" s="3" t="s">
        <v>180</v>
      </c>
      <c r="GMV47" s="3" t="s">
        <v>26</v>
      </c>
      <c r="GMW47" s="3" t="s">
        <v>197</v>
      </c>
      <c r="GMZ47" s="3" t="s">
        <v>198</v>
      </c>
      <c r="GNA47" s="2" t="s">
        <v>195</v>
      </c>
      <c r="GNB47" s="3" t="s">
        <v>196</v>
      </c>
      <c r="GNC47" s="3" t="s">
        <v>180</v>
      </c>
      <c r="GND47" s="3" t="s">
        <v>26</v>
      </c>
      <c r="GNE47" s="3" t="s">
        <v>197</v>
      </c>
      <c r="GNH47" s="3" t="s">
        <v>198</v>
      </c>
      <c r="GNI47" s="2" t="s">
        <v>195</v>
      </c>
      <c r="GNJ47" s="3" t="s">
        <v>196</v>
      </c>
      <c r="GNK47" s="3" t="s">
        <v>180</v>
      </c>
      <c r="GNL47" s="3" t="s">
        <v>26</v>
      </c>
      <c r="GNM47" s="3" t="s">
        <v>197</v>
      </c>
      <c r="GNP47" s="3" t="s">
        <v>198</v>
      </c>
      <c r="GNQ47" s="2" t="s">
        <v>195</v>
      </c>
      <c r="GNR47" s="3" t="s">
        <v>196</v>
      </c>
      <c r="GNS47" s="3" t="s">
        <v>180</v>
      </c>
      <c r="GNT47" s="3" t="s">
        <v>26</v>
      </c>
      <c r="GNU47" s="3" t="s">
        <v>197</v>
      </c>
      <c r="GNX47" s="3" t="s">
        <v>198</v>
      </c>
      <c r="GNY47" s="2" t="s">
        <v>195</v>
      </c>
      <c r="GNZ47" s="3" t="s">
        <v>196</v>
      </c>
      <c r="GOA47" s="3" t="s">
        <v>180</v>
      </c>
      <c r="GOB47" s="3" t="s">
        <v>26</v>
      </c>
      <c r="GOC47" s="3" t="s">
        <v>197</v>
      </c>
      <c r="GOF47" s="3" t="s">
        <v>198</v>
      </c>
      <c r="GOG47" s="2" t="s">
        <v>195</v>
      </c>
      <c r="GOH47" s="3" t="s">
        <v>196</v>
      </c>
      <c r="GOI47" s="3" t="s">
        <v>180</v>
      </c>
      <c r="GOJ47" s="3" t="s">
        <v>26</v>
      </c>
      <c r="GOK47" s="3" t="s">
        <v>197</v>
      </c>
      <c r="GON47" s="3" t="s">
        <v>198</v>
      </c>
      <c r="GOO47" s="2" t="s">
        <v>195</v>
      </c>
      <c r="GOP47" s="3" t="s">
        <v>196</v>
      </c>
      <c r="GOQ47" s="3" t="s">
        <v>180</v>
      </c>
      <c r="GOR47" s="3" t="s">
        <v>26</v>
      </c>
      <c r="GOS47" s="3" t="s">
        <v>197</v>
      </c>
      <c r="GOV47" s="3" t="s">
        <v>198</v>
      </c>
      <c r="GOW47" s="2" t="s">
        <v>195</v>
      </c>
      <c r="GOX47" s="3" t="s">
        <v>196</v>
      </c>
      <c r="GOY47" s="3" t="s">
        <v>180</v>
      </c>
      <c r="GOZ47" s="3" t="s">
        <v>26</v>
      </c>
      <c r="GPA47" s="3" t="s">
        <v>197</v>
      </c>
      <c r="GPD47" s="3" t="s">
        <v>198</v>
      </c>
      <c r="GPE47" s="2" t="s">
        <v>195</v>
      </c>
      <c r="GPF47" s="3" t="s">
        <v>196</v>
      </c>
      <c r="GPG47" s="3" t="s">
        <v>180</v>
      </c>
      <c r="GPH47" s="3" t="s">
        <v>26</v>
      </c>
      <c r="GPI47" s="3" t="s">
        <v>197</v>
      </c>
      <c r="GPL47" s="3" t="s">
        <v>198</v>
      </c>
      <c r="GPM47" s="2" t="s">
        <v>195</v>
      </c>
      <c r="GPN47" s="3" t="s">
        <v>196</v>
      </c>
      <c r="GPO47" s="3" t="s">
        <v>180</v>
      </c>
      <c r="GPP47" s="3" t="s">
        <v>26</v>
      </c>
      <c r="GPQ47" s="3" t="s">
        <v>197</v>
      </c>
      <c r="GPT47" s="3" t="s">
        <v>198</v>
      </c>
      <c r="GPU47" s="2" t="s">
        <v>195</v>
      </c>
      <c r="GPV47" s="3" t="s">
        <v>196</v>
      </c>
      <c r="GPW47" s="3" t="s">
        <v>180</v>
      </c>
      <c r="GPX47" s="3" t="s">
        <v>26</v>
      </c>
      <c r="GPY47" s="3" t="s">
        <v>197</v>
      </c>
      <c r="GQB47" s="3" t="s">
        <v>198</v>
      </c>
      <c r="GQC47" s="2" t="s">
        <v>195</v>
      </c>
      <c r="GQD47" s="3" t="s">
        <v>196</v>
      </c>
      <c r="GQE47" s="3" t="s">
        <v>180</v>
      </c>
      <c r="GQF47" s="3" t="s">
        <v>26</v>
      </c>
      <c r="GQG47" s="3" t="s">
        <v>197</v>
      </c>
      <c r="GQJ47" s="3" t="s">
        <v>198</v>
      </c>
      <c r="GQK47" s="2" t="s">
        <v>195</v>
      </c>
      <c r="GQL47" s="3" t="s">
        <v>196</v>
      </c>
      <c r="GQM47" s="3" t="s">
        <v>180</v>
      </c>
      <c r="GQN47" s="3" t="s">
        <v>26</v>
      </c>
      <c r="GQO47" s="3" t="s">
        <v>197</v>
      </c>
      <c r="GQR47" s="3" t="s">
        <v>198</v>
      </c>
      <c r="GQS47" s="2" t="s">
        <v>195</v>
      </c>
      <c r="GQT47" s="3" t="s">
        <v>196</v>
      </c>
      <c r="GQU47" s="3" t="s">
        <v>180</v>
      </c>
      <c r="GQV47" s="3" t="s">
        <v>26</v>
      </c>
      <c r="GQW47" s="3" t="s">
        <v>197</v>
      </c>
      <c r="GQZ47" s="3" t="s">
        <v>198</v>
      </c>
      <c r="GRA47" s="2" t="s">
        <v>195</v>
      </c>
      <c r="GRB47" s="3" t="s">
        <v>196</v>
      </c>
      <c r="GRC47" s="3" t="s">
        <v>180</v>
      </c>
      <c r="GRD47" s="3" t="s">
        <v>26</v>
      </c>
      <c r="GRE47" s="3" t="s">
        <v>197</v>
      </c>
      <c r="GRH47" s="3" t="s">
        <v>198</v>
      </c>
      <c r="GRI47" s="2" t="s">
        <v>195</v>
      </c>
      <c r="GRJ47" s="3" t="s">
        <v>196</v>
      </c>
      <c r="GRK47" s="3" t="s">
        <v>180</v>
      </c>
      <c r="GRL47" s="3" t="s">
        <v>26</v>
      </c>
      <c r="GRM47" s="3" t="s">
        <v>197</v>
      </c>
      <c r="GRP47" s="3" t="s">
        <v>198</v>
      </c>
      <c r="GRQ47" s="2" t="s">
        <v>195</v>
      </c>
      <c r="GRR47" s="3" t="s">
        <v>196</v>
      </c>
      <c r="GRS47" s="3" t="s">
        <v>180</v>
      </c>
      <c r="GRT47" s="3" t="s">
        <v>26</v>
      </c>
      <c r="GRU47" s="3" t="s">
        <v>197</v>
      </c>
      <c r="GRX47" s="3" t="s">
        <v>198</v>
      </c>
      <c r="GRY47" s="2" t="s">
        <v>195</v>
      </c>
      <c r="GRZ47" s="3" t="s">
        <v>196</v>
      </c>
      <c r="GSA47" s="3" t="s">
        <v>180</v>
      </c>
      <c r="GSB47" s="3" t="s">
        <v>26</v>
      </c>
      <c r="GSC47" s="3" t="s">
        <v>197</v>
      </c>
      <c r="GSF47" s="3" t="s">
        <v>198</v>
      </c>
      <c r="GSG47" s="2" t="s">
        <v>195</v>
      </c>
      <c r="GSH47" s="3" t="s">
        <v>196</v>
      </c>
      <c r="GSI47" s="3" t="s">
        <v>180</v>
      </c>
      <c r="GSJ47" s="3" t="s">
        <v>26</v>
      </c>
      <c r="GSK47" s="3" t="s">
        <v>197</v>
      </c>
      <c r="GSN47" s="3" t="s">
        <v>198</v>
      </c>
      <c r="GSO47" s="2" t="s">
        <v>195</v>
      </c>
      <c r="GSP47" s="3" t="s">
        <v>196</v>
      </c>
      <c r="GSQ47" s="3" t="s">
        <v>180</v>
      </c>
      <c r="GSR47" s="3" t="s">
        <v>26</v>
      </c>
      <c r="GSS47" s="3" t="s">
        <v>197</v>
      </c>
      <c r="GSV47" s="3" t="s">
        <v>198</v>
      </c>
      <c r="GSW47" s="2" t="s">
        <v>195</v>
      </c>
      <c r="GSX47" s="3" t="s">
        <v>196</v>
      </c>
      <c r="GSY47" s="3" t="s">
        <v>180</v>
      </c>
      <c r="GSZ47" s="3" t="s">
        <v>26</v>
      </c>
      <c r="GTA47" s="3" t="s">
        <v>197</v>
      </c>
      <c r="GTD47" s="3" t="s">
        <v>198</v>
      </c>
      <c r="GTE47" s="2" t="s">
        <v>195</v>
      </c>
      <c r="GTF47" s="3" t="s">
        <v>196</v>
      </c>
      <c r="GTG47" s="3" t="s">
        <v>180</v>
      </c>
      <c r="GTH47" s="3" t="s">
        <v>26</v>
      </c>
      <c r="GTI47" s="3" t="s">
        <v>197</v>
      </c>
      <c r="GTL47" s="3" t="s">
        <v>198</v>
      </c>
      <c r="GTM47" s="2" t="s">
        <v>195</v>
      </c>
      <c r="GTN47" s="3" t="s">
        <v>196</v>
      </c>
      <c r="GTO47" s="3" t="s">
        <v>180</v>
      </c>
      <c r="GTP47" s="3" t="s">
        <v>26</v>
      </c>
      <c r="GTQ47" s="3" t="s">
        <v>197</v>
      </c>
      <c r="GTT47" s="3" t="s">
        <v>198</v>
      </c>
      <c r="GTU47" s="2" t="s">
        <v>195</v>
      </c>
      <c r="GTV47" s="3" t="s">
        <v>196</v>
      </c>
      <c r="GTW47" s="3" t="s">
        <v>180</v>
      </c>
      <c r="GTX47" s="3" t="s">
        <v>26</v>
      </c>
      <c r="GTY47" s="3" t="s">
        <v>197</v>
      </c>
      <c r="GUB47" s="3" t="s">
        <v>198</v>
      </c>
      <c r="GUC47" s="2" t="s">
        <v>195</v>
      </c>
      <c r="GUD47" s="3" t="s">
        <v>196</v>
      </c>
      <c r="GUE47" s="3" t="s">
        <v>180</v>
      </c>
      <c r="GUF47" s="3" t="s">
        <v>26</v>
      </c>
      <c r="GUG47" s="3" t="s">
        <v>197</v>
      </c>
      <c r="GUJ47" s="3" t="s">
        <v>198</v>
      </c>
      <c r="GUK47" s="2" t="s">
        <v>195</v>
      </c>
      <c r="GUL47" s="3" t="s">
        <v>196</v>
      </c>
      <c r="GUM47" s="3" t="s">
        <v>180</v>
      </c>
      <c r="GUN47" s="3" t="s">
        <v>26</v>
      </c>
      <c r="GUO47" s="3" t="s">
        <v>197</v>
      </c>
      <c r="GUR47" s="3" t="s">
        <v>198</v>
      </c>
      <c r="GUS47" s="2" t="s">
        <v>195</v>
      </c>
      <c r="GUT47" s="3" t="s">
        <v>196</v>
      </c>
      <c r="GUU47" s="3" t="s">
        <v>180</v>
      </c>
      <c r="GUV47" s="3" t="s">
        <v>26</v>
      </c>
      <c r="GUW47" s="3" t="s">
        <v>197</v>
      </c>
      <c r="GUZ47" s="3" t="s">
        <v>198</v>
      </c>
      <c r="GVA47" s="2" t="s">
        <v>195</v>
      </c>
      <c r="GVB47" s="3" t="s">
        <v>196</v>
      </c>
      <c r="GVC47" s="3" t="s">
        <v>180</v>
      </c>
      <c r="GVD47" s="3" t="s">
        <v>26</v>
      </c>
      <c r="GVE47" s="3" t="s">
        <v>197</v>
      </c>
      <c r="GVH47" s="3" t="s">
        <v>198</v>
      </c>
      <c r="GVI47" s="2" t="s">
        <v>195</v>
      </c>
      <c r="GVJ47" s="3" t="s">
        <v>196</v>
      </c>
      <c r="GVK47" s="3" t="s">
        <v>180</v>
      </c>
      <c r="GVL47" s="3" t="s">
        <v>26</v>
      </c>
      <c r="GVM47" s="3" t="s">
        <v>197</v>
      </c>
      <c r="GVP47" s="3" t="s">
        <v>198</v>
      </c>
      <c r="GVQ47" s="2" t="s">
        <v>195</v>
      </c>
      <c r="GVR47" s="3" t="s">
        <v>196</v>
      </c>
      <c r="GVS47" s="3" t="s">
        <v>180</v>
      </c>
      <c r="GVT47" s="3" t="s">
        <v>26</v>
      </c>
      <c r="GVU47" s="3" t="s">
        <v>197</v>
      </c>
      <c r="GVX47" s="3" t="s">
        <v>198</v>
      </c>
      <c r="GVY47" s="2" t="s">
        <v>195</v>
      </c>
      <c r="GVZ47" s="3" t="s">
        <v>196</v>
      </c>
      <c r="GWA47" s="3" t="s">
        <v>180</v>
      </c>
      <c r="GWB47" s="3" t="s">
        <v>26</v>
      </c>
      <c r="GWC47" s="3" t="s">
        <v>197</v>
      </c>
      <c r="GWF47" s="3" t="s">
        <v>198</v>
      </c>
      <c r="GWG47" s="2" t="s">
        <v>195</v>
      </c>
      <c r="GWH47" s="3" t="s">
        <v>196</v>
      </c>
      <c r="GWI47" s="3" t="s">
        <v>180</v>
      </c>
      <c r="GWJ47" s="3" t="s">
        <v>26</v>
      </c>
      <c r="GWK47" s="3" t="s">
        <v>197</v>
      </c>
      <c r="GWN47" s="3" t="s">
        <v>198</v>
      </c>
      <c r="GWO47" s="2" t="s">
        <v>195</v>
      </c>
      <c r="GWP47" s="3" t="s">
        <v>196</v>
      </c>
      <c r="GWQ47" s="3" t="s">
        <v>180</v>
      </c>
      <c r="GWR47" s="3" t="s">
        <v>26</v>
      </c>
      <c r="GWS47" s="3" t="s">
        <v>197</v>
      </c>
      <c r="GWV47" s="3" t="s">
        <v>198</v>
      </c>
      <c r="GWW47" s="2" t="s">
        <v>195</v>
      </c>
      <c r="GWX47" s="3" t="s">
        <v>196</v>
      </c>
      <c r="GWY47" s="3" t="s">
        <v>180</v>
      </c>
      <c r="GWZ47" s="3" t="s">
        <v>26</v>
      </c>
      <c r="GXA47" s="3" t="s">
        <v>197</v>
      </c>
      <c r="GXD47" s="3" t="s">
        <v>198</v>
      </c>
      <c r="GXE47" s="2" t="s">
        <v>195</v>
      </c>
      <c r="GXF47" s="3" t="s">
        <v>196</v>
      </c>
      <c r="GXG47" s="3" t="s">
        <v>180</v>
      </c>
      <c r="GXH47" s="3" t="s">
        <v>26</v>
      </c>
      <c r="GXI47" s="3" t="s">
        <v>197</v>
      </c>
      <c r="GXL47" s="3" t="s">
        <v>198</v>
      </c>
      <c r="GXM47" s="2" t="s">
        <v>195</v>
      </c>
      <c r="GXN47" s="3" t="s">
        <v>196</v>
      </c>
      <c r="GXO47" s="3" t="s">
        <v>180</v>
      </c>
      <c r="GXP47" s="3" t="s">
        <v>26</v>
      </c>
      <c r="GXQ47" s="3" t="s">
        <v>197</v>
      </c>
      <c r="GXT47" s="3" t="s">
        <v>198</v>
      </c>
      <c r="GXU47" s="2" t="s">
        <v>195</v>
      </c>
      <c r="GXV47" s="3" t="s">
        <v>196</v>
      </c>
      <c r="GXW47" s="3" t="s">
        <v>180</v>
      </c>
      <c r="GXX47" s="3" t="s">
        <v>26</v>
      </c>
      <c r="GXY47" s="3" t="s">
        <v>197</v>
      </c>
      <c r="GYB47" s="3" t="s">
        <v>198</v>
      </c>
      <c r="GYC47" s="2" t="s">
        <v>195</v>
      </c>
      <c r="GYD47" s="3" t="s">
        <v>196</v>
      </c>
      <c r="GYE47" s="3" t="s">
        <v>180</v>
      </c>
      <c r="GYF47" s="3" t="s">
        <v>26</v>
      </c>
      <c r="GYG47" s="3" t="s">
        <v>197</v>
      </c>
      <c r="GYJ47" s="3" t="s">
        <v>198</v>
      </c>
      <c r="GYK47" s="2" t="s">
        <v>195</v>
      </c>
      <c r="GYL47" s="3" t="s">
        <v>196</v>
      </c>
      <c r="GYM47" s="3" t="s">
        <v>180</v>
      </c>
      <c r="GYN47" s="3" t="s">
        <v>26</v>
      </c>
      <c r="GYO47" s="3" t="s">
        <v>197</v>
      </c>
      <c r="GYR47" s="3" t="s">
        <v>198</v>
      </c>
      <c r="GYS47" s="2" t="s">
        <v>195</v>
      </c>
      <c r="GYT47" s="3" t="s">
        <v>196</v>
      </c>
      <c r="GYU47" s="3" t="s">
        <v>180</v>
      </c>
      <c r="GYV47" s="3" t="s">
        <v>26</v>
      </c>
      <c r="GYW47" s="3" t="s">
        <v>197</v>
      </c>
      <c r="GYZ47" s="3" t="s">
        <v>198</v>
      </c>
      <c r="GZA47" s="2" t="s">
        <v>195</v>
      </c>
      <c r="GZB47" s="3" t="s">
        <v>196</v>
      </c>
      <c r="GZC47" s="3" t="s">
        <v>180</v>
      </c>
      <c r="GZD47" s="3" t="s">
        <v>26</v>
      </c>
      <c r="GZE47" s="3" t="s">
        <v>197</v>
      </c>
      <c r="GZH47" s="3" t="s">
        <v>198</v>
      </c>
      <c r="GZI47" s="2" t="s">
        <v>195</v>
      </c>
      <c r="GZJ47" s="3" t="s">
        <v>196</v>
      </c>
      <c r="GZK47" s="3" t="s">
        <v>180</v>
      </c>
      <c r="GZL47" s="3" t="s">
        <v>26</v>
      </c>
      <c r="GZM47" s="3" t="s">
        <v>197</v>
      </c>
      <c r="GZP47" s="3" t="s">
        <v>198</v>
      </c>
      <c r="GZQ47" s="2" t="s">
        <v>195</v>
      </c>
      <c r="GZR47" s="3" t="s">
        <v>196</v>
      </c>
      <c r="GZS47" s="3" t="s">
        <v>180</v>
      </c>
      <c r="GZT47" s="3" t="s">
        <v>26</v>
      </c>
      <c r="GZU47" s="3" t="s">
        <v>197</v>
      </c>
      <c r="GZX47" s="3" t="s">
        <v>198</v>
      </c>
      <c r="GZY47" s="2" t="s">
        <v>195</v>
      </c>
      <c r="GZZ47" s="3" t="s">
        <v>196</v>
      </c>
      <c r="HAA47" s="3" t="s">
        <v>180</v>
      </c>
      <c r="HAB47" s="3" t="s">
        <v>26</v>
      </c>
      <c r="HAC47" s="3" t="s">
        <v>197</v>
      </c>
      <c r="HAF47" s="3" t="s">
        <v>198</v>
      </c>
      <c r="HAG47" s="2" t="s">
        <v>195</v>
      </c>
      <c r="HAH47" s="3" t="s">
        <v>196</v>
      </c>
      <c r="HAI47" s="3" t="s">
        <v>180</v>
      </c>
      <c r="HAJ47" s="3" t="s">
        <v>26</v>
      </c>
      <c r="HAK47" s="3" t="s">
        <v>197</v>
      </c>
      <c r="HAN47" s="3" t="s">
        <v>198</v>
      </c>
      <c r="HAO47" s="2" t="s">
        <v>195</v>
      </c>
      <c r="HAP47" s="3" t="s">
        <v>196</v>
      </c>
      <c r="HAQ47" s="3" t="s">
        <v>180</v>
      </c>
      <c r="HAR47" s="3" t="s">
        <v>26</v>
      </c>
      <c r="HAS47" s="3" t="s">
        <v>197</v>
      </c>
      <c r="HAV47" s="3" t="s">
        <v>198</v>
      </c>
      <c r="HAW47" s="2" t="s">
        <v>195</v>
      </c>
      <c r="HAX47" s="3" t="s">
        <v>196</v>
      </c>
      <c r="HAY47" s="3" t="s">
        <v>180</v>
      </c>
      <c r="HAZ47" s="3" t="s">
        <v>26</v>
      </c>
      <c r="HBA47" s="3" t="s">
        <v>197</v>
      </c>
      <c r="HBD47" s="3" t="s">
        <v>198</v>
      </c>
      <c r="HBE47" s="2" t="s">
        <v>195</v>
      </c>
      <c r="HBF47" s="3" t="s">
        <v>196</v>
      </c>
      <c r="HBG47" s="3" t="s">
        <v>180</v>
      </c>
      <c r="HBH47" s="3" t="s">
        <v>26</v>
      </c>
      <c r="HBI47" s="3" t="s">
        <v>197</v>
      </c>
      <c r="HBL47" s="3" t="s">
        <v>198</v>
      </c>
      <c r="HBM47" s="2" t="s">
        <v>195</v>
      </c>
      <c r="HBN47" s="3" t="s">
        <v>196</v>
      </c>
      <c r="HBO47" s="3" t="s">
        <v>180</v>
      </c>
      <c r="HBP47" s="3" t="s">
        <v>26</v>
      </c>
      <c r="HBQ47" s="3" t="s">
        <v>197</v>
      </c>
      <c r="HBT47" s="3" t="s">
        <v>198</v>
      </c>
      <c r="HBU47" s="2" t="s">
        <v>195</v>
      </c>
      <c r="HBV47" s="3" t="s">
        <v>196</v>
      </c>
      <c r="HBW47" s="3" t="s">
        <v>180</v>
      </c>
      <c r="HBX47" s="3" t="s">
        <v>26</v>
      </c>
      <c r="HBY47" s="3" t="s">
        <v>197</v>
      </c>
      <c r="HCB47" s="3" t="s">
        <v>198</v>
      </c>
      <c r="HCC47" s="2" t="s">
        <v>195</v>
      </c>
      <c r="HCD47" s="3" t="s">
        <v>196</v>
      </c>
      <c r="HCE47" s="3" t="s">
        <v>180</v>
      </c>
      <c r="HCF47" s="3" t="s">
        <v>26</v>
      </c>
      <c r="HCG47" s="3" t="s">
        <v>197</v>
      </c>
      <c r="HCJ47" s="3" t="s">
        <v>198</v>
      </c>
      <c r="HCK47" s="2" t="s">
        <v>195</v>
      </c>
      <c r="HCL47" s="3" t="s">
        <v>196</v>
      </c>
      <c r="HCM47" s="3" t="s">
        <v>180</v>
      </c>
      <c r="HCN47" s="3" t="s">
        <v>26</v>
      </c>
      <c r="HCO47" s="3" t="s">
        <v>197</v>
      </c>
      <c r="HCR47" s="3" t="s">
        <v>198</v>
      </c>
      <c r="HCS47" s="2" t="s">
        <v>195</v>
      </c>
      <c r="HCT47" s="3" t="s">
        <v>196</v>
      </c>
      <c r="HCU47" s="3" t="s">
        <v>180</v>
      </c>
      <c r="HCV47" s="3" t="s">
        <v>26</v>
      </c>
      <c r="HCW47" s="3" t="s">
        <v>197</v>
      </c>
      <c r="HCZ47" s="3" t="s">
        <v>198</v>
      </c>
      <c r="HDA47" s="2" t="s">
        <v>195</v>
      </c>
      <c r="HDB47" s="3" t="s">
        <v>196</v>
      </c>
      <c r="HDC47" s="3" t="s">
        <v>180</v>
      </c>
      <c r="HDD47" s="3" t="s">
        <v>26</v>
      </c>
      <c r="HDE47" s="3" t="s">
        <v>197</v>
      </c>
      <c r="HDH47" s="3" t="s">
        <v>198</v>
      </c>
      <c r="HDI47" s="2" t="s">
        <v>195</v>
      </c>
      <c r="HDJ47" s="3" t="s">
        <v>196</v>
      </c>
      <c r="HDK47" s="3" t="s">
        <v>180</v>
      </c>
      <c r="HDL47" s="3" t="s">
        <v>26</v>
      </c>
      <c r="HDM47" s="3" t="s">
        <v>197</v>
      </c>
      <c r="HDP47" s="3" t="s">
        <v>198</v>
      </c>
      <c r="HDQ47" s="2" t="s">
        <v>195</v>
      </c>
      <c r="HDR47" s="3" t="s">
        <v>196</v>
      </c>
      <c r="HDS47" s="3" t="s">
        <v>180</v>
      </c>
      <c r="HDT47" s="3" t="s">
        <v>26</v>
      </c>
      <c r="HDU47" s="3" t="s">
        <v>197</v>
      </c>
      <c r="HDX47" s="3" t="s">
        <v>198</v>
      </c>
      <c r="HDY47" s="2" t="s">
        <v>195</v>
      </c>
      <c r="HDZ47" s="3" t="s">
        <v>196</v>
      </c>
      <c r="HEA47" s="3" t="s">
        <v>180</v>
      </c>
      <c r="HEB47" s="3" t="s">
        <v>26</v>
      </c>
      <c r="HEC47" s="3" t="s">
        <v>197</v>
      </c>
      <c r="HEF47" s="3" t="s">
        <v>198</v>
      </c>
      <c r="HEG47" s="2" t="s">
        <v>195</v>
      </c>
      <c r="HEH47" s="3" t="s">
        <v>196</v>
      </c>
      <c r="HEI47" s="3" t="s">
        <v>180</v>
      </c>
      <c r="HEJ47" s="3" t="s">
        <v>26</v>
      </c>
      <c r="HEK47" s="3" t="s">
        <v>197</v>
      </c>
      <c r="HEN47" s="3" t="s">
        <v>198</v>
      </c>
      <c r="HEO47" s="2" t="s">
        <v>195</v>
      </c>
      <c r="HEP47" s="3" t="s">
        <v>196</v>
      </c>
      <c r="HEQ47" s="3" t="s">
        <v>180</v>
      </c>
      <c r="HER47" s="3" t="s">
        <v>26</v>
      </c>
      <c r="HES47" s="3" t="s">
        <v>197</v>
      </c>
      <c r="HEV47" s="3" t="s">
        <v>198</v>
      </c>
      <c r="HEW47" s="2" t="s">
        <v>195</v>
      </c>
      <c r="HEX47" s="3" t="s">
        <v>196</v>
      </c>
      <c r="HEY47" s="3" t="s">
        <v>180</v>
      </c>
      <c r="HEZ47" s="3" t="s">
        <v>26</v>
      </c>
      <c r="HFA47" s="3" t="s">
        <v>197</v>
      </c>
      <c r="HFD47" s="3" t="s">
        <v>198</v>
      </c>
      <c r="HFE47" s="2" t="s">
        <v>195</v>
      </c>
      <c r="HFF47" s="3" t="s">
        <v>196</v>
      </c>
      <c r="HFG47" s="3" t="s">
        <v>180</v>
      </c>
      <c r="HFH47" s="3" t="s">
        <v>26</v>
      </c>
      <c r="HFI47" s="3" t="s">
        <v>197</v>
      </c>
      <c r="HFL47" s="3" t="s">
        <v>198</v>
      </c>
      <c r="HFM47" s="2" t="s">
        <v>195</v>
      </c>
      <c r="HFN47" s="3" t="s">
        <v>196</v>
      </c>
      <c r="HFO47" s="3" t="s">
        <v>180</v>
      </c>
      <c r="HFP47" s="3" t="s">
        <v>26</v>
      </c>
      <c r="HFQ47" s="3" t="s">
        <v>197</v>
      </c>
      <c r="HFT47" s="3" t="s">
        <v>198</v>
      </c>
      <c r="HFU47" s="2" t="s">
        <v>195</v>
      </c>
      <c r="HFV47" s="3" t="s">
        <v>196</v>
      </c>
      <c r="HFW47" s="3" t="s">
        <v>180</v>
      </c>
      <c r="HFX47" s="3" t="s">
        <v>26</v>
      </c>
      <c r="HFY47" s="3" t="s">
        <v>197</v>
      </c>
      <c r="HGB47" s="3" t="s">
        <v>198</v>
      </c>
      <c r="HGC47" s="2" t="s">
        <v>195</v>
      </c>
      <c r="HGD47" s="3" t="s">
        <v>196</v>
      </c>
      <c r="HGE47" s="3" t="s">
        <v>180</v>
      </c>
      <c r="HGF47" s="3" t="s">
        <v>26</v>
      </c>
      <c r="HGG47" s="3" t="s">
        <v>197</v>
      </c>
      <c r="HGJ47" s="3" t="s">
        <v>198</v>
      </c>
      <c r="HGK47" s="2" t="s">
        <v>195</v>
      </c>
      <c r="HGL47" s="3" t="s">
        <v>196</v>
      </c>
      <c r="HGM47" s="3" t="s">
        <v>180</v>
      </c>
      <c r="HGN47" s="3" t="s">
        <v>26</v>
      </c>
      <c r="HGO47" s="3" t="s">
        <v>197</v>
      </c>
      <c r="HGR47" s="3" t="s">
        <v>198</v>
      </c>
      <c r="HGS47" s="2" t="s">
        <v>195</v>
      </c>
      <c r="HGT47" s="3" t="s">
        <v>196</v>
      </c>
      <c r="HGU47" s="3" t="s">
        <v>180</v>
      </c>
      <c r="HGV47" s="3" t="s">
        <v>26</v>
      </c>
      <c r="HGW47" s="3" t="s">
        <v>197</v>
      </c>
      <c r="HGZ47" s="3" t="s">
        <v>198</v>
      </c>
      <c r="HHA47" s="2" t="s">
        <v>195</v>
      </c>
      <c r="HHB47" s="3" t="s">
        <v>196</v>
      </c>
      <c r="HHC47" s="3" t="s">
        <v>180</v>
      </c>
      <c r="HHD47" s="3" t="s">
        <v>26</v>
      </c>
      <c r="HHE47" s="3" t="s">
        <v>197</v>
      </c>
      <c r="HHH47" s="3" t="s">
        <v>198</v>
      </c>
      <c r="HHI47" s="2" t="s">
        <v>195</v>
      </c>
      <c r="HHJ47" s="3" t="s">
        <v>196</v>
      </c>
      <c r="HHK47" s="3" t="s">
        <v>180</v>
      </c>
      <c r="HHL47" s="3" t="s">
        <v>26</v>
      </c>
      <c r="HHM47" s="3" t="s">
        <v>197</v>
      </c>
      <c r="HHP47" s="3" t="s">
        <v>198</v>
      </c>
      <c r="HHQ47" s="2" t="s">
        <v>195</v>
      </c>
      <c r="HHR47" s="3" t="s">
        <v>196</v>
      </c>
      <c r="HHS47" s="3" t="s">
        <v>180</v>
      </c>
      <c r="HHT47" s="3" t="s">
        <v>26</v>
      </c>
      <c r="HHU47" s="3" t="s">
        <v>197</v>
      </c>
      <c r="HHX47" s="3" t="s">
        <v>198</v>
      </c>
      <c r="HHY47" s="2" t="s">
        <v>195</v>
      </c>
      <c r="HHZ47" s="3" t="s">
        <v>196</v>
      </c>
      <c r="HIA47" s="3" t="s">
        <v>180</v>
      </c>
      <c r="HIB47" s="3" t="s">
        <v>26</v>
      </c>
      <c r="HIC47" s="3" t="s">
        <v>197</v>
      </c>
      <c r="HIF47" s="3" t="s">
        <v>198</v>
      </c>
      <c r="HIG47" s="2" t="s">
        <v>195</v>
      </c>
      <c r="HIH47" s="3" t="s">
        <v>196</v>
      </c>
      <c r="HII47" s="3" t="s">
        <v>180</v>
      </c>
      <c r="HIJ47" s="3" t="s">
        <v>26</v>
      </c>
      <c r="HIK47" s="3" t="s">
        <v>197</v>
      </c>
      <c r="HIN47" s="3" t="s">
        <v>198</v>
      </c>
      <c r="HIO47" s="2" t="s">
        <v>195</v>
      </c>
      <c r="HIP47" s="3" t="s">
        <v>196</v>
      </c>
      <c r="HIQ47" s="3" t="s">
        <v>180</v>
      </c>
      <c r="HIR47" s="3" t="s">
        <v>26</v>
      </c>
      <c r="HIS47" s="3" t="s">
        <v>197</v>
      </c>
      <c r="HIV47" s="3" t="s">
        <v>198</v>
      </c>
      <c r="HIW47" s="2" t="s">
        <v>195</v>
      </c>
      <c r="HIX47" s="3" t="s">
        <v>196</v>
      </c>
      <c r="HIY47" s="3" t="s">
        <v>180</v>
      </c>
      <c r="HIZ47" s="3" t="s">
        <v>26</v>
      </c>
      <c r="HJA47" s="3" t="s">
        <v>197</v>
      </c>
      <c r="HJD47" s="3" t="s">
        <v>198</v>
      </c>
      <c r="HJE47" s="2" t="s">
        <v>195</v>
      </c>
      <c r="HJF47" s="3" t="s">
        <v>196</v>
      </c>
      <c r="HJG47" s="3" t="s">
        <v>180</v>
      </c>
      <c r="HJH47" s="3" t="s">
        <v>26</v>
      </c>
      <c r="HJI47" s="3" t="s">
        <v>197</v>
      </c>
      <c r="HJL47" s="3" t="s">
        <v>198</v>
      </c>
      <c r="HJM47" s="2" t="s">
        <v>195</v>
      </c>
      <c r="HJN47" s="3" t="s">
        <v>196</v>
      </c>
      <c r="HJO47" s="3" t="s">
        <v>180</v>
      </c>
      <c r="HJP47" s="3" t="s">
        <v>26</v>
      </c>
      <c r="HJQ47" s="3" t="s">
        <v>197</v>
      </c>
      <c r="HJT47" s="3" t="s">
        <v>198</v>
      </c>
      <c r="HJU47" s="2" t="s">
        <v>195</v>
      </c>
      <c r="HJV47" s="3" t="s">
        <v>196</v>
      </c>
      <c r="HJW47" s="3" t="s">
        <v>180</v>
      </c>
      <c r="HJX47" s="3" t="s">
        <v>26</v>
      </c>
      <c r="HJY47" s="3" t="s">
        <v>197</v>
      </c>
      <c r="HKB47" s="3" t="s">
        <v>198</v>
      </c>
      <c r="HKC47" s="2" t="s">
        <v>195</v>
      </c>
      <c r="HKD47" s="3" t="s">
        <v>196</v>
      </c>
      <c r="HKE47" s="3" t="s">
        <v>180</v>
      </c>
      <c r="HKF47" s="3" t="s">
        <v>26</v>
      </c>
      <c r="HKG47" s="3" t="s">
        <v>197</v>
      </c>
      <c r="HKJ47" s="3" t="s">
        <v>198</v>
      </c>
      <c r="HKK47" s="2" t="s">
        <v>195</v>
      </c>
      <c r="HKL47" s="3" t="s">
        <v>196</v>
      </c>
      <c r="HKM47" s="3" t="s">
        <v>180</v>
      </c>
      <c r="HKN47" s="3" t="s">
        <v>26</v>
      </c>
      <c r="HKO47" s="3" t="s">
        <v>197</v>
      </c>
      <c r="HKR47" s="3" t="s">
        <v>198</v>
      </c>
      <c r="HKS47" s="2" t="s">
        <v>195</v>
      </c>
      <c r="HKT47" s="3" t="s">
        <v>196</v>
      </c>
      <c r="HKU47" s="3" t="s">
        <v>180</v>
      </c>
      <c r="HKV47" s="3" t="s">
        <v>26</v>
      </c>
      <c r="HKW47" s="3" t="s">
        <v>197</v>
      </c>
      <c r="HKZ47" s="3" t="s">
        <v>198</v>
      </c>
      <c r="HLA47" s="2" t="s">
        <v>195</v>
      </c>
      <c r="HLB47" s="3" t="s">
        <v>196</v>
      </c>
      <c r="HLC47" s="3" t="s">
        <v>180</v>
      </c>
      <c r="HLD47" s="3" t="s">
        <v>26</v>
      </c>
      <c r="HLE47" s="3" t="s">
        <v>197</v>
      </c>
      <c r="HLH47" s="3" t="s">
        <v>198</v>
      </c>
      <c r="HLI47" s="2" t="s">
        <v>195</v>
      </c>
      <c r="HLJ47" s="3" t="s">
        <v>196</v>
      </c>
      <c r="HLK47" s="3" t="s">
        <v>180</v>
      </c>
      <c r="HLL47" s="3" t="s">
        <v>26</v>
      </c>
      <c r="HLM47" s="3" t="s">
        <v>197</v>
      </c>
      <c r="HLP47" s="3" t="s">
        <v>198</v>
      </c>
      <c r="HLQ47" s="2" t="s">
        <v>195</v>
      </c>
      <c r="HLR47" s="3" t="s">
        <v>196</v>
      </c>
      <c r="HLS47" s="3" t="s">
        <v>180</v>
      </c>
      <c r="HLT47" s="3" t="s">
        <v>26</v>
      </c>
      <c r="HLU47" s="3" t="s">
        <v>197</v>
      </c>
      <c r="HLX47" s="3" t="s">
        <v>198</v>
      </c>
      <c r="HLY47" s="2" t="s">
        <v>195</v>
      </c>
      <c r="HLZ47" s="3" t="s">
        <v>196</v>
      </c>
      <c r="HMA47" s="3" t="s">
        <v>180</v>
      </c>
      <c r="HMB47" s="3" t="s">
        <v>26</v>
      </c>
      <c r="HMC47" s="3" t="s">
        <v>197</v>
      </c>
      <c r="HMF47" s="3" t="s">
        <v>198</v>
      </c>
      <c r="HMG47" s="2" t="s">
        <v>195</v>
      </c>
      <c r="HMH47" s="3" t="s">
        <v>196</v>
      </c>
      <c r="HMI47" s="3" t="s">
        <v>180</v>
      </c>
      <c r="HMJ47" s="3" t="s">
        <v>26</v>
      </c>
      <c r="HMK47" s="3" t="s">
        <v>197</v>
      </c>
      <c r="HMN47" s="3" t="s">
        <v>198</v>
      </c>
      <c r="HMO47" s="2" t="s">
        <v>195</v>
      </c>
      <c r="HMP47" s="3" t="s">
        <v>196</v>
      </c>
      <c r="HMQ47" s="3" t="s">
        <v>180</v>
      </c>
      <c r="HMR47" s="3" t="s">
        <v>26</v>
      </c>
      <c r="HMS47" s="3" t="s">
        <v>197</v>
      </c>
      <c r="HMV47" s="3" t="s">
        <v>198</v>
      </c>
      <c r="HMW47" s="2" t="s">
        <v>195</v>
      </c>
      <c r="HMX47" s="3" t="s">
        <v>196</v>
      </c>
      <c r="HMY47" s="3" t="s">
        <v>180</v>
      </c>
      <c r="HMZ47" s="3" t="s">
        <v>26</v>
      </c>
      <c r="HNA47" s="3" t="s">
        <v>197</v>
      </c>
      <c r="HND47" s="3" t="s">
        <v>198</v>
      </c>
      <c r="HNE47" s="2" t="s">
        <v>195</v>
      </c>
      <c r="HNF47" s="3" t="s">
        <v>196</v>
      </c>
      <c r="HNG47" s="3" t="s">
        <v>180</v>
      </c>
      <c r="HNH47" s="3" t="s">
        <v>26</v>
      </c>
      <c r="HNI47" s="3" t="s">
        <v>197</v>
      </c>
      <c r="HNL47" s="3" t="s">
        <v>198</v>
      </c>
      <c r="HNM47" s="2" t="s">
        <v>195</v>
      </c>
      <c r="HNN47" s="3" t="s">
        <v>196</v>
      </c>
      <c r="HNO47" s="3" t="s">
        <v>180</v>
      </c>
      <c r="HNP47" s="3" t="s">
        <v>26</v>
      </c>
      <c r="HNQ47" s="3" t="s">
        <v>197</v>
      </c>
      <c r="HNT47" s="3" t="s">
        <v>198</v>
      </c>
      <c r="HNU47" s="2" t="s">
        <v>195</v>
      </c>
      <c r="HNV47" s="3" t="s">
        <v>196</v>
      </c>
      <c r="HNW47" s="3" t="s">
        <v>180</v>
      </c>
      <c r="HNX47" s="3" t="s">
        <v>26</v>
      </c>
      <c r="HNY47" s="3" t="s">
        <v>197</v>
      </c>
      <c r="HOB47" s="3" t="s">
        <v>198</v>
      </c>
      <c r="HOC47" s="2" t="s">
        <v>195</v>
      </c>
      <c r="HOD47" s="3" t="s">
        <v>196</v>
      </c>
      <c r="HOE47" s="3" t="s">
        <v>180</v>
      </c>
      <c r="HOF47" s="3" t="s">
        <v>26</v>
      </c>
      <c r="HOG47" s="3" t="s">
        <v>197</v>
      </c>
      <c r="HOJ47" s="3" t="s">
        <v>198</v>
      </c>
      <c r="HOK47" s="2" t="s">
        <v>195</v>
      </c>
      <c r="HOL47" s="3" t="s">
        <v>196</v>
      </c>
      <c r="HOM47" s="3" t="s">
        <v>180</v>
      </c>
      <c r="HON47" s="3" t="s">
        <v>26</v>
      </c>
      <c r="HOO47" s="3" t="s">
        <v>197</v>
      </c>
      <c r="HOR47" s="3" t="s">
        <v>198</v>
      </c>
      <c r="HOS47" s="2" t="s">
        <v>195</v>
      </c>
      <c r="HOT47" s="3" t="s">
        <v>196</v>
      </c>
      <c r="HOU47" s="3" t="s">
        <v>180</v>
      </c>
      <c r="HOV47" s="3" t="s">
        <v>26</v>
      </c>
      <c r="HOW47" s="3" t="s">
        <v>197</v>
      </c>
      <c r="HOZ47" s="3" t="s">
        <v>198</v>
      </c>
      <c r="HPA47" s="2" t="s">
        <v>195</v>
      </c>
      <c r="HPB47" s="3" t="s">
        <v>196</v>
      </c>
      <c r="HPC47" s="3" t="s">
        <v>180</v>
      </c>
      <c r="HPD47" s="3" t="s">
        <v>26</v>
      </c>
      <c r="HPE47" s="3" t="s">
        <v>197</v>
      </c>
      <c r="HPH47" s="3" t="s">
        <v>198</v>
      </c>
      <c r="HPI47" s="2" t="s">
        <v>195</v>
      </c>
      <c r="HPJ47" s="3" t="s">
        <v>196</v>
      </c>
      <c r="HPK47" s="3" t="s">
        <v>180</v>
      </c>
      <c r="HPL47" s="3" t="s">
        <v>26</v>
      </c>
      <c r="HPM47" s="3" t="s">
        <v>197</v>
      </c>
      <c r="HPP47" s="3" t="s">
        <v>198</v>
      </c>
      <c r="HPQ47" s="2" t="s">
        <v>195</v>
      </c>
      <c r="HPR47" s="3" t="s">
        <v>196</v>
      </c>
      <c r="HPS47" s="3" t="s">
        <v>180</v>
      </c>
      <c r="HPT47" s="3" t="s">
        <v>26</v>
      </c>
      <c r="HPU47" s="3" t="s">
        <v>197</v>
      </c>
      <c r="HPX47" s="3" t="s">
        <v>198</v>
      </c>
      <c r="HPY47" s="2" t="s">
        <v>195</v>
      </c>
      <c r="HPZ47" s="3" t="s">
        <v>196</v>
      </c>
      <c r="HQA47" s="3" t="s">
        <v>180</v>
      </c>
      <c r="HQB47" s="3" t="s">
        <v>26</v>
      </c>
      <c r="HQC47" s="3" t="s">
        <v>197</v>
      </c>
      <c r="HQF47" s="3" t="s">
        <v>198</v>
      </c>
      <c r="HQG47" s="2" t="s">
        <v>195</v>
      </c>
      <c r="HQH47" s="3" t="s">
        <v>196</v>
      </c>
      <c r="HQI47" s="3" t="s">
        <v>180</v>
      </c>
      <c r="HQJ47" s="3" t="s">
        <v>26</v>
      </c>
      <c r="HQK47" s="3" t="s">
        <v>197</v>
      </c>
      <c r="HQN47" s="3" t="s">
        <v>198</v>
      </c>
      <c r="HQO47" s="2" t="s">
        <v>195</v>
      </c>
      <c r="HQP47" s="3" t="s">
        <v>196</v>
      </c>
      <c r="HQQ47" s="3" t="s">
        <v>180</v>
      </c>
      <c r="HQR47" s="3" t="s">
        <v>26</v>
      </c>
      <c r="HQS47" s="3" t="s">
        <v>197</v>
      </c>
      <c r="HQV47" s="3" t="s">
        <v>198</v>
      </c>
      <c r="HQW47" s="2" t="s">
        <v>195</v>
      </c>
      <c r="HQX47" s="3" t="s">
        <v>196</v>
      </c>
      <c r="HQY47" s="3" t="s">
        <v>180</v>
      </c>
      <c r="HQZ47" s="3" t="s">
        <v>26</v>
      </c>
      <c r="HRA47" s="3" t="s">
        <v>197</v>
      </c>
      <c r="HRD47" s="3" t="s">
        <v>198</v>
      </c>
      <c r="HRE47" s="2" t="s">
        <v>195</v>
      </c>
      <c r="HRF47" s="3" t="s">
        <v>196</v>
      </c>
      <c r="HRG47" s="3" t="s">
        <v>180</v>
      </c>
      <c r="HRH47" s="3" t="s">
        <v>26</v>
      </c>
      <c r="HRI47" s="3" t="s">
        <v>197</v>
      </c>
      <c r="HRL47" s="3" t="s">
        <v>198</v>
      </c>
      <c r="HRM47" s="2" t="s">
        <v>195</v>
      </c>
      <c r="HRN47" s="3" t="s">
        <v>196</v>
      </c>
      <c r="HRO47" s="3" t="s">
        <v>180</v>
      </c>
      <c r="HRP47" s="3" t="s">
        <v>26</v>
      </c>
      <c r="HRQ47" s="3" t="s">
        <v>197</v>
      </c>
      <c r="HRT47" s="3" t="s">
        <v>198</v>
      </c>
      <c r="HRU47" s="2" t="s">
        <v>195</v>
      </c>
      <c r="HRV47" s="3" t="s">
        <v>196</v>
      </c>
      <c r="HRW47" s="3" t="s">
        <v>180</v>
      </c>
      <c r="HRX47" s="3" t="s">
        <v>26</v>
      </c>
      <c r="HRY47" s="3" t="s">
        <v>197</v>
      </c>
      <c r="HSB47" s="3" t="s">
        <v>198</v>
      </c>
      <c r="HSC47" s="2" t="s">
        <v>195</v>
      </c>
      <c r="HSD47" s="3" t="s">
        <v>196</v>
      </c>
      <c r="HSE47" s="3" t="s">
        <v>180</v>
      </c>
      <c r="HSF47" s="3" t="s">
        <v>26</v>
      </c>
      <c r="HSG47" s="3" t="s">
        <v>197</v>
      </c>
      <c r="HSJ47" s="3" t="s">
        <v>198</v>
      </c>
      <c r="HSK47" s="2" t="s">
        <v>195</v>
      </c>
      <c r="HSL47" s="3" t="s">
        <v>196</v>
      </c>
      <c r="HSM47" s="3" t="s">
        <v>180</v>
      </c>
      <c r="HSN47" s="3" t="s">
        <v>26</v>
      </c>
      <c r="HSO47" s="3" t="s">
        <v>197</v>
      </c>
      <c r="HSR47" s="3" t="s">
        <v>198</v>
      </c>
      <c r="HSS47" s="2" t="s">
        <v>195</v>
      </c>
      <c r="HST47" s="3" t="s">
        <v>196</v>
      </c>
      <c r="HSU47" s="3" t="s">
        <v>180</v>
      </c>
      <c r="HSV47" s="3" t="s">
        <v>26</v>
      </c>
      <c r="HSW47" s="3" t="s">
        <v>197</v>
      </c>
      <c r="HSZ47" s="3" t="s">
        <v>198</v>
      </c>
      <c r="HTA47" s="2" t="s">
        <v>195</v>
      </c>
      <c r="HTB47" s="3" t="s">
        <v>196</v>
      </c>
      <c r="HTC47" s="3" t="s">
        <v>180</v>
      </c>
      <c r="HTD47" s="3" t="s">
        <v>26</v>
      </c>
      <c r="HTE47" s="3" t="s">
        <v>197</v>
      </c>
      <c r="HTH47" s="3" t="s">
        <v>198</v>
      </c>
      <c r="HTI47" s="2" t="s">
        <v>195</v>
      </c>
      <c r="HTJ47" s="3" t="s">
        <v>196</v>
      </c>
      <c r="HTK47" s="3" t="s">
        <v>180</v>
      </c>
      <c r="HTL47" s="3" t="s">
        <v>26</v>
      </c>
      <c r="HTM47" s="3" t="s">
        <v>197</v>
      </c>
      <c r="HTP47" s="3" t="s">
        <v>198</v>
      </c>
      <c r="HTQ47" s="2" t="s">
        <v>195</v>
      </c>
      <c r="HTR47" s="3" t="s">
        <v>196</v>
      </c>
      <c r="HTS47" s="3" t="s">
        <v>180</v>
      </c>
      <c r="HTT47" s="3" t="s">
        <v>26</v>
      </c>
      <c r="HTU47" s="3" t="s">
        <v>197</v>
      </c>
      <c r="HTX47" s="3" t="s">
        <v>198</v>
      </c>
      <c r="HTY47" s="2" t="s">
        <v>195</v>
      </c>
      <c r="HTZ47" s="3" t="s">
        <v>196</v>
      </c>
      <c r="HUA47" s="3" t="s">
        <v>180</v>
      </c>
      <c r="HUB47" s="3" t="s">
        <v>26</v>
      </c>
      <c r="HUC47" s="3" t="s">
        <v>197</v>
      </c>
      <c r="HUF47" s="3" t="s">
        <v>198</v>
      </c>
      <c r="HUG47" s="2" t="s">
        <v>195</v>
      </c>
      <c r="HUH47" s="3" t="s">
        <v>196</v>
      </c>
      <c r="HUI47" s="3" t="s">
        <v>180</v>
      </c>
      <c r="HUJ47" s="3" t="s">
        <v>26</v>
      </c>
      <c r="HUK47" s="3" t="s">
        <v>197</v>
      </c>
      <c r="HUN47" s="3" t="s">
        <v>198</v>
      </c>
      <c r="HUO47" s="2" t="s">
        <v>195</v>
      </c>
      <c r="HUP47" s="3" t="s">
        <v>196</v>
      </c>
      <c r="HUQ47" s="3" t="s">
        <v>180</v>
      </c>
      <c r="HUR47" s="3" t="s">
        <v>26</v>
      </c>
      <c r="HUS47" s="3" t="s">
        <v>197</v>
      </c>
      <c r="HUV47" s="3" t="s">
        <v>198</v>
      </c>
      <c r="HUW47" s="2" t="s">
        <v>195</v>
      </c>
      <c r="HUX47" s="3" t="s">
        <v>196</v>
      </c>
      <c r="HUY47" s="3" t="s">
        <v>180</v>
      </c>
      <c r="HUZ47" s="3" t="s">
        <v>26</v>
      </c>
      <c r="HVA47" s="3" t="s">
        <v>197</v>
      </c>
      <c r="HVD47" s="3" t="s">
        <v>198</v>
      </c>
      <c r="HVE47" s="2" t="s">
        <v>195</v>
      </c>
      <c r="HVF47" s="3" t="s">
        <v>196</v>
      </c>
      <c r="HVG47" s="3" t="s">
        <v>180</v>
      </c>
      <c r="HVH47" s="3" t="s">
        <v>26</v>
      </c>
      <c r="HVI47" s="3" t="s">
        <v>197</v>
      </c>
      <c r="HVL47" s="3" t="s">
        <v>198</v>
      </c>
      <c r="HVM47" s="2" t="s">
        <v>195</v>
      </c>
      <c r="HVN47" s="3" t="s">
        <v>196</v>
      </c>
      <c r="HVO47" s="3" t="s">
        <v>180</v>
      </c>
      <c r="HVP47" s="3" t="s">
        <v>26</v>
      </c>
      <c r="HVQ47" s="3" t="s">
        <v>197</v>
      </c>
      <c r="HVT47" s="3" t="s">
        <v>198</v>
      </c>
      <c r="HVU47" s="2" t="s">
        <v>195</v>
      </c>
      <c r="HVV47" s="3" t="s">
        <v>196</v>
      </c>
      <c r="HVW47" s="3" t="s">
        <v>180</v>
      </c>
      <c r="HVX47" s="3" t="s">
        <v>26</v>
      </c>
      <c r="HVY47" s="3" t="s">
        <v>197</v>
      </c>
      <c r="HWB47" s="3" t="s">
        <v>198</v>
      </c>
      <c r="HWC47" s="2" t="s">
        <v>195</v>
      </c>
      <c r="HWD47" s="3" t="s">
        <v>196</v>
      </c>
      <c r="HWE47" s="3" t="s">
        <v>180</v>
      </c>
      <c r="HWF47" s="3" t="s">
        <v>26</v>
      </c>
      <c r="HWG47" s="3" t="s">
        <v>197</v>
      </c>
      <c r="HWJ47" s="3" t="s">
        <v>198</v>
      </c>
      <c r="HWK47" s="2" t="s">
        <v>195</v>
      </c>
      <c r="HWL47" s="3" t="s">
        <v>196</v>
      </c>
      <c r="HWM47" s="3" t="s">
        <v>180</v>
      </c>
      <c r="HWN47" s="3" t="s">
        <v>26</v>
      </c>
      <c r="HWO47" s="3" t="s">
        <v>197</v>
      </c>
      <c r="HWR47" s="3" t="s">
        <v>198</v>
      </c>
      <c r="HWS47" s="2" t="s">
        <v>195</v>
      </c>
      <c r="HWT47" s="3" t="s">
        <v>196</v>
      </c>
      <c r="HWU47" s="3" t="s">
        <v>180</v>
      </c>
      <c r="HWV47" s="3" t="s">
        <v>26</v>
      </c>
      <c r="HWW47" s="3" t="s">
        <v>197</v>
      </c>
      <c r="HWZ47" s="3" t="s">
        <v>198</v>
      </c>
      <c r="HXA47" s="2" t="s">
        <v>195</v>
      </c>
      <c r="HXB47" s="3" t="s">
        <v>196</v>
      </c>
      <c r="HXC47" s="3" t="s">
        <v>180</v>
      </c>
      <c r="HXD47" s="3" t="s">
        <v>26</v>
      </c>
      <c r="HXE47" s="3" t="s">
        <v>197</v>
      </c>
      <c r="HXH47" s="3" t="s">
        <v>198</v>
      </c>
      <c r="HXI47" s="2" t="s">
        <v>195</v>
      </c>
      <c r="HXJ47" s="3" t="s">
        <v>196</v>
      </c>
      <c r="HXK47" s="3" t="s">
        <v>180</v>
      </c>
      <c r="HXL47" s="3" t="s">
        <v>26</v>
      </c>
      <c r="HXM47" s="3" t="s">
        <v>197</v>
      </c>
      <c r="HXP47" s="3" t="s">
        <v>198</v>
      </c>
      <c r="HXQ47" s="2" t="s">
        <v>195</v>
      </c>
      <c r="HXR47" s="3" t="s">
        <v>196</v>
      </c>
      <c r="HXS47" s="3" t="s">
        <v>180</v>
      </c>
      <c r="HXT47" s="3" t="s">
        <v>26</v>
      </c>
      <c r="HXU47" s="3" t="s">
        <v>197</v>
      </c>
      <c r="HXX47" s="3" t="s">
        <v>198</v>
      </c>
      <c r="HXY47" s="2" t="s">
        <v>195</v>
      </c>
      <c r="HXZ47" s="3" t="s">
        <v>196</v>
      </c>
      <c r="HYA47" s="3" t="s">
        <v>180</v>
      </c>
      <c r="HYB47" s="3" t="s">
        <v>26</v>
      </c>
      <c r="HYC47" s="3" t="s">
        <v>197</v>
      </c>
      <c r="HYF47" s="3" t="s">
        <v>198</v>
      </c>
      <c r="HYG47" s="2" t="s">
        <v>195</v>
      </c>
      <c r="HYH47" s="3" t="s">
        <v>196</v>
      </c>
      <c r="HYI47" s="3" t="s">
        <v>180</v>
      </c>
      <c r="HYJ47" s="3" t="s">
        <v>26</v>
      </c>
      <c r="HYK47" s="3" t="s">
        <v>197</v>
      </c>
      <c r="HYN47" s="3" t="s">
        <v>198</v>
      </c>
      <c r="HYO47" s="2" t="s">
        <v>195</v>
      </c>
      <c r="HYP47" s="3" t="s">
        <v>196</v>
      </c>
      <c r="HYQ47" s="3" t="s">
        <v>180</v>
      </c>
      <c r="HYR47" s="3" t="s">
        <v>26</v>
      </c>
      <c r="HYS47" s="3" t="s">
        <v>197</v>
      </c>
      <c r="HYV47" s="3" t="s">
        <v>198</v>
      </c>
      <c r="HYW47" s="2" t="s">
        <v>195</v>
      </c>
      <c r="HYX47" s="3" t="s">
        <v>196</v>
      </c>
      <c r="HYY47" s="3" t="s">
        <v>180</v>
      </c>
      <c r="HYZ47" s="3" t="s">
        <v>26</v>
      </c>
      <c r="HZA47" s="3" t="s">
        <v>197</v>
      </c>
      <c r="HZD47" s="3" t="s">
        <v>198</v>
      </c>
      <c r="HZE47" s="2" t="s">
        <v>195</v>
      </c>
      <c r="HZF47" s="3" t="s">
        <v>196</v>
      </c>
      <c r="HZG47" s="3" t="s">
        <v>180</v>
      </c>
      <c r="HZH47" s="3" t="s">
        <v>26</v>
      </c>
      <c r="HZI47" s="3" t="s">
        <v>197</v>
      </c>
      <c r="HZL47" s="3" t="s">
        <v>198</v>
      </c>
      <c r="HZM47" s="2" t="s">
        <v>195</v>
      </c>
      <c r="HZN47" s="3" t="s">
        <v>196</v>
      </c>
      <c r="HZO47" s="3" t="s">
        <v>180</v>
      </c>
      <c r="HZP47" s="3" t="s">
        <v>26</v>
      </c>
      <c r="HZQ47" s="3" t="s">
        <v>197</v>
      </c>
      <c r="HZT47" s="3" t="s">
        <v>198</v>
      </c>
      <c r="HZU47" s="2" t="s">
        <v>195</v>
      </c>
      <c r="HZV47" s="3" t="s">
        <v>196</v>
      </c>
      <c r="HZW47" s="3" t="s">
        <v>180</v>
      </c>
      <c r="HZX47" s="3" t="s">
        <v>26</v>
      </c>
      <c r="HZY47" s="3" t="s">
        <v>197</v>
      </c>
      <c r="IAB47" s="3" t="s">
        <v>198</v>
      </c>
      <c r="IAC47" s="2" t="s">
        <v>195</v>
      </c>
      <c r="IAD47" s="3" t="s">
        <v>196</v>
      </c>
      <c r="IAE47" s="3" t="s">
        <v>180</v>
      </c>
      <c r="IAF47" s="3" t="s">
        <v>26</v>
      </c>
      <c r="IAG47" s="3" t="s">
        <v>197</v>
      </c>
      <c r="IAJ47" s="3" t="s">
        <v>198</v>
      </c>
      <c r="IAK47" s="2" t="s">
        <v>195</v>
      </c>
      <c r="IAL47" s="3" t="s">
        <v>196</v>
      </c>
      <c r="IAM47" s="3" t="s">
        <v>180</v>
      </c>
      <c r="IAN47" s="3" t="s">
        <v>26</v>
      </c>
      <c r="IAO47" s="3" t="s">
        <v>197</v>
      </c>
      <c r="IAR47" s="3" t="s">
        <v>198</v>
      </c>
      <c r="IAS47" s="2" t="s">
        <v>195</v>
      </c>
      <c r="IAT47" s="3" t="s">
        <v>196</v>
      </c>
      <c r="IAU47" s="3" t="s">
        <v>180</v>
      </c>
      <c r="IAV47" s="3" t="s">
        <v>26</v>
      </c>
      <c r="IAW47" s="3" t="s">
        <v>197</v>
      </c>
      <c r="IAZ47" s="3" t="s">
        <v>198</v>
      </c>
      <c r="IBA47" s="2" t="s">
        <v>195</v>
      </c>
      <c r="IBB47" s="3" t="s">
        <v>196</v>
      </c>
      <c r="IBC47" s="3" t="s">
        <v>180</v>
      </c>
      <c r="IBD47" s="3" t="s">
        <v>26</v>
      </c>
      <c r="IBE47" s="3" t="s">
        <v>197</v>
      </c>
      <c r="IBH47" s="3" t="s">
        <v>198</v>
      </c>
      <c r="IBI47" s="2" t="s">
        <v>195</v>
      </c>
      <c r="IBJ47" s="3" t="s">
        <v>196</v>
      </c>
      <c r="IBK47" s="3" t="s">
        <v>180</v>
      </c>
      <c r="IBL47" s="3" t="s">
        <v>26</v>
      </c>
      <c r="IBM47" s="3" t="s">
        <v>197</v>
      </c>
      <c r="IBP47" s="3" t="s">
        <v>198</v>
      </c>
      <c r="IBQ47" s="2" t="s">
        <v>195</v>
      </c>
      <c r="IBR47" s="3" t="s">
        <v>196</v>
      </c>
      <c r="IBS47" s="3" t="s">
        <v>180</v>
      </c>
      <c r="IBT47" s="3" t="s">
        <v>26</v>
      </c>
      <c r="IBU47" s="3" t="s">
        <v>197</v>
      </c>
      <c r="IBX47" s="3" t="s">
        <v>198</v>
      </c>
      <c r="IBY47" s="2" t="s">
        <v>195</v>
      </c>
      <c r="IBZ47" s="3" t="s">
        <v>196</v>
      </c>
      <c r="ICA47" s="3" t="s">
        <v>180</v>
      </c>
      <c r="ICB47" s="3" t="s">
        <v>26</v>
      </c>
      <c r="ICC47" s="3" t="s">
        <v>197</v>
      </c>
      <c r="ICF47" s="3" t="s">
        <v>198</v>
      </c>
      <c r="ICG47" s="2" t="s">
        <v>195</v>
      </c>
      <c r="ICH47" s="3" t="s">
        <v>196</v>
      </c>
      <c r="ICI47" s="3" t="s">
        <v>180</v>
      </c>
      <c r="ICJ47" s="3" t="s">
        <v>26</v>
      </c>
      <c r="ICK47" s="3" t="s">
        <v>197</v>
      </c>
      <c r="ICN47" s="3" t="s">
        <v>198</v>
      </c>
      <c r="ICO47" s="2" t="s">
        <v>195</v>
      </c>
      <c r="ICP47" s="3" t="s">
        <v>196</v>
      </c>
      <c r="ICQ47" s="3" t="s">
        <v>180</v>
      </c>
      <c r="ICR47" s="3" t="s">
        <v>26</v>
      </c>
      <c r="ICS47" s="3" t="s">
        <v>197</v>
      </c>
      <c r="ICV47" s="3" t="s">
        <v>198</v>
      </c>
      <c r="ICW47" s="2" t="s">
        <v>195</v>
      </c>
      <c r="ICX47" s="3" t="s">
        <v>196</v>
      </c>
      <c r="ICY47" s="3" t="s">
        <v>180</v>
      </c>
      <c r="ICZ47" s="3" t="s">
        <v>26</v>
      </c>
      <c r="IDA47" s="3" t="s">
        <v>197</v>
      </c>
      <c r="IDD47" s="3" t="s">
        <v>198</v>
      </c>
      <c r="IDE47" s="2" t="s">
        <v>195</v>
      </c>
      <c r="IDF47" s="3" t="s">
        <v>196</v>
      </c>
      <c r="IDG47" s="3" t="s">
        <v>180</v>
      </c>
      <c r="IDH47" s="3" t="s">
        <v>26</v>
      </c>
      <c r="IDI47" s="3" t="s">
        <v>197</v>
      </c>
      <c r="IDL47" s="3" t="s">
        <v>198</v>
      </c>
      <c r="IDM47" s="2" t="s">
        <v>195</v>
      </c>
      <c r="IDN47" s="3" t="s">
        <v>196</v>
      </c>
      <c r="IDO47" s="3" t="s">
        <v>180</v>
      </c>
      <c r="IDP47" s="3" t="s">
        <v>26</v>
      </c>
      <c r="IDQ47" s="3" t="s">
        <v>197</v>
      </c>
      <c r="IDT47" s="3" t="s">
        <v>198</v>
      </c>
      <c r="IDU47" s="2" t="s">
        <v>195</v>
      </c>
      <c r="IDV47" s="3" t="s">
        <v>196</v>
      </c>
      <c r="IDW47" s="3" t="s">
        <v>180</v>
      </c>
      <c r="IDX47" s="3" t="s">
        <v>26</v>
      </c>
      <c r="IDY47" s="3" t="s">
        <v>197</v>
      </c>
      <c r="IEB47" s="3" t="s">
        <v>198</v>
      </c>
      <c r="IEC47" s="2" t="s">
        <v>195</v>
      </c>
      <c r="IED47" s="3" t="s">
        <v>196</v>
      </c>
      <c r="IEE47" s="3" t="s">
        <v>180</v>
      </c>
      <c r="IEF47" s="3" t="s">
        <v>26</v>
      </c>
      <c r="IEG47" s="3" t="s">
        <v>197</v>
      </c>
      <c r="IEJ47" s="3" t="s">
        <v>198</v>
      </c>
      <c r="IEK47" s="2" t="s">
        <v>195</v>
      </c>
      <c r="IEL47" s="3" t="s">
        <v>196</v>
      </c>
      <c r="IEM47" s="3" t="s">
        <v>180</v>
      </c>
      <c r="IEN47" s="3" t="s">
        <v>26</v>
      </c>
      <c r="IEO47" s="3" t="s">
        <v>197</v>
      </c>
      <c r="IER47" s="3" t="s">
        <v>198</v>
      </c>
      <c r="IES47" s="2" t="s">
        <v>195</v>
      </c>
      <c r="IET47" s="3" t="s">
        <v>196</v>
      </c>
      <c r="IEU47" s="3" t="s">
        <v>180</v>
      </c>
      <c r="IEV47" s="3" t="s">
        <v>26</v>
      </c>
      <c r="IEW47" s="3" t="s">
        <v>197</v>
      </c>
      <c r="IEZ47" s="3" t="s">
        <v>198</v>
      </c>
      <c r="IFA47" s="2" t="s">
        <v>195</v>
      </c>
      <c r="IFB47" s="3" t="s">
        <v>196</v>
      </c>
      <c r="IFC47" s="3" t="s">
        <v>180</v>
      </c>
      <c r="IFD47" s="3" t="s">
        <v>26</v>
      </c>
      <c r="IFE47" s="3" t="s">
        <v>197</v>
      </c>
      <c r="IFH47" s="3" t="s">
        <v>198</v>
      </c>
      <c r="IFI47" s="2" t="s">
        <v>195</v>
      </c>
      <c r="IFJ47" s="3" t="s">
        <v>196</v>
      </c>
      <c r="IFK47" s="3" t="s">
        <v>180</v>
      </c>
      <c r="IFL47" s="3" t="s">
        <v>26</v>
      </c>
      <c r="IFM47" s="3" t="s">
        <v>197</v>
      </c>
      <c r="IFP47" s="3" t="s">
        <v>198</v>
      </c>
      <c r="IFQ47" s="2" t="s">
        <v>195</v>
      </c>
      <c r="IFR47" s="3" t="s">
        <v>196</v>
      </c>
      <c r="IFS47" s="3" t="s">
        <v>180</v>
      </c>
      <c r="IFT47" s="3" t="s">
        <v>26</v>
      </c>
      <c r="IFU47" s="3" t="s">
        <v>197</v>
      </c>
      <c r="IFX47" s="3" t="s">
        <v>198</v>
      </c>
      <c r="IFY47" s="2" t="s">
        <v>195</v>
      </c>
      <c r="IFZ47" s="3" t="s">
        <v>196</v>
      </c>
      <c r="IGA47" s="3" t="s">
        <v>180</v>
      </c>
      <c r="IGB47" s="3" t="s">
        <v>26</v>
      </c>
      <c r="IGC47" s="3" t="s">
        <v>197</v>
      </c>
      <c r="IGF47" s="3" t="s">
        <v>198</v>
      </c>
      <c r="IGG47" s="2" t="s">
        <v>195</v>
      </c>
      <c r="IGH47" s="3" t="s">
        <v>196</v>
      </c>
      <c r="IGI47" s="3" t="s">
        <v>180</v>
      </c>
      <c r="IGJ47" s="3" t="s">
        <v>26</v>
      </c>
      <c r="IGK47" s="3" t="s">
        <v>197</v>
      </c>
      <c r="IGN47" s="3" t="s">
        <v>198</v>
      </c>
      <c r="IGO47" s="2" t="s">
        <v>195</v>
      </c>
      <c r="IGP47" s="3" t="s">
        <v>196</v>
      </c>
      <c r="IGQ47" s="3" t="s">
        <v>180</v>
      </c>
      <c r="IGR47" s="3" t="s">
        <v>26</v>
      </c>
      <c r="IGS47" s="3" t="s">
        <v>197</v>
      </c>
      <c r="IGV47" s="3" t="s">
        <v>198</v>
      </c>
      <c r="IGW47" s="2" t="s">
        <v>195</v>
      </c>
      <c r="IGX47" s="3" t="s">
        <v>196</v>
      </c>
      <c r="IGY47" s="3" t="s">
        <v>180</v>
      </c>
      <c r="IGZ47" s="3" t="s">
        <v>26</v>
      </c>
      <c r="IHA47" s="3" t="s">
        <v>197</v>
      </c>
      <c r="IHD47" s="3" t="s">
        <v>198</v>
      </c>
      <c r="IHE47" s="2" t="s">
        <v>195</v>
      </c>
      <c r="IHF47" s="3" t="s">
        <v>196</v>
      </c>
      <c r="IHG47" s="3" t="s">
        <v>180</v>
      </c>
      <c r="IHH47" s="3" t="s">
        <v>26</v>
      </c>
      <c r="IHI47" s="3" t="s">
        <v>197</v>
      </c>
      <c r="IHL47" s="3" t="s">
        <v>198</v>
      </c>
      <c r="IHM47" s="2" t="s">
        <v>195</v>
      </c>
      <c r="IHN47" s="3" t="s">
        <v>196</v>
      </c>
      <c r="IHO47" s="3" t="s">
        <v>180</v>
      </c>
      <c r="IHP47" s="3" t="s">
        <v>26</v>
      </c>
      <c r="IHQ47" s="3" t="s">
        <v>197</v>
      </c>
      <c r="IHT47" s="3" t="s">
        <v>198</v>
      </c>
      <c r="IHU47" s="2" t="s">
        <v>195</v>
      </c>
      <c r="IHV47" s="3" t="s">
        <v>196</v>
      </c>
      <c r="IHW47" s="3" t="s">
        <v>180</v>
      </c>
      <c r="IHX47" s="3" t="s">
        <v>26</v>
      </c>
      <c r="IHY47" s="3" t="s">
        <v>197</v>
      </c>
      <c r="IIB47" s="3" t="s">
        <v>198</v>
      </c>
      <c r="IIC47" s="2" t="s">
        <v>195</v>
      </c>
      <c r="IID47" s="3" t="s">
        <v>196</v>
      </c>
      <c r="IIE47" s="3" t="s">
        <v>180</v>
      </c>
      <c r="IIF47" s="3" t="s">
        <v>26</v>
      </c>
      <c r="IIG47" s="3" t="s">
        <v>197</v>
      </c>
      <c r="IIJ47" s="3" t="s">
        <v>198</v>
      </c>
      <c r="IIK47" s="2" t="s">
        <v>195</v>
      </c>
      <c r="IIL47" s="3" t="s">
        <v>196</v>
      </c>
      <c r="IIM47" s="3" t="s">
        <v>180</v>
      </c>
      <c r="IIN47" s="3" t="s">
        <v>26</v>
      </c>
      <c r="IIO47" s="3" t="s">
        <v>197</v>
      </c>
      <c r="IIR47" s="3" t="s">
        <v>198</v>
      </c>
      <c r="IIS47" s="2" t="s">
        <v>195</v>
      </c>
      <c r="IIT47" s="3" t="s">
        <v>196</v>
      </c>
      <c r="IIU47" s="3" t="s">
        <v>180</v>
      </c>
      <c r="IIV47" s="3" t="s">
        <v>26</v>
      </c>
      <c r="IIW47" s="3" t="s">
        <v>197</v>
      </c>
      <c r="IIZ47" s="3" t="s">
        <v>198</v>
      </c>
      <c r="IJA47" s="2" t="s">
        <v>195</v>
      </c>
      <c r="IJB47" s="3" t="s">
        <v>196</v>
      </c>
      <c r="IJC47" s="3" t="s">
        <v>180</v>
      </c>
      <c r="IJD47" s="3" t="s">
        <v>26</v>
      </c>
      <c r="IJE47" s="3" t="s">
        <v>197</v>
      </c>
      <c r="IJH47" s="3" t="s">
        <v>198</v>
      </c>
      <c r="IJI47" s="2" t="s">
        <v>195</v>
      </c>
      <c r="IJJ47" s="3" t="s">
        <v>196</v>
      </c>
      <c r="IJK47" s="3" t="s">
        <v>180</v>
      </c>
      <c r="IJL47" s="3" t="s">
        <v>26</v>
      </c>
      <c r="IJM47" s="3" t="s">
        <v>197</v>
      </c>
      <c r="IJP47" s="3" t="s">
        <v>198</v>
      </c>
      <c r="IJQ47" s="2" t="s">
        <v>195</v>
      </c>
      <c r="IJR47" s="3" t="s">
        <v>196</v>
      </c>
      <c r="IJS47" s="3" t="s">
        <v>180</v>
      </c>
      <c r="IJT47" s="3" t="s">
        <v>26</v>
      </c>
      <c r="IJU47" s="3" t="s">
        <v>197</v>
      </c>
      <c r="IJX47" s="3" t="s">
        <v>198</v>
      </c>
      <c r="IJY47" s="2" t="s">
        <v>195</v>
      </c>
      <c r="IJZ47" s="3" t="s">
        <v>196</v>
      </c>
      <c r="IKA47" s="3" t="s">
        <v>180</v>
      </c>
      <c r="IKB47" s="3" t="s">
        <v>26</v>
      </c>
      <c r="IKC47" s="3" t="s">
        <v>197</v>
      </c>
      <c r="IKF47" s="3" t="s">
        <v>198</v>
      </c>
      <c r="IKG47" s="2" t="s">
        <v>195</v>
      </c>
      <c r="IKH47" s="3" t="s">
        <v>196</v>
      </c>
      <c r="IKI47" s="3" t="s">
        <v>180</v>
      </c>
      <c r="IKJ47" s="3" t="s">
        <v>26</v>
      </c>
      <c r="IKK47" s="3" t="s">
        <v>197</v>
      </c>
      <c r="IKN47" s="3" t="s">
        <v>198</v>
      </c>
      <c r="IKO47" s="2" t="s">
        <v>195</v>
      </c>
      <c r="IKP47" s="3" t="s">
        <v>196</v>
      </c>
      <c r="IKQ47" s="3" t="s">
        <v>180</v>
      </c>
      <c r="IKR47" s="3" t="s">
        <v>26</v>
      </c>
      <c r="IKS47" s="3" t="s">
        <v>197</v>
      </c>
      <c r="IKV47" s="3" t="s">
        <v>198</v>
      </c>
      <c r="IKW47" s="2" t="s">
        <v>195</v>
      </c>
      <c r="IKX47" s="3" t="s">
        <v>196</v>
      </c>
      <c r="IKY47" s="3" t="s">
        <v>180</v>
      </c>
      <c r="IKZ47" s="3" t="s">
        <v>26</v>
      </c>
      <c r="ILA47" s="3" t="s">
        <v>197</v>
      </c>
      <c r="ILD47" s="3" t="s">
        <v>198</v>
      </c>
      <c r="ILE47" s="2" t="s">
        <v>195</v>
      </c>
      <c r="ILF47" s="3" t="s">
        <v>196</v>
      </c>
      <c r="ILG47" s="3" t="s">
        <v>180</v>
      </c>
      <c r="ILH47" s="3" t="s">
        <v>26</v>
      </c>
      <c r="ILI47" s="3" t="s">
        <v>197</v>
      </c>
      <c r="ILL47" s="3" t="s">
        <v>198</v>
      </c>
      <c r="ILM47" s="2" t="s">
        <v>195</v>
      </c>
      <c r="ILN47" s="3" t="s">
        <v>196</v>
      </c>
      <c r="ILO47" s="3" t="s">
        <v>180</v>
      </c>
      <c r="ILP47" s="3" t="s">
        <v>26</v>
      </c>
      <c r="ILQ47" s="3" t="s">
        <v>197</v>
      </c>
      <c r="ILT47" s="3" t="s">
        <v>198</v>
      </c>
      <c r="ILU47" s="2" t="s">
        <v>195</v>
      </c>
      <c r="ILV47" s="3" t="s">
        <v>196</v>
      </c>
      <c r="ILW47" s="3" t="s">
        <v>180</v>
      </c>
      <c r="ILX47" s="3" t="s">
        <v>26</v>
      </c>
      <c r="ILY47" s="3" t="s">
        <v>197</v>
      </c>
      <c r="IMB47" s="3" t="s">
        <v>198</v>
      </c>
      <c r="IMC47" s="2" t="s">
        <v>195</v>
      </c>
      <c r="IMD47" s="3" t="s">
        <v>196</v>
      </c>
      <c r="IME47" s="3" t="s">
        <v>180</v>
      </c>
      <c r="IMF47" s="3" t="s">
        <v>26</v>
      </c>
      <c r="IMG47" s="3" t="s">
        <v>197</v>
      </c>
      <c r="IMJ47" s="3" t="s">
        <v>198</v>
      </c>
      <c r="IMK47" s="2" t="s">
        <v>195</v>
      </c>
      <c r="IML47" s="3" t="s">
        <v>196</v>
      </c>
      <c r="IMM47" s="3" t="s">
        <v>180</v>
      </c>
      <c r="IMN47" s="3" t="s">
        <v>26</v>
      </c>
      <c r="IMO47" s="3" t="s">
        <v>197</v>
      </c>
      <c r="IMR47" s="3" t="s">
        <v>198</v>
      </c>
      <c r="IMS47" s="2" t="s">
        <v>195</v>
      </c>
      <c r="IMT47" s="3" t="s">
        <v>196</v>
      </c>
      <c r="IMU47" s="3" t="s">
        <v>180</v>
      </c>
      <c r="IMV47" s="3" t="s">
        <v>26</v>
      </c>
      <c r="IMW47" s="3" t="s">
        <v>197</v>
      </c>
      <c r="IMZ47" s="3" t="s">
        <v>198</v>
      </c>
      <c r="INA47" s="2" t="s">
        <v>195</v>
      </c>
      <c r="INB47" s="3" t="s">
        <v>196</v>
      </c>
      <c r="INC47" s="3" t="s">
        <v>180</v>
      </c>
      <c r="IND47" s="3" t="s">
        <v>26</v>
      </c>
      <c r="INE47" s="3" t="s">
        <v>197</v>
      </c>
      <c r="INH47" s="3" t="s">
        <v>198</v>
      </c>
      <c r="INI47" s="2" t="s">
        <v>195</v>
      </c>
      <c r="INJ47" s="3" t="s">
        <v>196</v>
      </c>
      <c r="INK47" s="3" t="s">
        <v>180</v>
      </c>
      <c r="INL47" s="3" t="s">
        <v>26</v>
      </c>
      <c r="INM47" s="3" t="s">
        <v>197</v>
      </c>
      <c r="INP47" s="3" t="s">
        <v>198</v>
      </c>
      <c r="INQ47" s="2" t="s">
        <v>195</v>
      </c>
      <c r="INR47" s="3" t="s">
        <v>196</v>
      </c>
      <c r="INS47" s="3" t="s">
        <v>180</v>
      </c>
      <c r="INT47" s="3" t="s">
        <v>26</v>
      </c>
      <c r="INU47" s="3" t="s">
        <v>197</v>
      </c>
      <c r="INX47" s="3" t="s">
        <v>198</v>
      </c>
      <c r="INY47" s="2" t="s">
        <v>195</v>
      </c>
      <c r="INZ47" s="3" t="s">
        <v>196</v>
      </c>
      <c r="IOA47" s="3" t="s">
        <v>180</v>
      </c>
      <c r="IOB47" s="3" t="s">
        <v>26</v>
      </c>
      <c r="IOC47" s="3" t="s">
        <v>197</v>
      </c>
      <c r="IOF47" s="3" t="s">
        <v>198</v>
      </c>
      <c r="IOG47" s="2" t="s">
        <v>195</v>
      </c>
      <c r="IOH47" s="3" t="s">
        <v>196</v>
      </c>
      <c r="IOI47" s="3" t="s">
        <v>180</v>
      </c>
      <c r="IOJ47" s="3" t="s">
        <v>26</v>
      </c>
      <c r="IOK47" s="3" t="s">
        <v>197</v>
      </c>
      <c r="ION47" s="3" t="s">
        <v>198</v>
      </c>
      <c r="IOO47" s="2" t="s">
        <v>195</v>
      </c>
      <c r="IOP47" s="3" t="s">
        <v>196</v>
      </c>
      <c r="IOQ47" s="3" t="s">
        <v>180</v>
      </c>
      <c r="IOR47" s="3" t="s">
        <v>26</v>
      </c>
      <c r="IOS47" s="3" t="s">
        <v>197</v>
      </c>
      <c r="IOV47" s="3" t="s">
        <v>198</v>
      </c>
      <c r="IOW47" s="2" t="s">
        <v>195</v>
      </c>
      <c r="IOX47" s="3" t="s">
        <v>196</v>
      </c>
      <c r="IOY47" s="3" t="s">
        <v>180</v>
      </c>
      <c r="IOZ47" s="3" t="s">
        <v>26</v>
      </c>
      <c r="IPA47" s="3" t="s">
        <v>197</v>
      </c>
      <c r="IPD47" s="3" t="s">
        <v>198</v>
      </c>
      <c r="IPE47" s="2" t="s">
        <v>195</v>
      </c>
      <c r="IPF47" s="3" t="s">
        <v>196</v>
      </c>
      <c r="IPG47" s="3" t="s">
        <v>180</v>
      </c>
      <c r="IPH47" s="3" t="s">
        <v>26</v>
      </c>
      <c r="IPI47" s="3" t="s">
        <v>197</v>
      </c>
      <c r="IPL47" s="3" t="s">
        <v>198</v>
      </c>
      <c r="IPM47" s="2" t="s">
        <v>195</v>
      </c>
      <c r="IPN47" s="3" t="s">
        <v>196</v>
      </c>
      <c r="IPO47" s="3" t="s">
        <v>180</v>
      </c>
      <c r="IPP47" s="3" t="s">
        <v>26</v>
      </c>
      <c r="IPQ47" s="3" t="s">
        <v>197</v>
      </c>
      <c r="IPT47" s="3" t="s">
        <v>198</v>
      </c>
      <c r="IPU47" s="2" t="s">
        <v>195</v>
      </c>
      <c r="IPV47" s="3" t="s">
        <v>196</v>
      </c>
      <c r="IPW47" s="3" t="s">
        <v>180</v>
      </c>
      <c r="IPX47" s="3" t="s">
        <v>26</v>
      </c>
      <c r="IPY47" s="3" t="s">
        <v>197</v>
      </c>
      <c r="IQB47" s="3" t="s">
        <v>198</v>
      </c>
      <c r="IQC47" s="2" t="s">
        <v>195</v>
      </c>
      <c r="IQD47" s="3" t="s">
        <v>196</v>
      </c>
      <c r="IQE47" s="3" t="s">
        <v>180</v>
      </c>
      <c r="IQF47" s="3" t="s">
        <v>26</v>
      </c>
      <c r="IQG47" s="3" t="s">
        <v>197</v>
      </c>
      <c r="IQJ47" s="3" t="s">
        <v>198</v>
      </c>
      <c r="IQK47" s="2" t="s">
        <v>195</v>
      </c>
      <c r="IQL47" s="3" t="s">
        <v>196</v>
      </c>
      <c r="IQM47" s="3" t="s">
        <v>180</v>
      </c>
      <c r="IQN47" s="3" t="s">
        <v>26</v>
      </c>
      <c r="IQO47" s="3" t="s">
        <v>197</v>
      </c>
      <c r="IQR47" s="3" t="s">
        <v>198</v>
      </c>
      <c r="IQS47" s="2" t="s">
        <v>195</v>
      </c>
      <c r="IQT47" s="3" t="s">
        <v>196</v>
      </c>
      <c r="IQU47" s="3" t="s">
        <v>180</v>
      </c>
      <c r="IQV47" s="3" t="s">
        <v>26</v>
      </c>
      <c r="IQW47" s="3" t="s">
        <v>197</v>
      </c>
      <c r="IQZ47" s="3" t="s">
        <v>198</v>
      </c>
      <c r="IRA47" s="2" t="s">
        <v>195</v>
      </c>
      <c r="IRB47" s="3" t="s">
        <v>196</v>
      </c>
      <c r="IRC47" s="3" t="s">
        <v>180</v>
      </c>
      <c r="IRD47" s="3" t="s">
        <v>26</v>
      </c>
      <c r="IRE47" s="3" t="s">
        <v>197</v>
      </c>
      <c r="IRH47" s="3" t="s">
        <v>198</v>
      </c>
      <c r="IRI47" s="2" t="s">
        <v>195</v>
      </c>
      <c r="IRJ47" s="3" t="s">
        <v>196</v>
      </c>
      <c r="IRK47" s="3" t="s">
        <v>180</v>
      </c>
      <c r="IRL47" s="3" t="s">
        <v>26</v>
      </c>
      <c r="IRM47" s="3" t="s">
        <v>197</v>
      </c>
      <c r="IRP47" s="3" t="s">
        <v>198</v>
      </c>
      <c r="IRQ47" s="2" t="s">
        <v>195</v>
      </c>
      <c r="IRR47" s="3" t="s">
        <v>196</v>
      </c>
      <c r="IRS47" s="3" t="s">
        <v>180</v>
      </c>
      <c r="IRT47" s="3" t="s">
        <v>26</v>
      </c>
      <c r="IRU47" s="3" t="s">
        <v>197</v>
      </c>
      <c r="IRX47" s="3" t="s">
        <v>198</v>
      </c>
      <c r="IRY47" s="2" t="s">
        <v>195</v>
      </c>
      <c r="IRZ47" s="3" t="s">
        <v>196</v>
      </c>
      <c r="ISA47" s="3" t="s">
        <v>180</v>
      </c>
      <c r="ISB47" s="3" t="s">
        <v>26</v>
      </c>
      <c r="ISC47" s="3" t="s">
        <v>197</v>
      </c>
      <c r="ISF47" s="3" t="s">
        <v>198</v>
      </c>
      <c r="ISG47" s="2" t="s">
        <v>195</v>
      </c>
      <c r="ISH47" s="3" t="s">
        <v>196</v>
      </c>
      <c r="ISI47" s="3" t="s">
        <v>180</v>
      </c>
      <c r="ISJ47" s="3" t="s">
        <v>26</v>
      </c>
      <c r="ISK47" s="3" t="s">
        <v>197</v>
      </c>
      <c r="ISN47" s="3" t="s">
        <v>198</v>
      </c>
      <c r="ISO47" s="2" t="s">
        <v>195</v>
      </c>
      <c r="ISP47" s="3" t="s">
        <v>196</v>
      </c>
      <c r="ISQ47" s="3" t="s">
        <v>180</v>
      </c>
      <c r="ISR47" s="3" t="s">
        <v>26</v>
      </c>
      <c r="ISS47" s="3" t="s">
        <v>197</v>
      </c>
      <c r="ISV47" s="3" t="s">
        <v>198</v>
      </c>
      <c r="ISW47" s="2" t="s">
        <v>195</v>
      </c>
      <c r="ISX47" s="3" t="s">
        <v>196</v>
      </c>
      <c r="ISY47" s="3" t="s">
        <v>180</v>
      </c>
      <c r="ISZ47" s="3" t="s">
        <v>26</v>
      </c>
      <c r="ITA47" s="3" t="s">
        <v>197</v>
      </c>
      <c r="ITD47" s="3" t="s">
        <v>198</v>
      </c>
      <c r="ITE47" s="2" t="s">
        <v>195</v>
      </c>
      <c r="ITF47" s="3" t="s">
        <v>196</v>
      </c>
      <c r="ITG47" s="3" t="s">
        <v>180</v>
      </c>
      <c r="ITH47" s="3" t="s">
        <v>26</v>
      </c>
      <c r="ITI47" s="3" t="s">
        <v>197</v>
      </c>
      <c r="ITL47" s="3" t="s">
        <v>198</v>
      </c>
      <c r="ITM47" s="2" t="s">
        <v>195</v>
      </c>
      <c r="ITN47" s="3" t="s">
        <v>196</v>
      </c>
      <c r="ITO47" s="3" t="s">
        <v>180</v>
      </c>
      <c r="ITP47" s="3" t="s">
        <v>26</v>
      </c>
      <c r="ITQ47" s="3" t="s">
        <v>197</v>
      </c>
      <c r="ITT47" s="3" t="s">
        <v>198</v>
      </c>
      <c r="ITU47" s="2" t="s">
        <v>195</v>
      </c>
      <c r="ITV47" s="3" t="s">
        <v>196</v>
      </c>
      <c r="ITW47" s="3" t="s">
        <v>180</v>
      </c>
      <c r="ITX47" s="3" t="s">
        <v>26</v>
      </c>
      <c r="ITY47" s="3" t="s">
        <v>197</v>
      </c>
      <c r="IUB47" s="3" t="s">
        <v>198</v>
      </c>
      <c r="IUC47" s="2" t="s">
        <v>195</v>
      </c>
      <c r="IUD47" s="3" t="s">
        <v>196</v>
      </c>
      <c r="IUE47" s="3" t="s">
        <v>180</v>
      </c>
      <c r="IUF47" s="3" t="s">
        <v>26</v>
      </c>
      <c r="IUG47" s="3" t="s">
        <v>197</v>
      </c>
      <c r="IUJ47" s="3" t="s">
        <v>198</v>
      </c>
      <c r="IUK47" s="2" t="s">
        <v>195</v>
      </c>
      <c r="IUL47" s="3" t="s">
        <v>196</v>
      </c>
      <c r="IUM47" s="3" t="s">
        <v>180</v>
      </c>
      <c r="IUN47" s="3" t="s">
        <v>26</v>
      </c>
      <c r="IUO47" s="3" t="s">
        <v>197</v>
      </c>
      <c r="IUR47" s="3" t="s">
        <v>198</v>
      </c>
      <c r="IUS47" s="2" t="s">
        <v>195</v>
      </c>
      <c r="IUT47" s="3" t="s">
        <v>196</v>
      </c>
      <c r="IUU47" s="3" t="s">
        <v>180</v>
      </c>
      <c r="IUV47" s="3" t="s">
        <v>26</v>
      </c>
      <c r="IUW47" s="3" t="s">
        <v>197</v>
      </c>
      <c r="IUZ47" s="3" t="s">
        <v>198</v>
      </c>
      <c r="IVA47" s="2" t="s">
        <v>195</v>
      </c>
      <c r="IVB47" s="3" t="s">
        <v>196</v>
      </c>
      <c r="IVC47" s="3" t="s">
        <v>180</v>
      </c>
      <c r="IVD47" s="3" t="s">
        <v>26</v>
      </c>
      <c r="IVE47" s="3" t="s">
        <v>197</v>
      </c>
      <c r="IVH47" s="3" t="s">
        <v>198</v>
      </c>
      <c r="IVI47" s="2" t="s">
        <v>195</v>
      </c>
      <c r="IVJ47" s="3" t="s">
        <v>196</v>
      </c>
      <c r="IVK47" s="3" t="s">
        <v>180</v>
      </c>
      <c r="IVL47" s="3" t="s">
        <v>26</v>
      </c>
      <c r="IVM47" s="3" t="s">
        <v>197</v>
      </c>
      <c r="IVP47" s="3" t="s">
        <v>198</v>
      </c>
      <c r="IVQ47" s="2" t="s">
        <v>195</v>
      </c>
      <c r="IVR47" s="3" t="s">
        <v>196</v>
      </c>
      <c r="IVS47" s="3" t="s">
        <v>180</v>
      </c>
      <c r="IVT47" s="3" t="s">
        <v>26</v>
      </c>
      <c r="IVU47" s="3" t="s">
        <v>197</v>
      </c>
      <c r="IVX47" s="3" t="s">
        <v>198</v>
      </c>
      <c r="IVY47" s="2" t="s">
        <v>195</v>
      </c>
      <c r="IVZ47" s="3" t="s">
        <v>196</v>
      </c>
      <c r="IWA47" s="3" t="s">
        <v>180</v>
      </c>
      <c r="IWB47" s="3" t="s">
        <v>26</v>
      </c>
      <c r="IWC47" s="3" t="s">
        <v>197</v>
      </c>
      <c r="IWF47" s="3" t="s">
        <v>198</v>
      </c>
      <c r="IWG47" s="2" t="s">
        <v>195</v>
      </c>
      <c r="IWH47" s="3" t="s">
        <v>196</v>
      </c>
      <c r="IWI47" s="3" t="s">
        <v>180</v>
      </c>
      <c r="IWJ47" s="3" t="s">
        <v>26</v>
      </c>
      <c r="IWK47" s="3" t="s">
        <v>197</v>
      </c>
      <c r="IWN47" s="3" t="s">
        <v>198</v>
      </c>
      <c r="IWO47" s="2" t="s">
        <v>195</v>
      </c>
      <c r="IWP47" s="3" t="s">
        <v>196</v>
      </c>
      <c r="IWQ47" s="3" t="s">
        <v>180</v>
      </c>
      <c r="IWR47" s="3" t="s">
        <v>26</v>
      </c>
      <c r="IWS47" s="3" t="s">
        <v>197</v>
      </c>
      <c r="IWV47" s="3" t="s">
        <v>198</v>
      </c>
      <c r="IWW47" s="2" t="s">
        <v>195</v>
      </c>
      <c r="IWX47" s="3" t="s">
        <v>196</v>
      </c>
      <c r="IWY47" s="3" t="s">
        <v>180</v>
      </c>
      <c r="IWZ47" s="3" t="s">
        <v>26</v>
      </c>
      <c r="IXA47" s="3" t="s">
        <v>197</v>
      </c>
      <c r="IXD47" s="3" t="s">
        <v>198</v>
      </c>
      <c r="IXE47" s="2" t="s">
        <v>195</v>
      </c>
      <c r="IXF47" s="3" t="s">
        <v>196</v>
      </c>
      <c r="IXG47" s="3" t="s">
        <v>180</v>
      </c>
      <c r="IXH47" s="3" t="s">
        <v>26</v>
      </c>
      <c r="IXI47" s="3" t="s">
        <v>197</v>
      </c>
      <c r="IXL47" s="3" t="s">
        <v>198</v>
      </c>
      <c r="IXM47" s="2" t="s">
        <v>195</v>
      </c>
      <c r="IXN47" s="3" t="s">
        <v>196</v>
      </c>
      <c r="IXO47" s="3" t="s">
        <v>180</v>
      </c>
      <c r="IXP47" s="3" t="s">
        <v>26</v>
      </c>
      <c r="IXQ47" s="3" t="s">
        <v>197</v>
      </c>
      <c r="IXT47" s="3" t="s">
        <v>198</v>
      </c>
      <c r="IXU47" s="2" t="s">
        <v>195</v>
      </c>
      <c r="IXV47" s="3" t="s">
        <v>196</v>
      </c>
      <c r="IXW47" s="3" t="s">
        <v>180</v>
      </c>
      <c r="IXX47" s="3" t="s">
        <v>26</v>
      </c>
      <c r="IXY47" s="3" t="s">
        <v>197</v>
      </c>
      <c r="IYB47" s="3" t="s">
        <v>198</v>
      </c>
      <c r="IYC47" s="2" t="s">
        <v>195</v>
      </c>
      <c r="IYD47" s="3" t="s">
        <v>196</v>
      </c>
      <c r="IYE47" s="3" t="s">
        <v>180</v>
      </c>
      <c r="IYF47" s="3" t="s">
        <v>26</v>
      </c>
      <c r="IYG47" s="3" t="s">
        <v>197</v>
      </c>
      <c r="IYJ47" s="3" t="s">
        <v>198</v>
      </c>
      <c r="IYK47" s="2" t="s">
        <v>195</v>
      </c>
      <c r="IYL47" s="3" t="s">
        <v>196</v>
      </c>
      <c r="IYM47" s="3" t="s">
        <v>180</v>
      </c>
      <c r="IYN47" s="3" t="s">
        <v>26</v>
      </c>
      <c r="IYO47" s="3" t="s">
        <v>197</v>
      </c>
      <c r="IYR47" s="3" t="s">
        <v>198</v>
      </c>
      <c r="IYS47" s="2" t="s">
        <v>195</v>
      </c>
      <c r="IYT47" s="3" t="s">
        <v>196</v>
      </c>
      <c r="IYU47" s="3" t="s">
        <v>180</v>
      </c>
      <c r="IYV47" s="3" t="s">
        <v>26</v>
      </c>
      <c r="IYW47" s="3" t="s">
        <v>197</v>
      </c>
      <c r="IYZ47" s="3" t="s">
        <v>198</v>
      </c>
      <c r="IZA47" s="2" t="s">
        <v>195</v>
      </c>
      <c r="IZB47" s="3" t="s">
        <v>196</v>
      </c>
      <c r="IZC47" s="3" t="s">
        <v>180</v>
      </c>
      <c r="IZD47" s="3" t="s">
        <v>26</v>
      </c>
      <c r="IZE47" s="3" t="s">
        <v>197</v>
      </c>
      <c r="IZH47" s="3" t="s">
        <v>198</v>
      </c>
      <c r="IZI47" s="2" t="s">
        <v>195</v>
      </c>
      <c r="IZJ47" s="3" t="s">
        <v>196</v>
      </c>
      <c r="IZK47" s="3" t="s">
        <v>180</v>
      </c>
      <c r="IZL47" s="3" t="s">
        <v>26</v>
      </c>
      <c r="IZM47" s="3" t="s">
        <v>197</v>
      </c>
      <c r="IZP47" s="3" t="s">
        <v>198</v>
      </c>
      <c r="IZQ47" s="2" t="s">
        <v>195</v>
      </c>
      <c r="IZR47" s="3" t="s">
        <v>196</v>
      </c>
      <c r="IZS47" s="3" t="s">
        <v>180</v>
      </c>
      <c r="IZT47" s="3" t="s">
        <v>26</v>
      </c>
      <c r="IZU47" s="3" t="s">
        <v>197</v>
      </c>
      <c r="IZX47" s="3" t="s">
        <v>198</v>
      </c>
      <c r="IZY47" s="2" t="s">
        <v>195</v>
      </c>
      <c r="IZZ47" s="3" t="s">
        <v>196</v>
      </c>
      <c r="JAA47" s="3" t="s">
        <v>180</v>
      </c>
      <c r="JAB47" s="3" t="s">
        <v>26</v>
      </c>
      <c r="JAC47" s="3" t="s">
        <v>197</v>
      </c>
      <c r="JAF47" s="3" t="s">
        <v>198</v>
      </c>
      <c r="JAG47" s="2" t="s">
        <v>195</v>
      </c>
      <c r="JAH47" s="3" t="s">
        <v>196</v>
      </c>
      <c r="JAI47" s="3" t="s">
        <v>180</v>
      </c>
      <c r="JAJ47" s="3" t="s">
        <v>26</v>
      </c>
      <c r="JAK47" s="3" t="s">
        <v>197</v>
      </c>
      <c r="JAN47" s="3" t="s">
        <v>198</v>
      </c>
      <c r="JAO47" s="2" t="s">
        <v>195</v>
      </c>
      <c r="JAP47" s="3" t="s">
        <v>196</v>
      </c>
      <c r="JAQ47" s="3" t="s">
        <v>180</v>
      </c>
      <c r="JAR47" s="3" t="s">
        <v>26</v>
      </c>
      <c r="JAS47" s="3" t="s">
        <v>197</v>
      </c>
      <c r="JAV47" s="3" t="s">
        <v>198</v>
      </c>
      <c r="JAW47" s="2" t="s">
        <v>195</v>
      </c>
      <c r="JAX47" s="3" t="s">
        <v>196</v>
      </c>
      <c r="JAY47" s="3" t="s">
        <v>180</v>
      </c>
      <c r="JAZ47" s="3" t="s">
        <v>26</v>
      </c>
      <c r="JBA47" s="3" t="s">
        <v>197</v>
      </c>
      <c r="JBD47" s="3" t="s">
        <v>198</v>
      </c>
      <c r="JBE47" s="2" t="s">
        <v>195</v>
      </c>
      <c r="JBF47" s="3" t="s">
        <v>196</v>
      </c>
      <c r="JBG47" s="3" t="s">
        <v>180</v>
      </c>
      <c r="JBH47" s="3" t="s">
        <v>26</v>
      </c>
      <c r="JBI47" s="3" t="s">
        <v>197</v>
      </c>
      <c r="JBL47" s="3" t="s">
        <v>198</v>
      </c>
      <c r="JBM47" s="2" t="s">
        <v>195</v>
      </c>
      <c r="JBN47" s="3" t="s">
        <v>196</v>
      </c>
      <c r="JBO47" s="3" t="s">
        <v>180</v>
      </c>
      <c r="JBP47" s="3" t="s">
        <v>26</v>
      </c>
      <c r="JBQ47" s="3" t="s">
        <v>197</v>
      </c>
      <c r="JBT47" s="3" t="s">
        <v>198</v>
      </c>
      <c r="JBU47" s="2" t="s">
        <v>195</v>
      </c>
      <c r="JBV47" s="3" t="s">
        <v>196</v>
      </c>
      <c r="JBW47" s="3" t="s">
        <v>180</v>
      </c>
      <c r="JBX47" s="3" t="s">
        <v>26</v>
      </c>
      <c r="JBY47" s="3" t="s">
        <v>197</v>
      </c>
      <c r="JCB47" s="3" t="s">
        <v>198</v>
      </c>
      <c r="JCC47" s="2" t="s">
        <v>195</v>
      </c>
      <c r="JCD47" s="3" t="s">
        <v>196</v>
      </c>
      <c r="JCE47" s="3" t="s">
        <v>180</v>
      </c>
      <c r="JCF47" s="3" t="s">
        <v>26</v>
      </c>
      <c r="JCG47" s="3" t="s">
        <v>197</v>
      </c>
      <c r="JCJ47" s="3" t="s">
        <v>198</v>
      </c>
      <c r="JCK47" s="2" t="s">
        <v>195</v>
      </c>
      <c r="JCL47" s="3" t="s">
        <v>196</v>
      </c>
      <c r="JCM47" s="3" t="s">
        <v>180</v>
      </c>
      <c r="JCN47" s="3" t="s">
        <v>26</v>
      </c>
      <c r="JCO47" s="3" t="s">
        <v>197</v>
      </c>
      <c r="JCR47" s="3" t="s">
        <v>198</v>
      </c>
      <c r="JCS47" s="2" t="s">
        <v>195</v>
      </c>
      <c r="JCT47" s="3" t="s">
        <v>196</v>
      </c>
      <c r="JCU47" s="3" t="s">
        <v>180</v>
      </c>
      <c r="JCV47" s="3" t="s">
        <v>26</v>
      </c>
      <c r="JCW47" s="3" t="s">
        <v>197</v>
      </c>
      <c r="JCZ47" s="3" t="s">
        <v>198</v>
      </c>
      <c r="JDA47" s="2" t="s">
        <v>195</v>
      </c>
      <c r="JDB47" s="3" t="s">
        <v>196</v>
      </c>
      <c r="JDC47" s="3" t="s">
        <v>180</v>
      </c>
      <c r="JDD47" s="3" t="s">
        <v>26</v>
      </c>
      <c r="JDE47" s="3" t="s">
        <v>197</v>
      </c>
      <c r="JDH47" s="3" t="s">
        <v>198</v>
      </c>
      <c r="JDI47" s="2" t="s">
        <v>195</v>
      </c>
      <c r="JDJ47" s="3" t="s">
        <v>196</v>
      </c>
      <c r="JDK47" s="3" t="s">
        <v>180</v>
      </c>
      <c r="JDL47" s="3" t="s">
        <v>26</v>
      </c>
      <c r="JDM47" s="3" t="s">
        <v>197</v>
      </c>
      <c r="JDP47" s="3" t="s">
        <v>198</v>
      </c>
      <c r="JDQ47" s="2" t="s">
        <v>195</v>
      </c>
      <c r="JDR47" s="3" t="s">
        <v>196</v>
      </c>
      <c r="JDS47" s="3" t="s">
        <v>180</v>
      </c>
      <c r="JDT47" s="3" t="s">
        <v>26</v>
      </c>
      <c r="JDU47" s="3" t="s">
        <v>197</v>
      </c>
      <c r="JDX47" s="3" t="s">
        <v>198</v>
      </c>
      <c r="JDY47" s="2" t="s">
        <v>195</v>
      </c>
      <c r="JDZ47" s="3" t="s">
        <v>196</v>
      </c>
      <c r="JEA47" s="3" t="s">
        <v>180</v>
      </c>
      <c r="JEB47" s="3" t="s">
        <v>26</v>
      </c>
      <c r="JEC47" s="3" t="s">
        <v>197</v>
      </c>
      <c r="JEF47" s="3" t="s">
        <v>198</v>
      </c>
      <c r="JEG47" s="2" t="s">
        <v>195</v>
      </c>
      <c r="JEH47" s="3" t="s">
        <v>196</v>
      </c>
      <c r="JEI47" s="3" t="s">
        <v>180</v>
      </c>
      <c r="JEJ47" s="3" t="s">
        <v>26</v>
      </c>
      <c r="JEK47" s="3" t="s">
        <v>197</v>
      </c>
      <c r="JEN47" s="3" t="s">
        <v>198</v>
      </c>
      <c r="JEO47" s="2" t="s">
        <v>195</v>
      </c>
      <c r="JEP47" s="3" t="s">
        <v>196</v>
      </c>
      <c r="JEQ47" s="3" t="s">
        <v>180</v>
      </c>
      <c r="JER47" s="3" t="s">
        <v>26</v>
      </c>
      <c r="JES47" s="3" t="s">
        <v>197</v>
      </c>
      <c r="JEV47" s="3" t="s">
        <v>198</v>
      </c>
      <c r="JEW47" s="2" t="s">
        <v>195</v>
      </c>
      <c r="JEX47" s="3" t="s">
        <v>196</v>
      </c>
      <c r="JEY47" s="3" t="s">
        <v>180</v>
      </c>
      <c r="JEZ47" s="3" t="s">
        <v>26</v>
      </c>
      <c r="JFA47" s="3" t="s">
        <v>197</v>
      </c>
      <c r="JFD47" s="3" t="s">
        <v>198</v>
      </c>
      <c r="JFE47" s="2" t="s">
        <v>195</v>
      </c>
      <c r="JFF47" s="3" t="s">
        <v>196</v>
      </c>
      <c r="JFG47" s="3" t="s">
        <v>180</v>
      </c>
      <c r="JFH47" s="3" t="s">
        <v>26</v>
      </c>
      <c r="JFI47" s="3" t="s">
        <v>197</v>
      </c>
      <c r="JFL47" s="3" t="s">
        <v>198</v>
      </c>
      <c r="JFM47" s="2" t="s">
        <v>195</v>
      </c>
      <c r="JFN47" s="3" t="s">
        <v>196</v>
      </c>
      <c r="JFO47" s="3" t="s">
        <v>180</v>
      </c>
      <c r="JFP47" s="3" t="s">
        <v>26</v>
      </c>
      <c r="JFQ47" s="3" t="s">
        <v>197</v>
      </c>
      <c r="JFT47" s="3" t="s">
        <v>198</v>
      </c>
      <c r="JFU47" s="2" t="s">
        <v>195</v>
      </c>
      <c r="JFV47" s="3" t="s">
        <v>196</v>
      </c>
      <c r="JFW47" s="3" t="s">
        <v>180</v>
      </c>
      <c r="JFX47" s="3" t="s">
        <v>26</v>
      </c>
      <c r="JFY47" s="3" t="s">
        <v>197</v>
      </c>
      <c r="JGB47" s="3" t="s">
        <v>198</v>
      </c>
      <c r="JGC47" s="2" t="s">
        <v>195</v>
      </c>
      <c r="JGD47" s="3" t="s">
        <v>196</v>
      </c>
      <c r="JGE47" s="3" t="s">
        <v>180</v>
      </c>
      <c r="JGF47" s="3" t="s">
        <v>26</v>
      </c>
      <c r="JGG47" s="3" t="s">
        <v>197</v>
      </c>
      <c r="JGJ47" s="3" t="s">
        <v>198</v>
      </c>
      <c r="JGK47" s="2" t="s">
        <v>195</v>
      </c>
      <c r="JGL47" s="3" t="s">
        <v>196</v>
      </c>
      <c r="JGM47" s="3" t="s">
        <v>180</v>
      </c>
      <c r="JGN47" s="3" t="s">
        <v>26</v>
      </c>
      <c r="JGO47" s="3" t="s">
        <v>197</v>
      </c>
      <c r="JGR47" s="3" t="s">
        <v>198</v>
      </c>
      <c r="JGS47" s="2" t="s">
        <v>195</v>
      </c>
      <c r="JGT47" s="3" t="s">
        <v>196</v>
      </c>
      <c r="JGU47" s="3" t="s">
        <v>180</v>
      </c>
      <c r="JGV47" s="3" t="s">
        <v>26</v>
      </c>
      <c r="JGW47" s="3" t="s">
        <v>197</v>
      </c>
      <c r="JGZ47" s="3" t="s">
        <v>198</v>
      </c>
      <c r="JHA47" s="2" t="s">
        <v>195</v>
      </c>
      <c r="JHB47" s="3" t="s">
        <v>196</v>
      </c>
      <c r="JHC47" s="3" t="s">
        <v>180</v>
      </c>
      <c r="JHD47" s="3" t="s">
        <v>26</v>
      </c>
      <c r="JHE47" s="3" t="s">
        <v>197</v>
      </c>
      <c r="JHH47" s="3" t="s">
        <v>198</v>
      </c>
      <c r="JHI47" s="2" t="s">
        <v>195</v>
      </c>
      <c r="JHJ47" s="3" t="s">
        <v>196</v>
      </c>
      <c r="JHK47" s="3" t="s">
        <v>180</v>
      </c>
      <c r="JHL47" s="3" t="s">
        <v>26</v>
      </c>
      <c r="JHM47" s="3" t="s">
        <v>197</v>
      </c>
      <c r="JHP47" s="3" t="s">
        <v>198</v>
      </c>
      <c r="JHQ47" s="2" t="s">
        <v>195</v>
      </c>
      <c r="JHR47" s="3" t="s">
        <v>196</v>
      </c>
      <c r="JHS47" s="3" t="s">
        <v>180</v>
      </c>
      <c r="JHT47" s="3" t="s">
        <v>26</v>
      </c>
      <c r="JHU47" s="3" t="s">
        <v>197</v>
      </c>
      <c r="JHX47" s="3" t="s">
        <v>198</v>
      </c>
      <c r="JHY47" s="2" t="s">
        <v>195</v>
      </c>
      <c r="JHZ47" s="3" t="s">
        <v>196</v>
      </c>
      <c r="JIA47" s="3" t="s">
        <v>180</v>
      </c>
      <c r="JIB47" s="3" t="s">
        <v>26</v>
      </c>
      <c r="JIC47" s="3" t="s">
        <v>197</v>
      </c>
      <c r="JIF47" s="3" t="s">
        <v>198</v>
      </c>
      <c r="JIG47" s="2" t="s">
        <v>195</v>
      </c>
      <c r="JIH47" s="3" t="s">
        <v>196</v>
      </c>
      <c r="JII47" s="3" t="s">
        <v>180</v>
      </c>
      <c r="JIJ47" s="3" t="s">
        <v>26</v>
      </c>
      <c r="JIK47" s="3" t="s">
        <v>197</v>
      </c>
      <c r="JIN47" s="3" t="s">
        <v>198</v>
      </c>
      <c r="JIO47" s="2" t="s">
        <v>195</v>
      </c>
      <c r="JIP47" s="3" t="s">
        <v>196</v>
      </c>
      <c r="JIQ47" s="3" t="s">
        <v>180</v>
      </c>
      <c r="JIR47" s="3" t="s">
        <v>26</v>
      </c>
      <c r="JIS47" s="3" t="s">
        <v>197</v>
      </c>
      <c r="JIV47" s="3" t="s">
        <v>198</v>
      </c>
      <c r="JIW47" s="2" t="s">
        <v>195</v>
      </c>
      <c r="JIX47" s="3" t="s">
        <v>196</v>
      </c>
      <c r="JIY47" s="3" t="s">
        <v>180</v>
      </c>
      <c r="JIZ47" s="3" t="s">
        <v>26</v>
      </c>
      <c r="JJA47" s="3" t="s">
        <v>197</v>
      </c>
      <c r="JJD47" s="3" t="s">
        <v>198</v>
      </c>
      <c r="JJE47" s="2" t="s">
        <v>195</v>
      </c>
      <c r="JJF47" s="3" t="s">
        <v>196</v>
      </c>
      <c r="JJG47" s="3" t="s">
        <v>180</v>
      </c>
      <c r="JJH47" s="3" t="s">
        <v>26</v>
      </c>
      <c r="JJI47" s="3" t="s">
        <v>197</v>
      </c>
      <c r="JJL47" s="3" t="s">
        <v>198</v>
      </c>
      <c r="JJM47" s="2" t="s">
        <v>195</v>
      </c>
      <c r="JJN47" s="3" t="s">
        <v>196</v>
      </c>
      <c r="JJO47" s="3" t="s">
        <v>180</v>
      </c>
      <c r="JJP47" s="3" t="s">
        <v>26</v>
      </c>
      <c r="JJQ47" s="3" t="s">
        <v>197</v>
      </c>
      <c r="JJT47" s="3" t="s">
        <v>198</v>
      </c>
      <c r="JJU47" s="2" t="s">
        <v>195</v>
      </c>
      <c r="JJV47" s="3" t="s">
        <v>196</v>
      </c>
      <c r="JJW47" s="3" t="s">
        <v>180</v>
      </c>
      <c r="JJX47" s="3" t="s">
        <v>26</v>
      </c>
      <c r="JJY47" s="3" t="s">
        <v>197</v>
      </c>
      <c r="JKB47" s="3" t="s">
        <v>198</v>
      </c>
      <c r="JKC47" s="2" t="s">
        <v>195</v>
      </c>
      <c r="JKD47" s="3" t="s">
        <v>196</v>
      </c>
      <c r="JKE47" s="3" t="s">
        <v>180</v>
      </c>
      <c r="JKF47" s="3" t="s">
        <v>26</v>
      </c>
      <c r="JKG47" s="3" t="s">
        <v>197</v>
      </c>
      <c r="JKJ47" s="3" t="s">
        <v>198</v>
      </c>
      <c r="JKK47" s="2" t="s">
        <v>195</v>
      </c>
      <c r="JKL47" s="3" t="s">
        <v>196</v>
      </c>
      <c r="JKM47" s="3" t="s">
        <v>180</v>
      </c>
      <c r="JKN47" s="3" t="s">
        <v>26</v>
      </c>
      <c r="JKO47" s="3" t="s">
        <v>197</v>
      </c>
      <c r="JKR47" s="3" t="s">
        <v>198</v>
      </c>
      <c r="JKS47" s="2" t="s">
        <v>195</v>
      </c>
      <c r="JKT47" s="3" t="s">
        <v>196</v>
      </c>
      <c r="JKU47" s="3" t="s">
        <v>180</v>
      </c>
      <c r="JKV47" s="3" t="s">
        <v>26</v>
      </c>
      <c r="JKW47" s="3" t="s">
        <v>197</v>
      </c>
      <c r="JKZ47" s="3" t="s">
        <v>198</v>
      </c>
      <c r="JLA47" s="2" t="s">
        <v>195</v>
      </c>
      <c r="JLB47" s="3" t="s">
        <v>196</v>
      </c>
      <c r="JLC47" s="3" t="s">
        <v>180</v>
      </c>
      <c r="JLD47" s="3" t="s">
        <v>26</v>
      </c>
      <c r="JLE47" s="3" t="s">
        <v>197</v>
      </c>
      <c r="JLH47" s="3" t="s">
        <v>198</v>
      </c>
      <c r="JLI47" s="2" t="s">
        <v>195</v>
      </c>
      <c r="JLJ47" s="3" t="s">
        <v>196</v>
      </c>
      <c r="JLK47" s="3" t="s">
        <v>180</v>
      </c>
      <c r="JLL47" s="3" t="s">
        <v>26</v>
      </c>
      <c r="JLM47" s="3" t="s">
        <v>197</v>
      </c>
      <c r="JLP47" s="3" t="s">
        <v>198</v>
      </c>
      <c r="JLQ47" s="2" t="s">
        <v>195</v>
      </c>
      <c r="JLR47" s="3" t="s">
        <v>196</v>
      </c>
      <c r="JLS47" s="3" t="s">
        <v>180</v>
      </c>
      <c r="JLT47" s="3" t="s">
        <v>26</v>
      </c>
      <c r="JLU47" s="3" t="s">
        <v>197</v>
      </c>
      <c r="JLX47" s="3" t="s">
        <v>198</v>
      </c>
      <c r="JLY47" s="2" t="s">
        <v>195</v>
      </c>
      <c r="JLZ47" s="3" t="s">
        <v>196</v>
      </c>
      <c r="JMA47" s="3" t="s">
        <v>180</v>
      </c>
      <c r="JMB47" s="3" t="s">
        <v>26</v>
      </c>
      <c r="JMC47" s="3" t="s">
        <v>197</v>
      </c>
      <c r="JMF47" s="3" t="s">
        <v>198</v>
      </c>
      <c r="JMG47" s="2" t="s">
        <v>195</v>
      </c>
      <c r="JMH47" s="3" t="s">
        <v>196</v>
      </c>
      <c r="JMI47" s="3" t="s">
        <v>180</v>
      </c>
      <c r="JMJ47" s="3" t="s">
        <v>26</v>
      </c>
      <c r="JMK47" s="3" t="s">
        <v>197</v>
      </c>
      <c r="JMN47" s="3" t="s">
        <v>198</v>
      </c>
      <c r="JMO47" s="2" t="s">
        <v>195</v>
      </c>
      <c r="JMP47" s="3" t="s">
        <v>196</v>
      </c>
      <c r="JMQ47" s="3" t="s">
        <v>180</v>
      </c>
      <c r="JMR47" s="3" t="s">
        <v>26</v>
      </c>
      <c r="JMS47" s="3" t="s">
        <v>197</v>
      </c>
      <c r="JMV47" s="3" t="s">
        <v>198</v>
      </c>
      <c r="JMW47" s="2" t="s">
        <v>195</v>
      </c>
      <c r="JMX47" s="3" t="s">
        <v>196</v>
      </c>
      <c r="JMY47" s="3" t="s">
        <v>180</v>
      </c>
      <c r="JMZ47" s="3" t="s">
        <v>26</v>
      </c>
      <c r="JNA47" s="3" t="s">
        <v>197</v>
      </c>
      <c r="JND47" s="3" t="s">
        <v>198</v>
      </c>
      <c r="JNE47" s="2" t="s">
        <v>195</v>
      </c>
      <c r="JNF47" s="3" t="s">
        <v>196</v>
      </c>
      <c r="JNG47" s="3" t="s">
        <v>180</v>
      </c>
      <c r="JNH47" s="3" t="s">
        <v>26</v>
      </c>
      <c r="JNI47" s="3" t="s">
        <v>197</v>
      </c>
      <c r="JNL47" s="3" t="s">
        <v>198</v>
      </c>
      <c r="JNM47" s="2" t="s">
        <v>195</v>
      </c>
      <c r="JNN47" s="3" t="s">
        <v>196</v>
      </c>
      <c r="JNO47" s="3" t="s">
        <v>180</v>
      </c>
      <c r="JNP47" s="3" t="s">
        <v>26</v>
      </c>
      <c r="JNQ47" s="3" t="s">
        <v>197</v>
      </c>
      <c r="JNT47" s="3" t="s">
        <v>198</v>
      </c>
      <c r="JNU47" s="2" t="s">
        <v>195</v>
      </c>
      <c r="JNV47" s="3" t="s">
        <v>196</v>
      </c>
      <c r="JNW47" s="3" t="s">
        <v>180</v>
      </c>
      <c r="JNX47" s="3" t="s">
        <v>26</v>
      </c>
      <c r="JNY47" s="3" t="s">
        <v>197</v>
      </c>
      <c r="JOB47" s="3" t="s">
        <v>198</v>
      </c>
      <c r="JOC47" s="2" t="s">
        <v>195</v>
      </c>
      <c r="JOD47" s="3" t="s">
        <v>196</v>
      </c>
      <c r="JOE47" s="3" t="s">
        <v>180</v>
      </c>
      <c r="JOF47" s="3" t="s">
        <v>26</v>
      </c>
      <c r="JOG47" s="3" t="s">
        <v>197</v>
      </c>
      <c r="JOJ47" s="3" t="s">
        <v>198</v>
      </c>
      <c r="JOK47" s="2" t="s">
        <v>195</v>
      </c>
      <c r="JOL47" s="3" t="s">
        <v>196</v>
      </c>
      <c r="JOM47" s="3" t="s">
        <v>180</v>
      </c>
      <c r="JON47" s="3" t="s">
        <v>26</v>
      </c>
      <c r="JOO47" s="3" t="s">
        <v>197</v>
      </c>
      <c r="JOR47" s="3" t="s">
        <v>198</v>
      </c>
      <c r="JOS47" s="2" t="s">
        <v>195</v>
      </c>
      <c r="JOT47" s="3" t="s">
        <v>196</v>
      </c>
      <c r="JOU47" s="3" t="s">
        <v>180</v>
      </c>
      <c r="JOV47" s="3" t="s">
        <v>26</v>
      </c>
      <c r="JOW47" s="3" t="s">
        <v>197</v>
      </c>
      <c r="JOZ47" s="3" t="s">
        <v>198</v>
      </c>
      <c r="JPA47" s="2" t="s">
        <v>195</v>
      </c>
      <c r="JPB47" s="3" t="s">
        <v>196</v>
      </c>
      <c r="JPC47" s="3" t="s">
        <v>180</v>
      </c>
      <c r="JPD47" s="3" t="s">
        <v>26</v>
      </c>
      <c r="JPE47" s="3" t="s">
        <v>197</v>
      </c>
      <c r="JPH47" s="3" t="s">
        <v>198</v>
      </c>
      <c r="JPI47" s="2" t="s">
        <v>195</v>
      </c>
      <c r="JPJ47" s="3" t="s">
        <v>196</v>
      </c>
      <c r="JPK47" s="3" t="s">
        <v>180</v>
      </c>
      <c r="JPL47" s="3" t="s">
        <v>26</v>
      </c>
      <c r="JPM47" s="3" t="s">
        <v>197</v>
      </c>
      <c r="JPP47" s="3" t="s">
        <v>198</v>
      </c>
      <c r="JPQ47" s="2" t="s">
        <v>195</v>
      </c>
      <c r="JPR47" s="3" t="s">
        <v>196</v>
      </c>
      <c r="JPS47" s="3" t="s">
        <v>180</v>
      </c>
      <c r="JPT47" s="3" t="s">
        <v>26</v>
      </c>
      <c r="JPU47" s="3" t="s">
        <v>197</v>
      </c>
      <c r="JPX47" s="3" t="s">
        <v>198</v>
      </c>
      <c r="JPY47" s="2" t="s">
        <v>195</v>
      </c>
      <c r="JPZ47" s="3" t="s">
        <v>196</v>
      </c>
      <c r="JQA47" s="3" t="s">
        <v>180</v>
      </c>
      <c r="JQB47" s="3" t="s">
        <v>26</v>
      </c>
      <c r="JQC47" s="3" t="s">
        <v>197</v>
      </c>
      <c r="JQF47" s="3" t="s">
        <v>198</v>
      </c>
      <c r="JQG47" s="2" t="s">
        <v>195</v>
      </c>
      <c r="JQH47" s="3" t="s">
        <v>196</v>
      </c>
      <c r="JQI47" s="3" t="s">
        <v>180</v>
      </c>
      <c r="JQJ47" s="3" t="s">
        <v>26</v>
      </c>
      <c r="JQK47" s="3" t="s">
        <v>197</v>
      </c>
      <c r="JQN47" s="3" t="s">
        <v>198</v>
      </c>
      <c r="JQO47" s="2" t="s">
        <v>195</v>
      </c>
      <c r="JQP47" s="3" t="s">
        <v>196</v>
      </c>
      <c r="JQQ47" s="3" t="s">
        <v>180</v>
      </c>
      <c r="JQR47" s="3" t="s">
        <v>26</v>
      </c>
      <c r="JQS47" s="3" t="s">
        <v>197</v>
      </c>
      <c r="JQV47" s="3" t="s">
        <v>198</v>
      </c>
      <c r="JQW47" s="2" t="s">
        <v>195</v>
      </c>
      <c r="JQX47" s="3" t="s">
        <v>196</v>
      </c>
      <c r="JQY47" s="3" t="s">
        <v>180</v>
      </c>
      <c r="JQZ47" s="3" t="s">
        <v>26</v>
      </c>
      <c r="JRA47" s="3" t="s">
        <v>197</v>
      </c>
      <c r="JRD47" s="3" t="s">
        <v>198</v>
      </c>
      <c r="JRE47" s="2" t="s">
        <v>195</v>
      </c>
      <c r="JRF47" s="3" t="s">
        <v>196</v>
      </c>
      <c r="JRG47" s="3" t="s">
        <v>180</v>
      </c>
      <c r="JRH47" s="3" t="s">
        <v>26</v>
      </c>
      <c r="JRI47" s="3" t="s">
        <v>197</v>
      </c>
      <c r="JRL47" s="3" t="s">
        <v>198</v>
      </c>
      <c r="JRM47" s="2" t="s">
        <v>195</v>
      </c>
      <c r="JRN47" s="3" t="s">
        <v>196</v>
      </c>
      <c r="JRO47" s="3" t="s">
        <v>180</v>
      </c>
      <c r="JRP47" s="3" t="s">
        <v>26</v>
      </c>
      <c r="JRQ47" s="3" t="s">
        <v>197</v>
      </c>
      <c r="JRT47" s="3" t="s">
        <v>198</v>
      </c>
      <c r="JRU47" s="2" t="s">
        <v>195</v>
      </c>
      <c r="JRV47" s="3" t="s">
        <v>196</v>
      </c>
      <c r="JRW47" s="3" t="s">
        <v>180</v>
      </c>
      <c r="JRX47" s="3" t="s">
        <v>26</v>
      </c>
      <c r="JRY47" s="3" t="s">
        <v>197</v>
      </c>
      <c r="JSB47" s="3" t="s">
        <v>198</v>
      </c>
      <c r="JSC47" s="2" t="s">
        <v>195</v>
      </c>
      <c r="JSD47" s="3" t="s">
        <v>196</v>
      </c>
      <c r="JSE47" s="3" t="s">
        <v>180</v>
      </c>
      <c r="JSF47" s="3" t="s">
        <v>26</v>
      </c>
      <c r="JSG47" s="3" t="s">
        <v>197</v>
      </c>
      <c r="JSJ47" s="3" t="s">
        <v>198</v>
      </c>
      <c r="JSK47" s="2" t="s">
        <v>195</v>
      </c>
      <c r="JSL47" s="3" t="s">
        <v>196</v>
      </c>
      <c r="JSM47" s="3" t="s">
        <v>180</v>
      </c>
      <c r="JSN47" s="3" t="s">
        <v>26</v>
      </c>
      <c r="JSO47" s="3" t="s">
        <v>197</v>
      </c>
      <c r="JSR47" s="3" t="s">
        <v>198</v>
      </c>
      <c r="JSS47" s="2" t="s">
        <v>195</v>
      </c>
      <c r="JST47" s="3" t="s">
        <v>196</v>
      </c>
      <c r="JSU47" s="3" t="s">
        <v>180</v>
      </c>
      <c r="JSV47" s="3" t="s">
        <v>26</v>
      </c>
      <c r="JSW47" s="3" t="s">
        <v>197</v>
      </c>
      <c r="JSZ47" s="3" t="s">
        <v>198</v>
      </c>
      <c r="JTA47" s="2" t="s">
        <v>195</v>
      </c>
      <c r="JTB47" s="3" t="s">
        <v>196</v>
      </c>
      <c r="JTC47" s="3" t="s">
        <v>180</v>
      </c>
      <c r="JTD47" s="3" t="s">
        <v>26</v>
      </c>
      <c r="JTE47" s="3" t="s">
        <v>197</v>
      </c>
      <c r="JTH47" s="3" t="s">
        <v>198</v>
      </c>
      <c r="JTI47" s="2" t="s">
        <v>195</v>
      </c>
      <c r="JTJ47" s="3" t="s">
        <v>196</v>
      </c>
      <c r="JTK47" s="3" t="s">
        <v>180</v>
      </c>
      <c r="JTL47" s="3" t="s">
        <v>26</v>
      </c>
      <c r="JTM47" s="3" t="s">
        <v>197</v>
      </c>
      <c r="JTP47" s="3" t="s">
        <v>198</v>
      </c>
      <c r="JTQ47" s="2" t="s">
        <v>195</v>
      </c>
      <c r="JTR47" s="3" t="s">
        <v>196</v>
      </c>
      <c r="JTS47" s="3" t="s">
        <v>180</v>
      </c>
      <c r="JTT47" s="3" t="s">
        <v>26</v>
      </c>
      <c r="JTU47" s="3" t="s">
        <v>197</v>
      </c>
      <c r="JTX47" s="3" t="s">
        <v>198</v>
      </c>
      <c r="JTY47" s="2" t="s">
        <v>195</v>
      </c>
      <c r="JTZ47" s="3" t="s">
        <v>196</v>
      </c>
      <c r="JUA47" s="3" t="s">
        <v>180</v>
      </c>
      <c r="JUB47" s="3" t="s">
        <v>26</v>
      </c>
      <c r="JUC47" s="3" t="s">
        <v>197</v>
      </c>
      <c r="JUF47" s="3" t="s">
        <v>198</v>
      </c>
      <c r="JUG47" s="2" t="s">
        <v>195</v>
      </c>
      <c r="JUH47" s="3" t="s">
        <v>196</v>
      </c>
      <c r="JUI47" s="3" t="s">
        <v>180</v>
      </c>
      <c r="JUJ47" s="3" t="s">
        <v>26</v>
      </c>
      <c r="JUK47" s="3" t="s">
        <v>197</v>
      </c>
      <c r="JUN47" s="3" t="s">
        <v>198</v>
      </c>
      <c r="JUO47" s="2" t="s">
        <v>195</v>
      </c>
      <c r="JUP47" s="3" t="s">
        <v>196</v>
      </c>
      <c r="JUQ47" s="3" t="s">
        <v>180</v>
      </c>
      <c r="JUR47" s="3" t="s">
        <v>26</v>
      </c>
      <c r="JUS47" s="3" t="s">
        <v>197</v>
      </c>
      <c r="JUV47" s="3" t="s">
        <v>198</v>
      </c>
      <c r="JUW47" s="2" t="s">
        <v>195</v>
      </c>
      <c r="JUX47" s="3" t="s">
        <v>196</v>
      </c>
      <c r="JUY47" s="3" t="s">
        <v>180</v>
      </c>
      <c r="JUZ47" s="3" t="s">
        <v>26</v>
      </c>
      <c r="JVA47" s="3" t="s">
        <v>197</v>
      </c>
      <c r="JVD47" s="3" t="s">
        <v>198</v>
      </c>
      <c r="JVE47" s="2" t="s">
        <v>195</v>
      </c>
      <c r="JVF47" s="3" t="s">
        <v>196</v>
      </c>
      <c r="JVG47" s="3" t="s">
        <v>180</v>
      </c>
      <c r="JVH47" s="3" t="s">
        <v>26</v>
      </c>
      <c r="JVI47" s="3" t="s">
        <v>197</v>
      </c>
      <c r="JVL47" s="3" t="s">
        <v>198</v>
      </c>
      <c r="JVM47" s="2" t="s">
        <v>195</v>
      </c>
      <c r="JVN47" s="3" t="s">
        <v>196</v>
      </c>
      <c r="JVO47" s="3" t="s">
        <v>180</v>
      </c>
      <c r="JVP47" s="3" t="s">
        <v>26</v>
      </c>
      <c r="JVQ47" s="3" t="s">
        <v>197</v>
      </c>
      <c r="JVT47" s="3" t="s">
        <v>198</v>
      </c>
      <c r="JVU47" s="2" t="s">
        <v>195</v>
      </c>
      <c r="JVV47" s="3" t="s">
        <v>196</v>
      </c>
      <c r="JVW47" s="3" t="s">
        <v>180</v>
      </c>
      <c r="JVX47" s="3" t="s">
        <v>26</v>
      </c>
      <c r="JVY47" s="3" t="s">
        <v>197</v>
      </c>
      <c r="JWB47" s="3" t="s">
        <v>198</v>
      </c>
      <c r="JWC47" s="2" t="s">
        <v>195</v>
      </c>
      <c r="JWD47" s="3" t="s">
        <v>196</v>
      </c>
      <c r="JWE47" s="3" t="s">
        <v>180</v>
      </c>
      <c r="JWF47" s="3" t="s">
        <v>26</v>
      </c>
      <c r="JWG47" s="3" t="s">
        <v>197</v>
      </c>
      <c r="JWJ47" s="3" t="s">
        <v>198</v>
      </c>
      <c r="JWK47" s="2" t="s">
        <v>195</v>
      </c>
      <c r="JWL47" s="3" t="s">
        <v>196</v>
      </c>
      <c r="JWM47" s="3" t="s">
        <v>180</v>
      </c>
      <c r="JWN47" s="3" t="s">
        <v>26</v>
      </c>
      <c r="JWO47" s="3" t="s">
        <v>197</v>
      </c>
      <c r="JWR47" s="3" t="s">
        <v>198</v>
      </c>
      <c r="JWS47" s="2" t="s">
        <v>195</v>
      </c>
      <c r="JWT47" s="3" t="s">
        <v>196</v>
      </c>
      <c r="JWU47" s="3" t="s">
        <v>180</v>
      </c>
      <c r="JWV47" s="3" t="s">
        <v>26</v>
      </c>
      <c r="JWW47" s="3" t="s">
        <v>197</v>
      </c>
      <c r="JWZ47" s="3" t="s">
        <v>198</v>
      </c>
      <c r="JXA47" s="2" t="s">
        <v>195</v>
      </c>
      <c r="JXB47" s="3" t="s">
        <v>196</v>
      </c>
      <c r="JXC47" s="3" t="s">
        <v>180</v>
      </c>
      <c r="JXD47" s="3" t="s">
        <v>26</v>
      </c>
      <c r="JXE47" s="3" t="s">
        <v>197</v>
      </c>
      <c r="JXH47" s="3" t="s">
        <v>198</v>
      </c>
      <c r="JXI47" s="2" t="s">
        <v>195</v>
      </c>
      <c r="JXJ47" s="3" t="s">
        <v>196</v>
      </c>
      <c r="JXK47" s="3" t="s">
        <v>180</v>
      </c>
      <c r="JXL47" s="3" t="s">
        <v>26</v>
      </c>
      <c r="JXM47" s="3" t="s">
        <v>197</v>
      </c>
      <c r="JXP47" s="3" t="s">
        <v>198</v>
      </c>
      <c r="JXQ47" s="2" t="s">
        <v>195</v>
      </c>
      <c r="JXR47" s="3" t="s">
        <v>196</v>
      </c>
      <c r="JXS47" s="3" t="s">
        <v>180</v>
      </c>
      <c r="JXT47" s="3" t="s">
        <v>26</v>
      </c>
      <c r="JXU47" s="3" t="s">
        <v>197</v>
      </c>
      <c r="JXX47" s="3" t="s">
        <v>198</v>
      </c>
      <c r="JXY47" s="2" t="s">
        <v>195</v>
      </c>
      <c r="JXZ47" s="3" t="s">
        <v>196</v>
      </c>
      <c r="JYA47" s="3" t="s">
        <v>180</v>
      </c>
      <c r="JYB47" s="3" t="s">
        <v>26</v>
      </c>
      <c r="JYC47" s="3" t="s">
        <v>197</v>
      </c>
      <c r="JYF47" s="3" t="s">
        <v>198</v>
      </c>
      <c r="JYG47" s="2" t="s">
        <v>195</v>
      </c>
      <c r="JYH47" s="3" t="s">
        <v>196</v>
      </c>
      <c r="JYI47" s="3" t="s">
        <v>180</v>
      </c>
      <c r="JYJ47" s="3" t="s">
        <v>26</v>
      </c>
      <c r="JYK47" s="3" t="s">
        <v>197</v>
      </c>
      <c r="JYN47" s="3" t="s">
        <v>198</v>
      </c>
      <c r="JYO47" s="2" t="s">
        <v>195</v>
      </c>
      <c r="JYP47" s="3" t="s">
        <v>196</v>
      </c>
      <c r="JYQ47" s="3" t="s">
        <v>180</v>
      </c>
      <c r="JYR47" s="3" t="s">
        <v>26</v>
      </c>
      <c r="JYS47" s="3" t="s">
        <v>197</v>
      </c>
      <c r="JYV47" s="3" t="s">
        <v>198</v>
      </c>
      <c r="JYW47" s="2" t="s">
        <v>195</v>
      </c>
      <c r="JYX47" s="3" t="s">
        <v>196</v>
      </c>
      <c r="JYY47" s="3" t="s">
        <v>180</v>
      </c>
      <c r="JYZ47" s="3" t="s">
        <v>26</v>
      </c>
      <c r="JZA47" s="3" t="s">
        <v>197</v>
      </c>
      <c r="JZD47" s="3" t="s">
        <v>198</v>
      </c>
      <c r="JZE47" s="2" t="s">
        <v>195</v>
      </c>
      <c r="JZF47" s="3" t="s">
        <v>196</v>
      </c>
      <c r="JZG47" s="3" t="s">
        <v>180</v>
      </c>
      <c r="JZH47" s="3" t="s">
        <v>26</v>
      </c>
      <c r="JZI47" s="3" t="s">
        <v>197</v>
      </c>
      <c r="JZL47" s="3" t="s">
        <v>198</v>
      </c>
      <c r="JZM47" s="2" t="s">
        <v>195</v>
      </c>
      <c r="JZN47" s="3" t="s">
        <v>196</v>
      </c>
      <c r="JZO47" s="3" t="s">
        <v>180</v>
      </c>
      <c r="JZP47" s="3" t="s">
        <v>26</v>
      </c>
      <c r="JZQ47" s="3" t="s">
        <v>197</v>
      </c>
      <c r="JZT47" s="3" t="s">
        <v>198</v>
      </c>
      <c r="JZU47" s="2" t="s">
        <v>195</v>
      </c>
      <c r="JZV47" s="3" t="s">
        <v>196</v>
      </c>
      <c r="JZW47" s="3" t="s">
        <v>180</v>
      </c>
      <c r="JZX47" s="3" t="s">
        <v>26</v>
      </c>
      <c r="JZY47" s="3" t="s">
        <v>197</v>
      </c>
      <c r="KAB47" s="3" t="s">
        <v>198</v>
      </c>
      <c r="KAC47" s="2" t="s">
        <v>195</v>
      </c>
      <c r="KAD47" s="3" t="s">
        <v>196</v>
      </c>
      <c r="KAE47" s="3" t="s">
        <v>180</v>
      </c>
      <c r="KAF47" s="3" t="s">
        <v>26</v>
      </c>
      <c r="KAG47" s="3" t="s">
        <v>197</v>
      </c>
      <c r="KAJ47" s="3" t="s">
        <v>198</v>
      </c>
      <c r="KAK47" s="2" t="s">
        <v>195</v>
      </c>
      <c r="KAL47" s="3" t="s">
        <v>196</v>
      </c>
      <c r="KAM47" s="3" t="s">
        <v>180</v>
      </c>
      <c r="KAN47" s="3" t="s">
        <v>26</v>
      </c>
      <c r="KAO47" s="3" t="s">
        <v>197</v>
      </c>
      <c r="KAR47" s="3" t="s">
        <v>198</v>
      </c>
      <c r="KAS47" s="2" t="s">
        <v>195</v>
      </c>
      <c r="KAT47" s="3" t="s">
        <v>196</v>
      </c>
      <c r="KAU47" s="3" t="s">
        <v>180</v>
      </c>
      <c r="KAV47" s="3" t="s">
        <v>26</v>
      </c>
      <c r="KAW47" s="3" t="s">
        <v>197</v>
      </c>
      <c r="KAZ47" s="3" t="s">
        <v>198</v>
      </c>
      <c r="KBA47" s="2" t="s">
        <v>195</v>
      </c>
      <c r="KBB47" s="3" t="s">
        <v>196</v>
      </c>
      <c r="KBC47" s="3" t="s">
        <v>180</v>
      </c>
      <c r="KBD47" s="3" t="s">
        <v>26</v>
      </c>
      <c r="KBE47" s="3" t="s">
        <v>197</v>
      </c>
      <c r="KBH47" s="3" t="s">
        <v>198</v>
      </c>
      <c r="KBI47" s="2" t="s">
        <v>195</v>
      </c>
      <c r="KBJ47" s="3" t="s">
        <v>196</v>
      </c>
      <c r="KBK47" s="3" t="s">
        <v>180</v>
      </c>
      <c r="KBL47" s="3" t="s">
        <v>26</v>
      </c>
      <c r="KBM47" s="3" t="s">
        <v>197</v>
      </c>
      <c r="KBP47" s="3" t="s">
        <v>198</v>
      </c>
      <c r="KBQ47" s="2" t="s">
        <v>195</v>
      </c>
      <c r="KBR47" s="3" t="s">
        <v>196</v>
      </c>
      <c r="KBS47" s="3" t="s">
        <v>180</v>
      </c>
      <c r="KBT47" s="3" t="s">
        <v>26</v>
      </c>
      <c r="KBU47" s="3" t="s">
        <v>197</v>
      </c>
      <c r="KBX47" s="3" t="s">
        <v>198</v>
      </c>
      <c r="KBY47" s="2" t="s">
        <v>195</v>
      </c>
      <c r="KBZ47" s="3" t="s">
        <v>196</v>
      </c>
      <c r="KCA47" s="3" t="s">
        <v>180</v>
      </c>
      <c r="KCB47" s="3" t="s">
        <v>26</v>
      </c>
      <c r="KCC47" s="3" t="s">
        <v>197</v>
      </c>
      <c r="KCF47" s="3" t="s">
        <v>198</v>
      </c>
      <c r="KCG47" s="2" t="s">
        <v>195</v>
      </c>
      <c r="KCH47" s="3" t="s">
        <v>196</v>
      </c>
      <c r="KCI47" s="3" t="s">
        <v>180</v>
      </c>
      <c r="KCJ47" s="3" t="s">
        <v>26</v>
      </c>
      <c r="KCK47" s="3" t="s">
        <v>197</v>
      </c>
      <c r="KCN47" s="3" t="s">
        <v>198</v>
      </c>
      <c r="KCO47" s="2" t="s">
        <v>195</v>
      </c>
      <c r="KCP47" s="3" t="s">
        <v>196</v>
      </c>
      <c r="KCQ47" s="3" t="s">
        <v>180</v>
      </c>
      <c r="KCR47" s="3" t="s">
        <v>26</v>
      </c>
      <c r="KCS47" s="3" t="s">
        <v>197</v>
      </c>
      <c r="KCV47" s="3" t="s">
        <v>198</v>
      </c>
      <c r="KCW47" s="2" t="s">
        <v>195</v>
      </c>
      <c r="KCX47" s="3" t="s">
        <v>196</v>
      </c>
      <c r="KCY47" s="3" t="s">
        <v>180</v>
      </c>
      <c r="KCZ47" s="3" t="s">
        <v>26</v>
      </c>
      <c r="KDA47" s="3" t="s">
        <v>197</v>
      </c>
      <c r="KDD47" s="3" t="s">
        <v>198</v>
      </c>
      <c r="KDE47" s="2" t="s">
        <v>195</v>
      </c>
      <c r="KDF47" s="3" t="s">
        <v>196</v>
      </c>
      <c r="KDG47" s="3" t="s">
        <v>180</v>
      </c>
      <c r="KDH47" s="3" t="s">
        <v>26</v>
      </c>
      <c r="KDI47" s="3" t="s">
        <v>197</v>
      </c>
      <c r="KDL47" s="3" t="s">
        <v>198</v>
      </c>
      <c r="KDM47" s="2" t="s">
        <v>195</v>
      </c>
      <c r="KDN47" s="3" t="s">
        <v>196</v>
      </c>
      <c r="KDO47" s="3" t="s">
        <v>180</v>
      </c>
      <c r="KDP47" s="3" t="s">
        <v>26</v>
      </c>
      <c r="KDQ47" s="3" t="s">
        <v>197</v>
      </c>
      <c r="KDT47" s="3" t="s">
        <v>198</v>
      </c>
      <c r="KDU47" s="2" t="s">
        <v>195</v>
      </c>
      <c r="KDV47" s="3" t="s">
        <v>196</v>
      </c>
      <c r="KDW47" s="3" t="s">
        <v>180</v>
      </c>
      <c r="KDX47" s="3" t="s">
        <v>26</v>
      </c>
      <c r="KDY47" s="3" t="s">
        <v>197</v>
      </c>
      <c r="KEB47" s="3" t="s">
        <v>198</v>
      </c>
      <c r="KEC47" s="2" t="s">
        <v>195</v>
      </c>
      <c r="KED47" s="3" t="s">
        <v>196</v>
      </c>
      <c r="KEE47" s="3" t="s">
        <v>180</v>
      </c>
      <c r="KEF47" s="3" t="s">
        <v>26</v>
      </c>
      <c r="KEG47" s="3" t="s">
        <v>197</v>
      </c>
      <c r="KEJ47" s="3" t="s">
        <v>198</v>
      </c>
      <c r="KEK47" s="2" t="s">
        <v>195</v>
      </c>
      <c r="KEL47" s="3" t="s">
        <v>196</v>
      </c>
      <c r="KEM47" s="3" t="s">
        <v>180</v>
      </c>
      <c r="KEN47" s="3" t="s">
        <v>26</v>
      </c>
      <c r="KEO47" s="3" t="s">
        <v>197</v>
      </c>
      <c r="KER47" s="3" t="s">
        <v>198</v>
      </c>
      <c r="KES47" s="2" t="s">
        <v>195</v>
      </c>
      <c r="KET47" s="3" t="s">
        <v>196</v>
      </c>
      <c r="KEU47" s="3" t="s">
        <v>180</v>
      </c>
      <c r="KEV47" s="3" t="s">
        <v>26</v>
      </c>
      <c r="KEW47" s="3" t="s">
        <v>197</v>
      </c>
      <c r="KEZ47" s="3" t="s">
        <v>198</v>
      </c>
      <c r="KFA47" s="2" t="s">
        <v>195</v>
      </c>
      <c r="KFB47" s="3" t="s">
        <v>196</v>
      </c>
      <c r="KFC47" s="3" t="s">
        <v>180</v>
      </c>
      <c r="KFD47" s="3" t="s">
        <v>26</v>
      </c>
      <c r="KFE47" s="3" t="s">
        <v>197</v>
      </c>
      <c r="KFH47" s="3" t="s">
        <v>198</v>
      </c>
      <c r="KFI47" s="2" t="s">
        <v>195</v>
      </c>
      <c r="KFJ47" s="3" t="s">
        <v>196</v>
      </c>
      <c r="KFK47" s="3" t="s">
        <v>180</v>
      </c>
      <c r="KFL47" s="3" t="s">
        <v>26</v>
      </c>
      <c r="KFM47" s="3" t="s">
        <v>197</v>
      </c>
      <c r="KFP47" s="3" t="s">
        <v>198</v>
      </c>
      <c r="KFQ47" s="2" t="s">
        <v>195</v>
      </c>
      <c r="KFR47" s="3" t="s">
        <v>196</v>
      </c>
      <c r="KFS47" s="3" t="s">
        <v>180</v>
      </c>
      <c r="KFT47" s="3" t="s">
        <v>26</v>
      </c>
      <c r="KFU47" s="3" t="s">
        <v>197</v>
      </c>
      <c r="KFX47" s="3" t="s">
        <v>198</v>
      </c>
      <c r="KFY47" s="2" t="s">
        <v>195</v>
      </c>
      <c r="KFZ47" s="3" t="s">
        <v>196</v>
      </c>
      <c r="KGA47" s="3" t="s">
        <v>180</v>
      </c>
      <c r="KGB47" s="3" t="s">
        <v>26</v>
      </c>
      <c r="KGC47" s="3" t="s">
        <v>197</v>
      </c>
      <c r="KGF47" s="3" t="s">
        <v>198</v>
      </c>
      <c r="KGG47" s="2" t="s">
        <v>195</v>
      </c>
      <c r="KGH47" s="3" t="s">
        <v>196</v>
      </c>
      <c r="KGI47" s="3" t="s">
        <v>180</v>
      </c>
      <c r="KGJ47" s="3" t="s">
        <v>26</v>
      </c>
      <c r="KGK47" s="3" t="s">
        <v>197</v>
      </c>
      <c r="KGN47" s="3" t="s">
        <v>198</v>
      </c>
      <c r="KGO47" s="2" t="s">
        <v>195</v>
      </c>
      <c r="KGP47" s="3" t="s">
        <v>196</v>
      </c>
      <c r="KGQ47" s="3" t="s">
        <v>180</v>
      </c>
      <c r="KGR47" s="3" t="s">
        <v>26</v>
      </c>
      <c r="KGS47" s="3" t="s">
        <v>197</v>
      </c>
      <c r="KGV47" s="3" t="s">
        <v>198</v>
      </c>
      <c r="KGW47" s="2" t="s">
        <v>195</v>
      </c>
      <c r="KGX47" s="3" t="s">
        <v>196</v>
      </c>
      <c r="KGY47" s="3" t="s">
        <v>180</v>
      </c>
      <c r="KGZ47" s="3" t="s">
        <v>26</v>
      </c>
      <c r="KHA47" s="3" t="s">
        <v>197</v>
      </c>
      <c r="KHD47" s="3" t="s">
        <v>198</v>
      </c>
      <c r="KHE47" s="2" t="s">
        <v>195</v>
      </c>
      <c r="KHF47" s="3" t="s">
        <v>196</v>
      </c>
      <c r="KHG47" s="3" t="s">
        <v>180</v>
      </c>
      <c r="KHH47" s="3" t="s">
        <v>26</v>
      </c>
      <c r="KHI47" s="3" t="s">
        <v>197</v>
      </c>
      <c r="KHL47" s="3" t="s">
        <v>198</v>
      </c>
      <c r="KHM47" s="2" t="s">
        <v>195</v>
      </c>
      <c r="KHN47" s="3" t="s">
        <v>196</v>
      </c>
      <c r="KHO47" s="3" t="s">
        <v>180</v>
      </c>
      <c r="KHP47" s="3" t="s">
        <v>26</v>
      </c>
      <c r="KHQ47" s="3" t="s">
        <v>197</v>
      </c>
      <c r="KHT47" s="3" t="s">
        <v>198</v>
      </c>
      <c r="KHU47" s="2" t="s">
        <v>195</v>
      </c>
      <c r="KHV47" s="3" t="s">
        <v>196</v>
      </c>
      <c r="KHW47" s="3" t="s">
        <v>180</v>
      </c>
      <c r="KHX47" s="3" t="s">
        <v>26</v>
      </c>
      <c r="KHY47" s="3" t="s">
        <v>197</v>
      </c>
      <c r="KIB47" s="3" t="s">
        <v>198</v>
      </c>
      <c r="KIC47" s="2" t="s">
        <v>195</v>
      </c>
      <c r="KID47" s="3" t="s">
        <v>196</v>
      </c>
      <c r="KIE47" s="3" t="s">
        <v>180</v>
      </c>
      <c r="KIF47" s="3" t="s">
        <v>26</v>
      </c>
      <c r="KIG47" s="3" t="s">
        <v>197</v>
      </c>
      <c r="KIJ47" s="3" t="s">
        <v>198</v>
      </c>
      <c r="KIK47" s="2" t="s">
        <v>195</v>
      </c>
      <c r="KIL47" s="3" t="s">
        <v>196</v>
      </c>
      <c r="KIM47" s="3" t="s">
        <v>180</v>
      </c>
      <c r="KIN47" s="3" t="s">
        <v>26</v>
      </c>
      <c r="KIO47" s="3" t="s">
        <v>197</v>
      </c>
      <c r="KIR47" s="3" t="s">
        <v>198</v>
      </c>
      <c r="KIS47" s="2" t="s">
        <v>195</v>
      </c>
      <c r="KIT47" s="3" t="s">
        <v>196</v>
      </c>
      <c r="KIU47" s="3" t="s">
        <v>180</v>
      </c>
      <c r="KIV47" s="3" t="s">
        <v>26</v>
      </c>
      <c r="KIW47" s="3" t="s">
        <v>197</v>
      </c>
      <c r="KIZ47" s="3" t="s">
        <v>198</v>
      </c>
      <c r="KJA47" s="2" t="s">
        <v>195</v>
      </c>
      <c r="KJB47" s="3" t="s">
        <v>196</v>
      </c>
      <c r="KJC47" s="3" t="s">
        <v>180</v>
      </c>
      <c r="KJD47" s="3" t="s">
        <v>26</v>
      </c>
      <c r="KJE47" s="3" t="s">
        <v>197</v>
      </c>
      <c r="KJH47" s="3" t="s">
        <v>198</v>
      </c>
      <c r="KJI47" s="2" t="s">
        <v>195</v>
      </c>
      <c r="KJJ47" s="3" t="s">
        <v>196</v>
      </c>
      <c r="KJK47" s="3" t="s">
        <v>180</v>
      </c>
      <c r="KJL47" s="3" t="s">
        <v>26</v>
      </c>
      <c r="KJM47" s="3" t="s">
        <v>197</v>
      </c>
      <c r="KJP47" s="3" t="s">
        <v>198</v>
      </c>
      <c r="KJQ47" s="2" t="s">
        <v>195</v>
      </c>
      <c r="KJR47" s="3" t="s">
        <v>196</v>
      </c>
      <c r="KJS47" s="3" t="s">
        <v>180</v>
      </c>
      <c r="KJT47" s="3" t="s">
        <v>26</v>
      </c>
      <c r="KJU47" s="3" t="s">
        <v>197</v>
      </c>
      <c r="KJX47" s="3" t="s">
        <v>198</v>
      </c>
      <c r="KJY47" s="2" t="s">
        <v>195</v>
      </c>
      <c r="KJZ47" s="3" t="s">
        <v>196</v>
      </c>
      <c r="KKA47" s="3" t="s">
        <v>180</v>
      </c>
      <c r="KKB47" s="3" t="s">
        <v>26</v>
      </c>
      <c r="KKC47" s="3" t="s">
        <v>197</v>
      </c>
      <c r="KKF47" s="3" t="s">
        <v>198</v>
      </c>
      <c r="KKG47" s="2" t="s">
        <v>195</v>
      </c>
      <c r="KKH47" s="3" t="s">
        <v>196</v>
      </c>
      <c r="KKI47" s="3" t="s">
        <v>180</v>
      </c>
      <c r="KKJ47" s="3" t="s">
        <v>26</v>
      </c>
      <c r="KKK47" s="3" t="s">
        <v>197</v>
      </c>
      <c r="KKN47" s="3" t="s">
        <v>198</v>
      </c>
      <c r="KKO47" s="2" t="s">
        <v>195</v>
      </c>
      <c r="KKP47" s="3" t="s">
        <v>196</v>
      </c>
      <c r="KKQ47" s="3" t="s">
        <v>180</v>
      </c>
      <c r="KKR47" s="3" t="s">
        <v>26</v>
      </c>
      <c r="KKS47" s="3" t="s">
        <v>197</v>
      </c>
      <c r="KKV47" s="3" t="s">
        <v>198</v>
      </c>
      <c r="KKW47" s="2" t="s">
        <v>195</v>
      </c>
      <c r="KKX47" s="3" t="s">
        <v>196</v>
      </c>
      <c r="KKY47" s="3" t="s">
        <v>180</v>
      </c>
      <c r="KKZ47" s="3" t="s">
        <v>26</v>
      </c>
      <c r="KLA47" s="3" t="s">
        <v>197</v>
      </c>
      <c r="KLD47" s="3" t="s">
        <v>198</v>
      </c>
      <c r="KLE47" s="2" t="s">
        <v>195</v>
      </c>
      <c r="KLF47" s="3" t="s">
        <v>196</v>
      </c>
      <c r="KLG47" s="3" t="s">
        <v>180</v>
      </c>
      <c r="KLH47" s="3" t="s">
        <v>26</v>
      </c>
      <c r="KLI47" s="3" t="s">
        <v>197</v>
      </c>
      <c r="KLL47" s="3" t="s">
        <v>198</v>
      </c>
      <c r="KLM47" s="2" t="s">
        <v>195</v>
      </c>
      <c r="KLN47" s="3" t="s">
        <v>196</v>
      </c>
      <c r="KLO47" s="3" t="s">
        <v>180</v>
      </c>
      <c r="KLP47" s="3" t="s">
        <v>26</v>
      </c>
      <c r="KLQ47" s="3" t="s">
        <v>197</v>
      </c>
      <c r="KLT47" s="3" t="s">
        <v>198</v>
      </c>
      <c r="KLU47" s="2" t="s">
        <v>195</v>
      </c>
      <c r="KLV47" s="3" t="s">
        <v>196</v>
      </c>
      <c r="KLW47" s="3" t="s">
        <v>180</v>
      </c>
      <c r="KLX47" s="3" t="s">
        <v>26</v>
      </c>
      <c r="KLY47" s="3" t="s">
        <v>197</v>
      </c>
      <c r="KMB47" s="3" t="s">
        <v>198</v>
      </c>
      <c r="KMC47" s="2" t="s">
        <v>195</v>
      </c>
      <c r="KMD47" s="3" t="s">
        <v>196</v>
      </c>
      <c r="KME47" s="3" t="s">
        <v>180</v>
      </c>
      <c r="KMF47" s="3" t="s">
        <v>26</v>
      </c>
      <c r="KMG47" s="3" t="s">
        <v>197</v>
      </c>
      <c r="KMJ47" s="3" t="s">
        <v>198</v>
      </c>
      <c r="KMK47" s="2" t="s">
        <v>195</v>
      </c>
      <c r="KML47" s="3" t="s">
        <v>196</v>
      </c>
      <c r="KMM47" s="3" t="s">
        <v>180</v>
      </c>
      <c r="KMN47" s="3" t="s">
        <v>26</v>
      </c>
      <c r="KMO47" s="3" t="s">
        <v>197</v>
      </c>
      <c r="KMR47" s="3" t="s">
        <v>198</v>
      </c>
      <c r="KMS47" s="2" t="s">
        <v>195</v>
      </c>
      <c r="KMT47" s="3" t="s">
        <v>196</v>
      </c>
      <c r="KMU47" s="3" t="s">
        <v>180</v>
      </c>
      <c r="KMV47" s="3" t="s">
        <v>26</v>
      </c>
      <c r="KMW47" s="3" t="s">
        <v>197</v>
      </c>
      <c r="KMZ47" s="3" t="s">
        <v>198</v>
      </c>
      <c r="KNA47" s="2" t="s">
        <v>195</v>
      </c>
      <c r="KNB47" s="3" t="s">
        <v>196</v>
      </c>
      <c r="KNC47" s="3" t="s">
        <v>180</v>
      </c>
      <c r="KND47" s="3" t="s">
        <v>26</v>
      </c>
      <c r="KNE47" s="3" t="s">
        <v>197</v>
      </c>
      <c r="KNH47" s="3" t="s">
        <v>198</v>
      </c>
      <c r="KNI47" s="2" t="s">
        <v>195</v>
      </c>
      <c r="KNJ47" s="3" t="s">
        <v>196</v>
      </c>
      <c r="KNK47" s="3" t="s">
        <v>180</v>
      </c>
      <c r="KNL47" s="3" t="s">
        <v>26</v>
      </c>
      <c r="KNM47" s="3" t="s">
        <v>197</v>
      </c>
      <c r="KNP47" s="3" t="s">
        <v>198</v>
      </c>
      <c r="KNQ47" s="2" t="s">
        <v>195</v>
      </c>
      <c r="KNR47" s="3" t="s">
        <v>196</v>
      </c>
      <c r="KNS47" s="3" t="s">
        <v>180</v>
      </c>
      <c r="KNT47" s="3" t="s">
        <v>26</v>
      </c>
      <c r="KNU47" s="3" t="s">
        <v>197</v>
      </c>
      <c r="KNX47" s="3" t="s">
        <v>198</v>
      </c>
      <c r="KNY47" s="2" t="s">
        <v>195</v>
      </c>
      <c r="KNZ47" s="3" t="s">
        <v>196</v>
      </c>
      <c r="KOA47" s="3" t="s">
        <v>180</v>
      </c>
      <c r="KOB47" s="3" t="s">
        <v>26</v>
      </c>
      <c r="KOC47" s="3" t="s">
        <v>197</v>
      </c>
      <c r="KOF47" s="3" t="s">
        <v>198</v>
      </c>
      <c r="KOG47" s="2" t="s">
        <v>195</v>
      </c>
      <c r="KOH47" s="3" t="s">
        <v>196</v>
      </c>
      <c r="KOI47" s="3" t="s">
        <v>180</v>
      </c>
      <c r="KOJ47" s="3" t="s">
        <v>26</v>
      </c>
      <c r="KOK47" s="3" t="s">
        <v>197</v>
      </c>
      <c r="KON47" s="3" t="s">
        <v>198</v>
      </c>
      <c r="KOO47" s="2" t="s">
        <v>195</v>
      </c>
      <c r="KOP47" s="3" t="s">
        <v>196</v>
      </c>
      <c r="KOQ47" s="3" t="s">
        <v>180</v>
      </c>
      <c r="KOR47" s="3" t="s">
        <v>26</v>
      </c>
      <c r="KOS47" s="3" t="s">
        <v>197</v>
      </c>
      <c r="KOV47" s="3" t="s">
        <v>198</v>
      </c>
      <c r="KOW47" s="2" t="s">
        <v>195</v>
      </c>
      <c r="KOX47" s="3" t="s">
        <v>196</v>
      </c>
      <c r="KOY47" s="3" t="s">
        <v>180</v>
      </c>
      <c r="KOZ47" s="3" t="s">
        <v>26</v>
      </c>
      <c r="KPA47" s="3" t="s">
        <v>197</v>
      </c>
      <c r="KPD47" s="3" t="s">
        <v>198</v>
      </c>
      <c r="KPE47" s="2" t="s">
        <v>195</v>
      </c>
      <c r="KPF47" s="3" t="s">
        <v>196</v>
      </c>
      <c r="KPG47" s="3" t="s">
        <v>180</v>
      </c>
      <c r="KPH47" s="3" t="s">
        <v>26</v>
      </c>
      <c r="KPI47" s="3" t="s">
        <v>197</v>
      </c>
      <c r="KPL47" s="3" t="s">
        <v>198</v>
      </c>
      <c r="KPM47" s="2" t="s">
        <v>195</v>
      </c>
      <c r="KPN47" s="3" t="s">
        <v>196</v>
      </c>
      <c r="KPO47" s="3" t="s">
        <v>180</v>
      </c>
      <c r="KPP47" s="3" t="s">
        <v>26</v>
      </c>
      <c r="KPQ47" s="3" t="s">
        <v>197</v>
      </c>
      <c r="KPT47" s="3" t="s">
        <v>198</v>
      </c>
      <c r="KPU47" s="2" t="s">
        <v>195</v>
      </c>
      <c r="KPV47" s="3" t="s">
        <v>196</v>
      </c>
      <c r="KPW47" s="3" t="s">
        <v>180</v>
      </c>
      <c r="KPX47" s="3" t="s">
        <v>26</v>
      </c>
      <c r="KPY47" s="3" t="s">
        <v>197</v>
      </c>
      <c r="KQB47" s="3" t="s">
        <v>198</v>
      </c>
      <c r="KQC47" s="2" t="s">
        <v>195</v>
      </c>
      <c r="KQD47" s="3" t="s">
        <v>196</v>
      </c>
      <c r="KQE47" s="3" t="s">
        <v>180</v>
      </c>
      <c r="KQF47" s="3" t="s">
        <v>26</v>
      </c>
      <c r="KQG47" s="3" t="s">
        <v>197</v>
      </c>
      <c r="KQJ47" s="3" t="s">
        <v>198</v>
      </c>
      <c r="KQK47" s="2" t="s">
        <v>195</v>
      </c>
      <c r="KQL47" s="3" t="s">
        <v>196</v>
      </c>
      <c r="KQM47" s="3" t="s">
        <v>180</v>
      </c>
      <c r="KQN47" s="3" t="s">
        <v>26</v>
      </c>
      <c r="KQO47" s="3" t="s">
        <v>197</v>
      </c>
      <c r="KQR47" s="3" t="s">
        <v>198</v>
      </c>
      <c r="KQS47" s="2" t="s">
        <v>195</v>
      </c>
      <c r="KQT47" s="3" t="s">
        <v>196</v>
      </c>
      <c r="KQU47" s="3" t="s">
        <v>180</v>
      </c>
      <c r="KQV47" s="3" t="s">
        <v>26</v>
      </c>
      <c r="KQW47" s="3" t="s">
        <v>197</v>
      </c>
      <c r="KQZ47" s="3" t="s">
        <v>198</v>
      </c>
      <c r="KRA47" s="2" t="s">
        <v>195</v>
      </c>
      <c r="KRB47" s="3" t="s">
        <v>196</v>
      </c>
      <c r="KRC47" s="3" t="s">
        <v>180</v>
      </c>
      <c r="KRD47" s="3" t="s">
        <v>26</v>
      </c>
      <c r="KRE47" s="3" t="s">
        <v>197</v>
      </c>
      <c r="KRH47" s="3" t="s">
        <v>198</v>
      </c>
      <c r="KRI47" s="2" t="s">
        <v>195</v>
      </c>
      <c r="KRJ47" s="3" t="s">
        <v>196</v>
      </c>
      <c r="KRK47" s="3" t="s">
        <v>180</v>
      </c>
      <c r="KRL47" s="3" t="s">
        <v>26</v>
      </c>
      <c r="KRM47" s="3" t="s">
        <v>197</v>
      </c>
      <c r="KRP47" s="3" t="s">
        <v>198</v>
      </c>
      <c r="KRQ47" s="2" t="s">
        <v>195</v>
      </c>
      <c r="KRR47" s="3" t="s">
        <v>196</v>
      </c>
      <c r="KRS47" s="3" t="s">
        <v>180</v>
      </c>
      <c r="KRT47" s="3" t="s">
        <v>26</v>
      </c>
      <c r="KRU47" s="3" t="s">
        <v>197</v>
      </c>
      <c r="KRX47" s="3" t="s">
        <v>198</v>
      </c>
      <c r="KRY47" s="2" t="s">
        <v>195</v>
      </c>
      <c r="KRZ47" s="3" t="s">
        <v>196</v>
      </c>
      <c r="KSA47" s="3" t="s">
        <v>180</v>
      </c>
      <c r="KSB47" s="3" t="s">
        <v>26</v>
      </c>
      <c r="KSC47" s="3" t="s">
        <v>197</v>
      </c>
      <c r="KSF47" s="3" t="s">
        <v>198</v>
      </c>
      <c r="KSG47" s="2" t="s">
        <v>195</v>
      </c>
      <c r="KSH47" s="3" t="s">
        <v>196</v>
      </c>
      <c r="KSI47" s="3" t="s">
        <v>180</v>
      </c>
      <c r="KSJ47" s="3" t="s">
        <v>26</v>
      </c>
      <c r="KSK47" s="3" t="s">
        <v>197</v>
      </c>
      <c r="KSN47" s="3" t="s">
        <v>198</v>
      </c>
      <c r="KSO47" s="2" t="s">
        <v>195</v>
      </c>
      <c r="KSP47" s="3" t="s">
        <v>196</v>
      </c>
      <c r="KSQ47" s="3" t="s">
        <v>180</v>
      </c>
      <c r="KSR47" s="3" t="s">
        <v>26</v>
      </c>
      <c r="KSS47" s="3" t="s">
        <v>197</v>
      </c>
      <c r="KSV47" s="3" t="s">
        <v>198</v>
      </c>
      <c r="KSW47" s="2" t="s">
        <v>195</v>
      </c>
      <c r="KSX47" s="3" t="s">
        <v>196</v>
      </c>
      <c r="KSY47" s="3" t="s">
        <v>180</v>
      </c>
      <c r="KSZ47" s="3" t="s">
        <v>26</v>
      </c>
      <c r="KTA47" s="3" t="s">
        <v>197</v>
      </c>
      <c r="KTD47" s="3" t="s">
        <v>198</v>
      </c>
      <c r="KTE47" s="2" t="s">
        <v>195</v>
      </c>
      <c r="KTF47" s="3" t="s">
        <v>196</v>
      </c>
      <c r="KTG47" s="3" t="s">
        <v>180</v>
      </c>
      <c r="KTH47" s="3" t="s">
        <v>26</v>
      </c>
      <c r="KTI47" s="3" t="s">
        <v>197</v>
      </c>
      <c r="KTL47" s="3" t="s">
        <v>198</v>
      </c>
      <c r="KTM47" s="2" t="s">
        <v>195</v>
      </c>
      <c r="KTN47" s="3" t="s">
        <v>196</v>
      </c>
      <c r="KTO47" s="3" t="s">
        <v>180</v>
      </c>
      <c r="KTP47" s="3" t="s">
        <v>26</v>
      </c>
      <c r="KTQ47" s="3" t="s">
        <v>197</v>
      </c>
      <c r="KTT47" s="3" t="s">
        <v>198</v>
      </c>
      <c r="KTU47" s="2" t="s">
        <v>195</v>
      </c>
      <c r="KTV47" s="3" t="s">
        <v>196</v>
      </c>
      <c r="KTW47" s="3" t="s">
        <v>180</v>
      </c>
      <c r="KTX47" s="3" t="s">
        <v>26</v>
      </c>
      <c r="KTY47" s="3" t="s">
        <v>197</v>
      </c>
      <c r="KUB47" s="3" t="s">
        <v>198</v>
      </c>
      <c r="KUC47" s="2" t="s">
        <v>195</v>
      </c>
      <c r="KUD47" s="3" t="s">
        <v>196</v>
      </c>
      <c r="KUE47" s="3" t="s">
        <v>180</v>
      </c>
      <c r="KUF47" s="3" t="s">
        <v>26</v>
      </c>
      <c r="KUG47" s="3" t="s">
        <v>197</v>
      </c>
      <c r="KUJ47" s="3" t="s">
        <v>198</v>
      </c>
      <c r="KUK47" s="2" t="s">
        <v>195</v>
      </c>
      <c r="KUL47" s="3" t="s">
        <v>196</v>
      </c>
      <c r="KUM47" s="3" t="s">
        <v>180</v>
      </c>
      <c r="KUN47" s="3" t="s">
        <v>26</v>
      </c>
      <c r="KUO47" s="3" t="s">
        <v>197</v>
      </c>
      <c r="KUR47" s="3" t="s">
        <v>198</v>
      </c>
      <c r="KUS47" s="2" t="s">
        <v>195</v>
      </c>
      <c r="KUT47" s="3" t="s">
        <v>196</v>
      </c>
      <c r="KUU47" s="3" t="s">
        <v>180</v>
      </c>
      <c r="KUV47" s="3" t="s">
        <v>26</v>
      </c>
      <c r="KUW47" s="3" t="s">
        <v>197</v>
      </c>
      <c r="KUZ47" s="3" t="s">
        <v>198</v>
      </c>
      <c r="KVA47" s="2" t="s">
        <v>195</v>
      </c>
      <c r="KVB47" s="3" t="s">
        <v>196</v>
      </c>
      <c r="KVC47" s="3" t="s">
        <v>180</v>
      </c>
      <c r="KVD47" s="3" t="s">
        <v>26</v>
      </c>
      <c r="KVE47" s="3" t="s">
        <v>197</v>
      </c>
      <c r="KVH47" s="3" t="s">
        <v>198</v>
      </c>
      <c r="KVI47" s="2" t="s">
        <v>195</v>
      </c>
      <c r="KVJ47" s="3" t="s">
        <v>196</v>
      </c>
      <c r="KVK47" s="3" t="s">
        <v>180</v>
      </c>
      <c r="KVL47" s="3" t="s">
        <v>26</v>
      </c>
      <c r="KVM47" s="3" t="s">
        <v>197</v>
      </c>
      <c r="KVP47" s="3" t="s">
        <v>198</v>
      </c>
      <c r="KVQ47" s="2" t="s">
        <v>195</v>
      </c>
      <c r="KVR47" s="3" t="s">
        <v>196</v>
      </c>
      <c r="KVS47" s="3" t="s">
        <v>180</v>
      </c>
      <c r="KVT47" s="3" t="s">
        <v>26</v>
      </c>
      <c r="KVU47" s="3" t="s">
        <v>197</v>
      </c>
      <c r="KVX47" s="3" t="s">
        <v>198</v>
      </c>
      <c r="KVY47" s="2" t="s">
        <v>195</v>
      </c>
      <c r="KVZ47" s="3" t="s">
        <v>196</v>
      </c>
      <c r="KWA47" s="3" t="s">
        <v>180</v>
      </c>
      <c r="KWB47" s="3" t="s">
        <v>26</v>
      </c>
      <c r="KWC47" s="3" t="s">
        <v>197</v>
      </c>
      <c r="KWF47" s="3" t="s">
        <v>198</v>
      </c>
      <c r="KWG47" s="2" t="s">
        <v>195</v>
      </c>
      <c r="KWH47" s="3" t="s">
        <v>196</v>
      </c>
      <c r="KWI47" s="3" t="s">
        <v>180</v>
      </c>
      <c r="KWJ47" s="3" t="s">
        <v>26</v>
      </c>
      <c r="KWK47" s="3" t="s">
        <v>197</v>
      </c>
      <c r="KWN47" s="3" t="s">
        <v>198</v>
      </c>
      <c r="KWO47" s="2" t="s">
        <v>195</v>
      </c>
      <c r="KWP47" s="3" t="s">
        <v>196</v>
      </c>
      <c r="KWQ47" s="3" t="s">
        <v>180</v>
      </c>
      <c r="KWR47" s="3" t="s">
        <v>26</v>
      </c>
      <c r="KWS47" s="3" t="s">
        <v>197</v>
      </c>
      <c r="KWV47" s="3" t="s">
        <v>198</v>
      </c>
      <c r="KWW47" s="2" t="s">
        <v>195</v>
      </c>
      <c r="KWX47" s="3" t="s">
        <v>196</v>
      </c>
      <c r="KWY47" s="3" t="s">
        <v>180</v>
      </c>
      <c r="KWZ47" s="3" t="s">
        <v>26</v>
      </c>
      <c r="KXA47" s="3" t="s">
        <v>197</v>
      </c>
      <c r="KXD47" s="3" t="s">
        <v>198</v>
      </c>
      <c r="KXE47" s="2" t="s">
        <v>195</v>
      </c>
      <c r="KXF47" s="3" t="s">
        <v>196</v>
      </c>
      <c r="KXG47" s="3" t="s">
        <v>180</v>
      </c>
      <c r="KXH47" s="3" t="s">
        <v>26</v>
      </c>
      <c r="KXI47" s="3" t="s">
        <v>197</v>
      </c>
      <c r="KXL47" s="3" t="s">
        <v>198</v>
      </c>
      <c r="KXM47" s="2" t="s">
        <v>195</v>
      </c>
      <c r="KXN47" s="3" t="s">
        <v>196</v>
      </c>
      <c r="KXO47" s="3" t="s">
        <v>180</v>
      </c>
      <c r="KXP47" s="3" t="s">
        <v>26</v>
      </c>
      <c r="KXQ47" s="3" t="s">
        <v>197</v>
      </c>
      <c r="KXT47" s="3" t="s">
        <v>198</v>
      </c>
      <c r="KXU47" s="2" t="s">
        <v>195</v>
      </c>
      <c r="KXV47" s="3" t="s">
        <v>196</v>
      </c>
      <c r="KXW47" s="3" t="s">
        <v>180</v>
      </c>
      <c r="KXX47" s="3" t="s">
        <v>26</v>
      </c>
      <c r="KXY47" s="3" t="s">
        <v>197</v>
      </c>
      <c r="KYB47" s="3" t="s">
        <v>198</v>
      </c>
      <c r="KYC47" s="2" t="s">
        <v>195</v>
      </c>
      <c r="KYD47" s="3" t="s">
        <v>196</v>
      </c>
      <c r="KYE47" s="3" t="s">
        <v>180</v>
      </c>
      <c r="KYF47" s="3" t="s">
        <v>26</v>
      </c>
      <c r="KYG47" s="3" t="s">
        <v>197</v>
      </c>
      <c r="KYJ47" s="3" t="s">
        <v>198</v>
      </c>
      <c r="KYK47" s="2" t="s">
        <v>195</v>
      </c>
      <c r="KYL47" s="3" t="s">
        <v>196</v>
      </c>
      <c r="KYM47" s="3" t="s">
        <v>180</v>
      </c>
      <c r="KYN47" s="3" t="s">
        <v>26</v>
      </c>
      <c r="KYO47" s="3" t="s">
        <v>197</v>
      </c>
      <c r="KYR47" s="3" t="s">
        <v>198</v>
      </c>
      <c r="KYS47" s="2" t="s">
        <v>195</v>
      </c>
      <c r="KYT47" s="3" t="s">
        <v>196</v>
      </c>
      <c r="KYU47" s="3" t="s">
        <v>180</v>
      </c>
      <c r="KYV47" s="3" t="s">
        <v>26</v>
      </c>
      <c r="KYW47" s="3" t="s">
        <v>197</v>
      </c>
      <c r="KYZ47" s="3" t="s">
        <v>198</v>
      </c>
      <c r="KZA47" s="2" t="s">
        <v>195</v>
      </c>
      <c r="KZB47" s="3" t="s">
        <v>196</v>
      </c>
      <c r="KZC47" s="3" t="s">
        <v>180</v>
      </c>
      <c r="KZD47" s="3" t="s">
        <v>26</v>
      </c>
      <c r="KZE47" s="3" t="s">
        <v>197</v>
      </c>
      <c r="KZH47" s="3" t="s">
        <v>198</v>
      </c>
      <c r="KZI47" s="2" t="s">
        <v>195</v>
      </c>
      <c r="KZJ47" s="3" t="s">
        <v>196</v>
      </c>
      <c r="KZK47" s="3" t="s">
        <v>180</v>
      </c>
      <c r="KZL47" s="3" t="s">
        <v>26</v>
      </c>
      <c r="KZM47" s="3" t="s">
        <v>197</v>
      </c>
      <c r="KZP47" s="3" t="s">
        <v>198</v>
      </c>
      <c r="KZQ47" s="2" t="s">
        <v>195</v>
      </c>
      <c r="KZR47" s="3" t="s">
        <v>196</v>
      </c>
      <c r="KZS47" s="3" t="s">
        <v>180</v>
      </c>
      <c r="KZT47" s="3" t="s">
        <v>26</v>
      </c>
      <c r="KZU47" s="3" t="s">
        <v>197</v>
      </c>
      <c r="KZX47" s="3" t="s">
        <v>198</v>
      </c>
      <c r="KZY47" s="2" t="s">
        <v>195</v>
      </c>
      <c r="KZZ47" s="3" t="s">
        <v>196</v>
      </c>
      <c r="LAA47" s="3" t="s">
        <v>180</v>
      </c>
      <c r="LAB47" s="3" t="s">
        <v>26</v>
      </c>
      <c r="LAC47" s="3" t="s">
        <v>197</v>
      </c>
      <c r="LAF47" s="3" t="s">
        <v>198</v>
      </c>
      <c r="LAG47" s="2" t="s">
        <v>195</v>
      </c>
      <c r="LAH47" s="3" t="s">
        <v>196</v>
      </c>
      <c r="LAI47" s="3" t="s">
        <v>180</v>
      </c>
      <c r="LAJ47" s="3" t="s">
        <v>26</v>
      </c>
      <c r="LAK47" s="3" t="s">
        <v>197</v>
      </c>
      <c r="LAN47" s="3" t="s">
        <v>198</v>
      </c>
      <c r="LAO47" s="2" t="s">
        <v>195</v>
      </c>
      <c r="LAP47" s="3" t="s">
        <v>196</v>
      </c>
      <c r="LAQ47" s="3" t="s">
        <v>180</v>
      </c>
      <c r="LAR47" s="3" t="s">
        <v>26</v>
      </c>
      <c r="LAS47" s="3" t="s">
        <v>197</v>
      </c>
      <c r="LAV47" s="3" t="s">
        <v>198</v>
      </c>
      <c r="LAW47" s="2" t="s">
        <v>195</v>
      </c>
      <c r="LAX47" s="3" t="s">
        <v>196</v>
      </c>
      <c r="LAY47" s="3" t="s">
        <v>180</v>
      </c>
      <c r="LAZ47" s="3" t="s">
        <v>26</v>
      </c>
      <c r="LBA47" s="3" t="s">
        <v>197</v>
      </c>
      <c r="LBD47" s="3" t="s">
        <v>198</v>
      </c>
      <c r="LBE47" s="2" t="s">
        <v>195</v>
      </c>
      <c r="LBF47" s="3" t="s">
        <v>196</v>
      </c>
      <c r="LBG47" s="3" t="s">
        <v>180</v>
      </c>
      <c r="LBH47" s="3" t="s">
        <v>26</v>
      </c>
      <c r="LBI47" s="3" t="s">
        <v>197</v>
      </c>
      <c r="LBL47" s="3" t="s">
        <v>198</v>
      </c>
      <c r="LBM47" s="2" t="s">
        <v>195</v>
      </c>
      <c r="LBN47" s="3" t="s">
        <v>196</v>
      </c>
      <c r="LBO47" s="3" t="s">
        <v>180</v>
      </c>
      <c r="LBP47" s="3" t="s">
        <v>26</v>
      </c>
      <c r="LBQ47" s="3" t="s">
        <v>197</v>
      </c>
      <c r="LBT47" s="3" t="s">
        <v>198</v>
      </c>
      <c r="LBU47" s="2" t="s">
        <v>195</v>
      </c>
      <c r="LBV47" s="3" t="s">
        <v>196</v>
      </c>
      <c r="LBW47" s="3" t="s">
        <v>180</v>
      </c>
      <c r="LBX47" s="3" t="s">
        <v>26</v>
      </c>
      <c r="LBY47" s="3" t="s">
        <v>197</v>
      </c>
      <c r="LCB47" s="3" t="s">
        <v>198</v>
      </c>
      <c r="LCC47" s="2" t="s">
        <v>195</v>
      </c>
      <c r="LCD47" s="3" t="s">
        <v>196</v>
      </c>
      <c r="LCE47" s="3" t="s">
        <v>180</v>
      </c>
      <c r="LCF47" s="3" t="s">
        <v>26</v>
      </c>
      <c r="LCG47" s="3" t="s">
        <v>197</v>
      </c>
      <c r="LCJ47" s="3" t="s">
        <v>198</v>
      </c>
      <c r="LCK47" s="2" t="s">
        <v>195</v>
      </c>
      <c r="LCL47" s="3" t="s">
        <v>196</v>
      </c>
      <c r="LCM47" s="3" t="s">
        <v>180</v>
      </c>
      <c r="LCN47" s="3" t="s">
        <v>26</v>
      </c>
      <c r="LCO47" s="3" t="s">
        <v>197</v>
      </c>
      <c r="LCR47" s="3" t="s">
        <v>198</v>
      </c>
      <c r="LCS47" s="2" t="s">
        <v>195</v>
      </c>
      <c r="LCT47" s="3" t="s">
        <v>196</v>
      </c>
      <c r="LCU47" s="3" t="s">
        <v>180</v>
      </c>
      <c r="LCV47" s="3" t="s">
        <v>26</v>
      </c>
      <c r="LCW47" s="3" t="s">
        <v>197</v>
      </c>
      <c r="LCZ47" s="3" t="s">
        <v>198</v>
      </c>
      <c r="LDA47" s="2" t="s">
        <v>195</v>
      </c>
      <c r="LDB47" s="3" t="s">
        <v>196</v>
      </c>
      <c r="LDC47" s="3" t="s">
        <v>180</v>
      </c>
      <c r="LDD47" s="3" t="s">
        <v>26</v>
      </c>
      <c r="LDE47" s="3" t="s">
        <v>197</v>
      </c>
      <c r="LDH47" s="3" t="s">
        <v>198</v>
      </c>
      <c r="LDI47" s="2" t="s">
        <v>195</v>
      </c>
      <c r="LDJ47" s="3" t="s">
        <v>196</v>
      </c>
      <c r="LDK47" s="3" t="s">
        <v>180</v>
      </c>
      <c r="LDL47" s="3" t="s">
        <v>26</v>
      </c>
      <c r="LDM47" s="3" t="s">
        <v>197</v>
      </c>
      <c r="LDP47" s="3" t="s">
        <v>198</v>
      </c>
      <c r="LDQ47" s="2" t="s">
        <v>195</v>
      </c>
      <c r="LDR47" s="3" t="s">
        <v>196</v>
      </c>
      <c r="LDS47" s="3" t="s">
        <v>180</v>
      </c>
      <c r="LDT47" s="3" t="s">
        <v>26</v>
      </c>
      <c r="LDU47" s="3" t="s">
        <v>197</v>
      </c>
      <c r="LDX47" s="3" t="s">
        <v>198</v>
      </c>
      <c r="LDY47" s="2" t="s">
        <v>195</v>
      </c>
      <c r="LDZ47" s="3" t="s">
        <v>196</v>
      </c>
      <c r="LEA47" s="3" t="s">
        <v>180</v>
      </c>
      <c r="LEB47" s="3" t="s">
        <v>26</v>
      </c>
      <c r="LEC47" s="3" t="s">
        <v>197</v>
      </c>
      <c r="LEF47" s="3" t="s">
        <v>198</v>
      </c>
      <c r="LEG47" s="2" t="s">
        <v>195</v>
      </c>
      <c r="LEH47" s="3" t="s">
        <v>196</v>
      </c>
      <c r="LEI47" s="3" t="s">
        <v>180</v>
      </c>
      <c r="LEJ47" s="3" t="s">
        <v>26</v>
      </c>
      <c r="LEK47" s="3" t="s">
        <v>197</v>
      </c>
      <c r="LEN47" s="3" t="s">
        <v>198</v>
      </c>
      <c r="LEO47" s="2" t="s">
        <v>195</v>
      </c>
      <c r="LEP47" s="3" t="s">
        <v>196</v>
      </c>
      <c r="LEQ47" s="3" t="s">
        <v>180</v>
      </c>
      <c r="LER47" s="3" t="s">
        <v>26</v>
      </c>
      <c r="LES47" s="3" t="s">
        <v>197</v>
      </c>
      <c r="LEV47" s="3" t="s">
        <v>198</v>
      </c>
      <c r="LEW47" s="2" t="s">
        <v>195</v>
      </c>
      <c r="LEX47" s="3" t="s">
        <v>196</v>
      </c>
      <c r="LEY47" s="3" t="s">
        <v>180</v>
      </c>
      <c r="LEZ47" s="3" t="s">
        <v>26</v>
      </c>
      <c r="LFA47" s="3" t="s">
        <v>197</v>
      </c>
      <c r="LFD47" s="3" t="s">
        <v>198</v>
      </c>
      <c r="LFE47" s="2" t="s">
        <v>195</v>
      </c>
      <c r="LFF47" s="3" t="s">
        <v>196</v>
      </c>
      <c r="LFG47" s="3" t="s">
        <v>180</v>
      </c>
      <c r="LFH47" s="3" t="s">
        <v>26</v>
      </c>
      <c r="LFI47" s="3" t="s">
        <v>197</v>
      </c>
      <c r="LFL47" s="3" t="s">
        <v>198</v>
      </c>
      <c r="LFM47" s="2" t="s">
        <v>195</v>
      </c>
      <c r="LFN47" s="3" t="s">
        <v>196</v>
      </c>
      <c r="LFO47" s="3" t="s">
        <v>180</v>
      </c>
      <c r="LFP47" s="3" t="s">
        <v>26</v>
      </c>
      <c r="LFQ47" s="3" t="s">
        <v>197</v>
      </c>
      <c r="LFT47" s="3" t="s">
        <v>198</v>
      </c>
      <c r="LFU47" s="2" t="s">
        <v>195</v>
      </c>
      <c r="LFV47" s="3" t="s">
        <v>196</v>
      </c>
      <c r="LFW47" s="3" t="s">
        <v>180</v>
      </c>
      <c r="LFX47" s="3" t="s">
        <v>26</v>
      </c>
      <c r="LFY47" s="3" t="s">
        <v>197</v>
      </c>
      <c r="LGB47" s="3" t="s">
        <v>198</v>
      </c>
      <c r="LGC47" s="2" t="s">
        <v>195</v>
      </c>
      <c r="LGD47" s="3" t="s">
        <v>196</v>
      </c>
      <c r="LGE47" s="3" t="s">
        <v>180</v>
      </c>
      <c r="LGF47" s="3" t="s">
        <v>26</v>
      </c>
      <c r="LGG47" s="3" t="s">
        <v>197</v>
      </c>
      <c r="LGJ47" s="3" t="s">
        <v>198</v>
      </c>
      <c r="LGK47" s="2" t="s">
        <v>195</v>
      </c>
      <c r="LGL47" s="3" t="s">
        <v>196</v>
      </c>
      <c r="LGM47" s="3" t="s">
        <v>180</v>
      </c>
      <c r="LGN47" s="3" t="s">
        <v>26</v>
      </c>
      <c r="LGO47" s="3" t="s">
        <v>197</v>
      </c>
      <c r="LGR47" s="3" t="s">
        <v>198</v>
      </c>
      <c r="LGS47" s="2" t="s">
        <v>195</v>
      </c>
      <c r="LGT47" s="3" t="s">
        <v>196</v>
      </c>
      <c r="LGU47" s="3" t="s">
        <v>180</v>
      </c>
      <c r="LGV47" s="3" t="s">
        <v>26</v>
      </c>
      <c r="LGW47" s="3" t="s">
        <v>197</v>
      </c>
      <c r="LGZ47" s="3" t="s">
        <v>198</v>
      </c>
      <c r="LHA47" s="2" t="s">
        <v>195</v>
      </c>
      <c r="LHB47" s="3" t="s">
        <v>196</v>
      </c>
      <c r="LHC47" s="3" t="s">
        <v>180</v>
      </c>
      <c r="LHD47" s="3" t="s">
        <v>26</v>
      </c>
      <c r="LHE47" s="3" t="s">
        <v>197</v>
      </c>
      <c r="LHH47" s="3" t="s">
        <v>198</v>
      </c>
      <c r="LHI47" s="2" t="s">
        <v>195</v>
      </c>
      <c r="LHJ47" s="3" t="s">
        <v>196</v>
      </c>
      <c r="LHK47" s="3" t="s">
        <v>180</v>
      </c>
      <c r="LHL47" s="3" t="s">
        <v>26</v>
      </c>
      <c r="LHM47" s="3" t="s">
        <v>197</v>
      </c>
      <c r="LHP47" s="3" t="s">
        <v>198</v>
      </c>
      <c r="LHQ47" s="2" t="s">
        <v>195</v>
      </c>
      <c r="LHR47" s="3" t="s">
        <v>196</v>
      </c>
      <c r="LHS47" s="3" t="s">
        <v>180</v>
      </c>
      <c r="LHT47" s="3" t="s">
        <v>26</v>
      </c>
      <c r="LHU47" s="3" t="s">
        <v>197</v>
      </c>
      <c r="LHX47" s="3" t="s">
        <v>198</v>
      </c>
      <c r="LHY47" s="2" t="s">
        <v>195</v>
      </c>
      <c r="LHZ47" s="3" t="s">
        <v>196</v>
      </c>
      <c r="LIA47" s="3" t="s">
        <v>180</v>
      </c>
      <c r="LIB47" s="3" t="s">
        <v>26</v>
      </c>
      <c r="LIC47" s="3" t="s">
        <v>197</v>
      </c>
      <c r="LIF47" s="3" t="s">
        <v>198</v>
      </c>
      <c r="LIG47" s="2" t="s">
        <v>195</v>
      </c>
      <c r="LIH47" s="3" t="s">
        <v>196</v>
      </c>
      <c r="LII47" s="3" t="s">
        <v>180</v>
      </c>
      <c r="LIJ47" s="3" t="s">
        <v>26</v>
      </c>
      <c r="LIK47" s="3" t="s">
        <v>197</v>
      </c>
      <c r="LIN47" s="3" t="s">
        <v>198</v>
      </c>
      <c r="LIO47" s="2" t="s">
        <v>195</v>
      </c>
      <c r="LIP47" s="3" t="s">
        <v>196</v>
      </c>
      <c r="LIQ47" s="3" t="s">
        <v>180</v>
      </c>
      <c r="LIR47" s="3" t="s">
        <v>26</v>
      </c>
      <c r="LIS47" s="3" t="s">
        <v>197</v>
      </c>
      <c r="LIV47" s="3" t="s">
        <v>198</v>
      </c>
      <c r="LIW47" s="2" t="s">
        <v>195</v>
      </c>
      <c r="LIX47" s="3" t="s">
        <v>196</v>
      </c>
      <c r="LIY47" s="3" t="s">
        <v>180</v>
      </c>
      <c r="LIZ47" s="3" t="s">
        <v>26</v>
      </c>
      <c r="LJA47" s="3" t="s">
        <v>197</v>
      </c>
      <c r="LJD47" s="3" t="s">
        <v>198</v>
      </c>
      <c r="LJE47" s="2" t="s">
        <v>195</v>
      </c>
      <c r="LJF47" s="3" t="s">
        <v>196</v>
      </c>
      <c r="LJG47" s="3" t="s">
        <v>180</v>
      </c>
      <c r="LJH47" s="3" t="s">
        <v>26</v>
      </c>
      <c r="LJI47" s="3" t="s">
        <v>197</v>
      </c>
      <c r="LJL47" s="3" t="s">
        <v>198</v>
      </c>
      <c r="LJM47" s="2" t="s">
        <v>195</v>
      </c>
      <c r="LJN47" s="3" t="s">
        <v>196</v>
      </c>
      <c r="LJO47" s="3" t="s">
        <v>180</v>
      </c>
      <c r="LJP47" s="3" t="s">
        <v>26</v>
      </c>
      <c r="LJQ47" s="3" t="s">
        <v>197</v>
      </c>
      <c r="LJT47" s="3" t="s">
        <v>198</v>
      </c>
      <c r="LJU47" s="2" t="s">
        <v>195</v>
      </c>
      <c r="LJV47" s="3" t="s">
        <v>196</v>
      </c>
      <c r="LJW47" s="3" t="s">
        <v>180</v>
      </c>
      <c r="LJX47" s="3" t="s">
        <v>26</v>
      </c>
      <c r="LJY47" s="3" t="s">
        <v>197</v>
      </c>
      <c r="LKB47" s="3" t="s">
        <v>198</v>
      </c>
      <c r="LKC47" s="2" t="s">
        <v>195</v>
      </c>
      <c r="LKD47" s="3" t="s">
        <v>196</v>
      </c>
      <c r="LKE47" s="3" t="s">
        <v>180</v>
      </c>
      <c r="LKF47" s="3" t="s">
        <v>26</v>
      </c>
      <c r="LKG47" s="3" t="s">
        <v>197</v>
      </c>
      <c r="LKJ47" s="3" t="s">
        <v>198</v>
      </c>
      <c r="LKK47" s="2" t="s">
        <v>195</v>
      </c>
      <c r="LKL47" s="3" t="s">
        <v>196</v>
      </c>
      <c r="LKM47" s="3" t="s">
        <v>180</v>
      </c>
      <c r="LKN47" s="3" t="s">
        <v>26</v>
      </c>
      <c r="LKO47" s="3" t="s">
        <v>197</v>
      </c>
      <c r="LKR47" s="3" t="s">
        <v>198</v>
      </c>
      <c r="LKS47" s="2" t="s">
        <v>195</v>
      </c>
      <c r="LKT47" s="3" t="s">
        <v>196</v>
      </c>
      <c r="LKU47" s="3" t="s">
        <v>180</v>
      </c>
      <c r="LKV47" s="3" t="s">
        <v>26</v>
      </c>
      <c r="LKW47" s="3" t="s">
        <v>197</v>
      </c>
      <c r="LKZ47" s="3" t="s">
        <v>198</v>
      </c>
      <c r="LLA47" s="2" t="s">
        <v>195</v>
      </c>
      <c r="LLB47" s="3" t="s">
        <v>196</v>
      </c>
      <c r="LLC47" s="3" t="s">
        <v>180</v>
      </c>
      <c r="LLD47" s="3" t="s">
        <v>26</v>
      </c>
      <c r="LLE47" s="3" t="s">
        <v>197</v>
      </c>
      <c r="LLH47" s="3" t="s">
        <v>198</v>
      </c>
      <c r="LLI47" s="2" t="s">
        <v>195</v>
      </c>
      <c r="LLJ47" s="3" t="s">
        <v>196</v>
      </c>
      <c r="LLK47" s="3" t="s">
        <v>180</v>
      </c>
      <c r="LLL47" s="3" t="s">
        <v>26</v>
      </c>
      <c r="LLM47" s="3" t="s">
        <v>197</v>
      </c>
      <c r="LLP47" s="3" t="s">
        <v>198</v>
      </c>
      <c r="LLQ47" s="2" t="s">
        <v>195</v>
      </c>
      <c r="LLR47" s="3" t="s">
        <v>196</v>
      </c>
      <c r="LLS47" s="3" t="s">
        <v>180</v>
      </c>
      <c r="LLT47" s="3" t="s">
        <v>26</v>
      </c>
      <c r="LLU47" s="3" t="s">
        <v>197</v>
      </c>
      <c r="LLX47" s="3" t="s">
        <v>198</v>
      </c>
      <c r="LLY47" s="2" t="s">
        <v>195</v>
      </c>
      <c r="LLZ47" s="3" t="s">
        <v>196</v>
      </c>
      <c r="LMA47" s="3" t="s">
        <v>180</v>
      </c>
      <c r="LMB47" s="3" t="s">
        <v>26</v>
      </c>
      <c r="LMC47" s="3" t="s">
        <v>197</v>
      </c>
      <c r="LMF47" s="3" t="s">
        <v>198</v>
      </c>
      <c r="LMG47" s="2" t="s">
        <v>195</v>
      </c>
      <c r="LMH47" s="3" t="s">
        <v>196</v>
      </c>
      <c r="LMI47" s="3" t="s">
        <v>180</v>
      </c>
      <c r="LMJ47" s="3" t="s">
        <v>26</v>
      </c>
      <c r="LMK47" s="3" t="s">
        <v>197</v>
      </c>
      <c r="LMN47" s="3" t="s">
        <v>198</v>
      </c>
      <c r="LMO47" s="2" t="s">
        <v>195</v>
      </c>
      <c r="LMP47" s="3" t="s">
        <v>196</v>
      </c>
      <c r="LMQ47" s="3" t="s">
        <v>180</v>
      </c>
      <c r="LMR47" s="3" t="s">
        <v>26</v>
      </c>
      <c r="LMS47" s="3" t="s">
        <v>197</v>
      </c>
      <c r="LMV47" s="3" t="s">
        <v>198</v>
      </c>
      <c r="LMW47" s="2" t="s">
        <v>195</v>
      </c>
      <c r="LMX47" s="3" t="s">
        <v>196</v>
      </c>
      <c r="LMY47" s="3" t="s">
        <v>180</v>
      </c>
      <c r="LMZ47" s="3" t="s">
        <v>26</v>
      </c>
      <c r="LNA47" s="3" t="s">
        <v>197</v>
      </c>
      <c r="LND47" s="3" t="s">
        <v>198</v>
      </c>
      <c r="LNE47" s="2" t="s">
        <v>195</v>
      </c>
      <c r="LNF47" s="3" t="s">
        <v>196</v>
      </c>
      <c r="LNG47" s="3" t="s">
        <v>180</v>
      </c>
      <c r="LNH47" s="3" t="s">
        <v>26</v>
      </c>
      <c r="LNI47" s="3" t="s">
        <v>197</v>
      </c>
      <c r="LNL47" s="3" t="s">
        <v>198</v>
      </c>
      <c r="LNM47" s="2" t="s">
        <v>195</v>
      </c>
      <c r="LNN47" s="3" t="s">
        <v>196</v>
      </c>
      <c r="LNO47" s="3" t="s">
        <v>180</v>
      </c>
      <c r="LNP47" s="3" t="s">
        <v>26</v>
      </c>
      <c r="LNQ47" s="3" t="s">
        <v>197</v>
      </c>
      <c r="LNT47" s="3" t="s">
        <v>198</v>
      </c>
      <c r="LNU47" s="2" t="s">
        <v>195</v>
      </c>
      <c r="LNV47" s="3" t="s">
        <v>196</v>
      </c>
      <c r="LNW47" s="3" t="s">
        <v>180</v>
      </c>
      <c r="LNX47" s="3" t="s">
        <v>26</v>
      </c>
      <c r="LNY47" s="3" t="s">
        <v>197</v>
      </c>
      <c r="LOB47" s="3" t="s">
        <v>198</v>
      </c>
      <c r="LOC47" s="2" t="s">
        <v>195</v>
      </c>
      <c r="LOD47" s="3" t="s">
        <v>196</v>
      </c>
      <c r="LOE47" s="3" t="s">
        <v>180</v>
      </c>
      <c r="LOF47" s="3" t="s">
        <v>26</v>
      </c>
      <c r="LOG47" s="3" t="s">
        <v>197</v>
      </c>
      <c r="LOJ47" s="3" t="s">
        <v>198</v>
      </c>
      <c r="LOK47" s="2" t="s">
        <v>195</v>
      </c>
      <c r="LOL47" s="3" t="s">
        <v>196</v>
      </c>
      <c r="LOM47" s="3" t="s">
        <v>180</v>
      </c>
      <c r="LON47" s="3" t="s">
        <v>26</v>
      </c>
      <c r="LOO47" s="3" t="s">
        <v>197</v>
      </c>
      <c r="LOR47" s="3" t="s">
        <v>198</v>
      </c>
      <c r="LOS47" s="2" t="s">
        <v>195</v>
      </c>
      <c r="LOT47" s="3" t="s">
        <v>196</v>
      </c>
      <c r="LOU47" s="3" t="s">
        <v>180</v>
      </c>
      <c r="LOV47" s="3" t="s">
        <v>26</v>
      </c>
      <c r="LOW47" s="3" t="s">
        <v>197</v>
      </c>
      <c r="LOZ47" s="3" t="s">
        <v>198</v>
      </c>
      <c r="LPA47" s="2" t="s">
        <v>195</v>
      </c>
      <c r="LPB47" s="3" t="s">
        <v>196</v>
      </c>
      <c r="LPC47" s="3" t="s">
        <v>180</v>
      </c>
      <c r="LPD47" s="3" t="s">
        <v>26</v>
      </c>
      <c r="LPE47" s="3" t="s">
        <v>197</v>
      </c>
      <c r="LPH47" s="3" t="s">
        <v>198</v>
      </c>
      <c r="LPI47" s="2" t="s">
        <v>195</v>
      </c>
      <c r="LPJ47" s="3" t="s">
        <v>196</v>
      </c>
      <c r="LPK47" s="3" t="s">
        <v>180</v>
      </c>
      <c r="LPL47" s="3" t="s">
        <v>26</v>
      </c>
      <c r="LPM47" s="3" t="s">
        <v>197</v>
      </c>
      <c r="LPP47" s="3" t="s">
        <v>198</v>
      </c>
      <c r="LPQ47" s="2" t="s">
        <v>195</v>
      </c>
      <c r="LPR47" s="3" t="s">
        <v>196</v>
      </c>
      <c r="LPS47" s="3" t="s">
        <v>180</v>
      </c>
      <c r="LPT47" s="3" t="s">
        <v>26</v>
      </c>
      <c r="LPU47" s="3" t="s">
        <v>197</v>
      </c>
      <c r="LPX47" s="3" t="s">
        <v>198</v>
      </c>
      <c r="LPY47" s="2" t="s">
        <v>195</v>
      </c>
      <c r="LPZ47" s="3" t="s">
        <v>196</v>
      </c>
      <c r="LQA47" s="3" t="s">
        <v>180</v>
      </c>
      <c r="LQB47" s="3" t="s">
        <v>26</v>
      </c>
      <c r="LQC47" s="3" t="s">
        <v>197</v>
      </c>
      <c r="LQF47" s="3" t="s">
        <v>198</v>
      </c>
      <c r="LQG47" s="2" t="s">
        <v>195</v>
      </c>
      <c r="LQH47" s="3" t="s">
        <v>196</v>
      </c>
      <c r="LQI47" s="3" t="s">
        <v>180</v>
      </c>
      <c r="LQJ47" s="3" t="s">
        <v>26</v>
      </c>
      <c r="LQK47" s="3" t="s">
        <v>197</v>
      </c>
      <c r="LQN47" s="3" t="s">
        <v>198</v>
      </c>
      <c r="LQO47" s="2" t="s">
        <v>195</v>
      </c>
      <c r="LQP47" s="3" t="s">
        <v>196</v>
      </c>
      <c r="LQQ47" s="3" t="s">
        <v>180</v>
      </c>
      <c r="LQR47" s="3" t="s">
        <v>26</v>
      </c>
      <c r="LQS47" s="3" t="s">
        <v>197</v>
      </c>
      <c r="LQV47" s="3" t="s">
        <v>198</v>
      </c>
      <c r="LQW47" s="2" t="s">
        <v>195</v>
      </c>
      <c r="LQX47" s="3" t="s">
        <v>196</v>
      </c>
      <c r="LQY47" s="3" t="s">
        <v>180</v>
      </c>
      <c r="LQZ47" s="3" t="s">
        <v>26</v>
      </c>
      <c r="LRA47" s="3" t="s">
        <v>197</v>
      </c>
      <c r="LRD47" s="3" t="s">
        <v>198</v>
      </c>
      <c r="LRE47" s="2" t="s">
        <v>195</v>
      </c>
      <c r="LRF47" s="3" t="s">
        <v>196</v>
      </c>
      <c r="LRG47" s="3" t="s">
        <v>180</v>
      </c>
      <c r="LRH47" s="3" t="s">
        <v>26</v>
      </c>
      <c r="LRI47" s="3" t="s">
        <v>197</v>
      </c>
      <c r="LRL47" s="3" t="s">
        <v>198</v>
      </c>
      <c r="LRM47" s="2" t="s">
        <v>195</v>
      </c>
      <c r="LRN47" s="3" t="s">
        <v>196</v>
      </c>
      <c r="LRO47" s="3" t="s">
        <v>180</v>
      </c>
      <c r="LRP47" s="3" t="s">
        <v>26</v>
      </c>
      <c r="LRQ47" s="3" t="s">
        <v>197</v>
      </c>
      <c r="LRT47" s="3" t="s">
        <v>198</v>
      </c>
      <c r="LRU47" s="2" t="s">
        <v>195</v>
      </c>
      <c r="LRV47" s="3" t="s">
        <v>196</v>
      </c>
      <c r="LRW47" s="3" t="s">
        <v>180</v>
      </c>
      <c r="LRX47" s="3" t="s">
        <v>26</v>
      </c>
      <c r="LRY47" s="3" t="s">
        <v>197</v>
      </c>
      <c r="LSB47" s="3" t="s">
        <v>198</v>
      </c>
      <c r="LSC47" s="2" t="s">
        <v>195</v>
      </c>
      <c r="LSD47" s="3" t="s">
        <v>196</v>
      </c>
      <c r="LSE47" s="3" t="s">
        <v>180</v>
      </c>
      <c r="LSF47" s="3" t="s">
        <v>26</v>
      </c>
      <c r="LSG47" s="3" t="s">
        <v>197</v>
      </c>
      <c r="LSJ47" s="3" t="s">
        <v>198</v>
      </c>
      <c r="LSK47" s="2" t="s">
        <v>195</v>
      </c>
      <c r="LSL47" s="3" t="s">
        <v>196</v>
      </c>
      <c r="LSM47" s="3" t="s">
        <v>180</v>
      </c>
      <c r="LSN47" s="3" t="s">
        <v>26</v>
      </c>
      <c r="LSO47" s="3" t="s">
        <v>197</v>
      </c>
      <c r="LSR47" s="3" t="s">
        <v>198</v>
      </c>
      <c r="LSS47" s="2" t="s">
        <v>195</v>
      </c>
      <c r="LST47" s="3" t="s">
        <v>196</v>
      </c>
      <c r="LSU47" s="3" t="s">
        <v>180</v>
      </c>
      <c r="LSV47" s="3" t="s">
        <v>26</v>
      </c>
      <c r="LSW47" s="3" t="s">
        <v>197</v>
      </c>
      <c r="LSZ47" s="3" t="s">
        <v>198</v>
      </c>
      <c r="LTA47" s="2" t="s">
        <v>195</v>
      </c>
      <c r="LTB47" s="3" t="s">
        <v>196</v>
      </c>
      <c r="LTC47" s="3" t="s">
        <v>180</v>
      </c>
      <c r="LTD47" s="3" t="s">
        <v>26</v>
      </c>
      <c r="LTE47" s="3" t="s">
        <v>197</v>
      </c>
      <c r="LTH47" s="3" t="s">
        <v>198</v>
      </c>
      <c r="LTI47" s="2" t="s">
        <v>195</v>
      </c>
      <c r="LTJ47" s="3" t="s">
        <v>196</v>
      </c>
      <c r="LTK47" s="3" t="s">
        <v>180</v>
      </c>
      <c r="LTL47" s="3" t="s">
        <v>26</v>
      </c>
      <c r="LTM47" s="3" t="s">
        <v>197</v>
      </c>
      <c r="LTP47" s="3" t="s">
        <v>198</v>
      </c>
      <c r="LTQ47" s="2" t="s">
        <v>195</v>
      </c>
      <c r="LTR47" s="3" t="s">
        <v>196</v>
      </c>
      <c r="LTS47" s="3" t="s">
        <v>180</v>
      </c>
      <c r="LTT47" s="3" t="s">
        <v>26</v>
      </c>
      <c r="LTU47" s="3" t="s">
        <v>197</v>
      </c>
      <c r="LTX47" s="3" t="s">
        <v>198</v>
      </c>
      <c r="LTY47" s="2" t="s">
        <v>195</v>
      </c>
      <c r="LTZ47" s="3" t="s">
        <v>196</v>
      </c>
      <c r="LUA47" s="3" t="s">
        <v>180</v>
      </c>
      <c r="LUB47" s="3" t="s">
        <v>26</v>
      </c>
      <c r="LUC47" s="3" t="s">
        <v>197</v>
      </c>
      <c r="LUF47" s="3" t="s">
        <v>198</v>
      </c>
      <c r="LUG47" s="2" t="s">
        <v>195</v>
      </c>
      <c r="LUH47" s="3" t="s">
        <v>196</v>
      </c>
      <c r="LUI47" s="3" t="s">
        <v>180</v>
      </c>
      <c r="LUJ47" s="3" t="s">
        <v>26</v>
      </c>
      <c r="LUK47" s="3" t="s">
        <v>197</v>
      </c>
      <c r="LUN47" s="3" t="s">
        <v>198</v>
      </c>
      <c r="LUO47" s="2" t="s">
        <v>195</v>
      </c>
      <c r="LUP47" s="3" t="s">
        <v>196</v>
      </c>
      <c r="LUQ47" s="3" t="s">
        <v>180</v>
      </c>
      <c r="LUR47" s="3" t="s">
        <v>26</v>
      </c>
      <c r="LUS47" s="3" t="s">
        <v>197</v>
      </c>
      <c r="LUV47" s="3" t="s">
        <v>198</v>
      </c>
      <c r="LUW47" s="2" t="s">
        <v>195</v>
      </c>
      <c r="LUX47" s="3" t="s">
        <v>196</v>
      </c>
      <c r="LUY47" s="3" t="s">
        <v>180</v>
      </c>
      <c r="LUZ47" s="3" t="s">
        <v>26</v>
      </c>
      <c r="LVA47" s="3" t="s">
        <v>197</v>
      </c>
      <c r="LVD47" s="3" t="s">
        <v>198</v>
      </c>
      <c r="LVE47" s="2" t="s">
        <v>195</v>
      </c>
      <c r="LVF47" s="3" t="s">
        <v>196</v>
      </c>
      <c r="LVG47" s="3" t="s">
        <v>180</v>
      </c>
      <c r="LVH47" s="3" t="s">
        <v>26</v>
      </c>
      <c r="LVI47" s="3" t="s">
        <v>197</v>
      </c>
      <c r="LVL47" s="3" t="s">
        <v>198</v>
      </c>
      <c r="LVM47" s="2" t="s">
        <v>195</v>
      </c>
      <c r="LVN47" s="3" t="s">
        <v>196</v>
      </c>
      <c r="LVO47" s="3" t="s">
        <v>180</v>
      </c>
      <c r="LVP47" s="3" t="s">
        <v>26</v>
      </c>
      <c r="LVQ47" s="3" t="s">
        <v>197</v>
      </c>
      <c r="LVT47" s="3" t="s">
        <v>198</v>
      </c>
      <c r="LVU47" s="2" t="s">
        <v>195</v>
      </c>
      <c r="LVV47" s="3" t="s">
        <v>196</v>
      </c>
      <c r="LVW47" s="3" t="s">
        <v>180</v>
      </c>
      <c r="LVX47" s="3" t="s">
        <v>26</v>
      </c>
      <c r="LVY47" s="3" t="s">
        <v>197</v>
      </c>
      <c r="LWB47" s="3" t="s">
        <v>198</v>
      </c>
      <c r="LWC47" s="2" t="s">
        <v>195</v>
      </c>
      <c r="LWD47" s="3" t="s">
        <v>196</v>
      </c>
      <c r="LWE47" s="3" t="s">
        <v>180</v>
      </c>
      <c r="LWF47" s="3" t="s">
        <v>26</v>
      </c>
      <c r="LWG47" s="3" t="s">
        <v>197</v>
      </c>
      <c r="LWJ47" s="3" t="s">
        <v>198</v>
      </c>
      <c r="LWK47" s="2" t="s">
        <v>195</v>
      </c>
      <c r="LWL47" s="3" t="s">
        <v>196</v>
      </c>
      <c r="LWM47" s="3" t="s">
        <v>180</v>
      </c>
      <c r="LWN47" s="3" t="s">
        <v>26</v>
      </c>
      <c r="LWO47" s="3" t="s">
        <v>197</v>
      </c>
      <c r="LWR47" s="3" t="s">
        <v>198</v>
      </c>
      <c r="LWS47" s="2" t="s">
        <v>195</v>
      </c>
      <c r="LWT47" s="3" t="s">
        <v>196</v>
      </c>
      <c r="LWU47" s="3" t="s">
        <v>180</v>
      </c>
      <c r="LWV47" s="3" t="s">
        <v>26</v>
      </c>
      <c r="LWW47" s="3" t="s">
        <v>197</v>
      </c>
      <c r="LWZ47" s="3" t="s">
        <v>198</v>
      </c>
      <c r="LXA47" s="2" t="s">
        <v>195</v>
      </c>
      <c r="LXB47" s="3" t="s">
        <v>196</v>
      </c>
      <c r="LXC47" s="3" t="s">
        <v>180</v>
      </c>
      <c r="LXD47" s="3" t="s">
        <v>26</v>
      </c>
      <c r="LXE47" s="3" t="s">
        <v>197</v>
      </c>
      <c r="LXH47" s="3" t="s">
        <v>198</v>
      </c>
      <c r="LXI47" s="2" t="s">
        <v>195</v>
      </c>
      <c r="LXJ47" s="3" t="s">
        <v>196</v>
      </c>
      <c r="LXK47" s="3" t="s">
        <v>180</v>
      </c>
      <c r="LXL47" s="3" t="s">
        <v>26</v>
      </c>
      <c r="LXM47" s="3" t="s">
        <v>197</v>
      </c>
      <c r="LXP47" s="3" t="s">
        <v>198</v>
      </c>
      <c r="LXQ47" s="2" t="s">
        <v>195</v>
      </c>
      <c r="LXR47" s="3" t="s">
        <v>196</v>
      </c>
      <c r="LXS47" s="3" t="s">
        <v>180</v>
      </c>
      <c r="LXT47" s="3" t="s">
        <v>26</v>
      </c>
      <c r="LXU47" s="3" t="s">
        <v>197</v>
      </c>
      <c r="LXX47" s="3" t="s">
        <v>198</v>
      </c>
      <c r="LXY47" s="2" t="s">
        <v>195</v>
      </c>
      <c r="LXZ47" s="3" t="s">
        <v>196</v>
      </c>
      <c r="LYA47" s="3" t="s">
        <v>180</v>
      </c>
      <c r="LYB47" s="3" t="s">
        <v>26</v>
      </c>
      <c r="LYC47" s="3" t="s">
        <v>197</v>
      </c>
      <c r="LYF47" s="3" t="s">
        <v>198</v>
      </c>
      <c r="LYG47" s="2" t="s">
        <v>195</v>
      </c>
      <c r="LYH47" s="3" t="s">
        <v>196</v>
      </c>
      <c r="LYI47" s="3" t="s">
        <v>180</v>
      </c>
      <c r="LYJ47" s="3" t="s">
        <v>26</v>
      </c>
      <c r="LYK47" s="3" t="s">
        <v>197</v>
      </c>
      <c r="LYN47" s="3" t="s">
        <v>198</v>
      </c>
      <c r="LYO47" s="2" t="s">
        <v>195</v>
      </c>
      <c r="LYP47" s="3" t="s">
        <v>196</v>
      </c>
      <c r="LYQ47" s="3" t="s">
        <v>180</v>
      </c>
      <c r="LYR47" s="3" t="s">
        <v>26</v>
      </c>
      <c r="LYS47" s="3" t="s">
        <v>197</v>
      </c>
      <c r="LYV47" s="3" t="s">
        <v>198</v>
      </c>
      <c r="LYW47" s="2" t="s">
        <v>195</v>
      </c>
      <c r="LYX47" s="3" t="s">
        <v>196</v>
      </c>
      <c r="LYY47" s="3" t="s">
        <v>180</v>
      </c>
      <c r="LYZ47" s="3" t="s">
        <v>26</v>
      </c>
      <c r="LZA47" s="3" t="s">
        <v>197</v>
      </c>
      <c r="LZD47" s="3" t="s">
        <v>198</v>
      </c>
      <c r="LZE47" s="2" t="s">
        <v>195</v>
      </c>
      <c r="LZF47" s="3" t="s">
        <v>196</v>
      </c>
      <c r="LZG47" s="3" t="s">
        <v>180</v>
      </c>
      <c r="LZH47" s="3" t="s">
        <v>26</v>
      </c>
      <c r="LZI47" s="3" t="s">
        <v>197</v>
      </c>
      <c r="LZL47" s="3" t="s">
        <v>198</v>
      </c>
      <c r="LZM47" s="2" t="s">
        <v>195</v>
      </c>
      <c r="LZN47" s="3" t="s">
        <v>196</v>
      </c>
      <c r="LZO47" s="3" t="s">
        <v>180</v>
      </c>
      <c r="LZP47" s="3" t="s">
        <v>26</v>
      </c>
      <c r="LZQ47" s="3" t="s">
        <v>197</v>
      </c>
      <c r="LZT47" s="3" t="s">
        <v>198</v>
      </c>
      <c r="LZU47" s="2" t="s">
        <v>195</v>
      </c>
      <c r="LZV47" s="3" t="s">
        <v>196</v>
      </c>
      <c r="LZW47" s="3" t="s">
        <v>180</v>
      </c>
      <c r="LZX47" s="3" t="s">
        <v>26</v>
      </c>
      <c r="LZY47" s="3" t="s">
        <v>197</v>
      </c>
      <c r="MAB47" s="3" t="s">
        <v>198</v>
      </c>
      <c r="MAC47" s="2" t="s">
        <v>195</v>
      </c>
      <c r="MAD47" s="3" t="s">
        <v>196</v>
      </c>
      <c r="MAE47" s="3" t="s">
        <v>180</v>
      </c>
      <c r="MAF47" s="3" t="s">
        <v>26</v>
      </c>
      <c r="MAG47" s="3" t="s">
        <v>197</v>
      </c>
      <c r="MAJ47" s="3" t="s">
        <v>198</v>
      </c>
      <c r="MAK47" s="2" t="s">
        <v>195</v>
      </c>
      <c r="MAL47" s="3" t="s">
        <v>196</v>
      </c>
      <c r="MAM47" s="3" t="s">
        <v>180</v>
      </c>
      <c r="MAN47" s="3" t="s">
        <v>26</v>
      </c>
      <c r="MAO47" s="3" t="s">
        <v>197</v>
      </c>
      <c r="MAR47" s="3" t="s">
        <v>198</v>
      </c>
      <c r="MAS47" s="2" t="s">
        <v>195</v>
      </c>
      <c r="MAT47" s="3" t="s">
        <v>196</v>
      </c>
      <c r="MAU47" s="3" t="s">
        <v>180</v>
      </c>
      <c r="MAV47" s="3" t="s">
        <v>26</v>
      </c>
      <c r="MAW47" s="3" t="s">
        <v>197</v>
      </c>
      <c r="MAZ47" s="3" t="s">
        <v>198</v>
      </c>
      <c r="MBA47" s="2" t="s">
        <v>195</v>
      </c>
      <c r="MBB47" s="3" t="s">
        <v>196</v>
      </c>
      <c r="MBC47" s="3" t="s">
        <v>180</v>
      </c>
      <c r="MBD47" s="3" t="s">
        <v>26</v>
      </c>
      <c r="MBE47" s="3" t="s">
        <v>197</v>
      </c>
      <c r="MBH47" s="3" t="s">
        <v>198</v>
      </c>
      <c r="MBI47" s="2" t="s">
        <v>195</v>
      </c>
      <c r="MBJ47" s="3" t="s">
        <v>196</v>
      </c>
      <c r="MBK47" s="3" t="s">
        <v>180</v>
      </c>
      <c r="MBL47" s="3" t="s">
        <v>26</v>
      </c>
      <c r="MBM47" s="3" t="s">
        <v>197</v>
      </c>
      <c r="MBP47" s="3" t="s">
        <v>198</v>
      </c>
      <c r="MBQ47" s="2" t="s">
        <v>195</v>
      </c>
      <c r="MBR47" s="3" t="s">
        <v>196</v>
      </c>
      <c r="MBS47" s="3" t="s">
        <v>180</v>
      </c>
      <c r="MBT47" s="3" t="s">
        <v>26</v>
      </c>
      <c r="MBU47" s="3" t="s">
        <v>197</v>
      </c>
      <c r="MBX47" s="3" t="s">
        <v>198</v>
      </c>
      <c r="MBY47" s="2" t="s">
        <v>195</v>
      </c>
      <c r="MBZ47" s="3" t="s">
        <v>196</v>
      </c>
      <c r="MCA47" s="3" t="s">
        <v>180</v>
      </c>
      <c r="MCB47" s="3" t="s">
        <v>26</v>
      </c>
      <c r="MCC47" s="3" t="s">
        <v>197</v>
      </c>
      <c r="MCF47" s="3" t="s">
        <v>198</v>
      </c>
      <c r="MCG47" s="2" t="s">
        <v>195</v>
      </c>
      <c r="MCH47" s="3" t="s">
        <v>196</v>
      </c>
      <c r="MCI47" s="3" t="s">
        <v>180</v>
      </c>
      <c r="MCJ47" s="3" t="s">
        <v>26</v>
      </c>
      <c r="MCK47" s="3" t="s">
        <v>197</v>
      </c>
      <c r="MCN47" s="3" t="s">
        <v>198</v>
      </c>
      <c r="MCO47" s="2" t="s">
        <v>195</v>
      </c>
      <c r="MCP47" s="3" t="s">
        <v>196</v>
      </c>
      <c r="MCQ47" s="3" t="s">
        <v>180</v>
      </c>
      <c r="MCR47" s="3" t="s">
        <v>26</v>
      </c>
      <c r="MCS47" s="3" t="s">
        <v>197</v>
      </c>
      <c r="MCV47" s="3" t="s">
        <v>198</v>
      </c>
      <c r="MCW47" s="2" t="s">
        <v>195</v>
      </c>
      <c r="MCX47" s="3" t="s">
        <v>196</v>
      </c>
      <c r="MCY47" s="3" t="s">
        <v>180</v>
      </c>
      <c r="MCZ47" s="3" t="s">
        <v>26</v>
      </c>
      <c r="MDA47" s="3" t="s">
        <v>197</v>
      </c>
      <c r="MDD47" s="3" t="s">
        <v>198</v>
      </c>
      <c r="MDE47" s="2" t="s">
        <v>195</v>
      </c>
      <c r="MDF47" s="3" t="s">
        <v>196</v>
      </c>
      <c r="MDG47" s="3" t="s">
        <v>180</v>
      </c>
      <c r="MDH47" s="3" t="s">
        <v>26</v>
      </c>
      <c r="MDI47" s="3" t="s">
        <v>197</v>
      </c>
      <c r="MDL47" s="3" t="s">
        <v>198</v>
      </c>
      <c r="MDM47" s="2" t="s">
        <v>195</v>
      </c>
      <c r="MDN47" s="3" t="s">
        <v>196</v>
      </c>
      <c r="MDO47" s="3" t="s">
        <v>180</v>
      </c>
      <c r="MDP47" s="3" t="s">
        <v>26</v>
      </c>
      <c r="MDQ47" s="3" t="s">
        <v>197</v>
      </c>
      <c r="MDT47" s="3" t="s">
        <v>198</v>
      </c>
      <c r="MDU47" s="2" t="s">
        <v>195</v>
      </c>
      <c r="MDV47" s="3" t="s">
        <v>196</v>
      </c>
      <c r="MDW47" s="3" t="s">
        <v>180</v>
      </c>
      <c r="MDX47" s="3" t="s">
        <v>26</v>
      </c>
      <c r="MDY47" s="3" t="s">
        <v>197</v>
      </c>
      <c r="MEB47" s="3" t="s">
        <v>198</v>
      </c>
      <c r="MEC47" s="2" t="s">
        <v>195</v>
      </c>
      <c r="MED47" s="3" t="s">
        <v>196</v>
      </c>
      <c r="MEE47" s="3" t="s">
        <v>180</v>
      </c>
      <c r="MEF47" s="3" t="s">
        <v>26</v>
      </c>
      <c r="MEG47" s="3" t="s">
        <v>197</v>
      </c>
      <c r="MEJ47" s="3" t="s">
        <v>198</v>
      </c>
      <c r="MEK47" s="2" t="s">
        <v>195</v>
      </c>
      <c r="MEL47" s="3" t="s">
        <v>196</v>
      </c>
      <c r="MEM47" s="3" t="s">
        <v>180</v>
      </c>
      <c r="MEN47" s="3" t="s">
        <v>26</v>
      </c>
      <c r="MEO47" s="3" t="s">
        <v>197</v>
      </c>
      <c r="MER47" s="3" t="s">
        <v>198</v>
      </c>
      <c r="MES47" s="2" t="s">
        <v>195</v>
      </c>
      <c r="MET47" s="3" t="s">
        <v>196</v>
      </c>
      <c r="MEU47" s="3" t="s">
        <v>180</v>
      </c>
      <c r="MEV47" s="3" t="s">
        <v>26</v>
      </c>
      <c r="MEW47" s="3" t="s">
        <v>197</v>
      </c>
      <c r="MEZ47" s="3" t="s">
        <v>198</v>
      </c>
      <c r="MFA47" s="2" t="s">
        <v>195</v>
      </c>
      <c r="MFB47" s="3" t="s">
        <v>196</v>
      </c>
      <c r="MFC47" s="3" t="s">
        <v>180</v>
      </c>
      <c r="MFD47" s="3" t="s">
        <v>26</v>
      </c>
      <c r="MFE47" s="3" t="s">
        <v>197</v>
      </c>
      <c r="MFH47" s="3" t="s">
        <v>198</v>
      </c>
      <c r="MFI47" s="2" t="s">
        <v>195</v>
      </c>
      <c r="MFJ47" s="3" t="s">
        <v>196</v>
      </c>
      <c r="MFK47" s="3" t="s">
        <v>180</v>
      </c>
      <c r="MFL47" s="3" t="s">
        <v>26</v>
      </c>
      <c r="MFM47" s="3" t="s">
        <v>197</v>
      </c>
      <c r="MFP47" s="3" t="s">
        <v>198</v>
      </c>
      <c r="MFQ47" s="2" t="s">
        <v>195</v>
      </c>
      <c r="MFR47" s="3" t="s">
        <v>196</v>
      </c>
      <c r="MFS47" s="3" t="s">
        <v>180</v>
      </c>
      <c r="MFT47" s="3" t="s">
        <v>26</v>
      </c>
      <c r="MFU47" s="3" t="s">
        <v>197</v>
      </c>
      <c r="MFX47" s="3" t="s">
        <v>198</v>
      </c>
      <c r="MFY47" s="2" t="s">
        <v>195</v>
      </c>
      <c r="MFZ47" s="3" t="s">
        <v>196</v>
      </c>
      <c r="MGA47" s="3" t="s">
        <v>180</v>
      </c>
      <c r="MGB47" s="3" t="s">
        <v>26</v>
      </c>
      <c r="MGC47" s="3" t="s">
        <v>197</v>
      </c>
      <c r="MGF47" s="3" t="s">
        <v>198</v>
      </c>
      <c r="MGG47" s="2" t="s">
        <v>195</v>
      </c>
      <c r="MGH47" s="3" t="s">
        <v>196</v>
      </c>
      <c r="MGI47" s="3" t="s">
        <v>180</v>
      </c>
      <c r="MGJ47" s="3" t="s">
        <v>26</v>
      </c>
      <c r="MGK47" s="3" t="s">
        <v>197</v>
      </c>
      <c r="MGN47" s="3" t="s">
        <v>198</v>
      </c>
      <c r="MGO47" s="2" t="s">
        <v>195</v>
      </c>
      <c r="MGP47" s="3" t="s">
        <v>196</v>
      </c>
      <c r="MGQ47" s="3" t="s">
        <v>180</v>
      </c>
      <c r="MGR47" s="3" t="s">
        <v>26</v>
      </c>
      <c r="MGS47" s="3" t="s">
        <v>197</v>
      </c>
      <c r="MGV47" s="3" t="s">
        <v>198</v>
      </c>
      <c r="MGW47" s="2" t="s">
        <v>195</v>
      </c>
      <c r="MGX47" s="3" t="s">
        <v>196</v>
      </c>
      <c r="MGY47" s="3" t="s">
        <v>180</v>
      </c>
      <c r="MGZ47" s="3" t="s">
        <v>26</v>
      </c>
      <c r="MHA47" s="3" t="s">
        <v>197</v>
      </c>
      <c r="MHD47" s="3" t="s">
        <v>198</v>
      </c>
      <c r="MHE47" s="2" t="s">
        <v>195</v>
      </c>
      <c r="MHF47" s="3" t="s">
        <v>196</v>
      </c>
      <c r="MHG47" s="3" t="s">
        <v>180</v>
      </c>
      <c r="MHH47" s="3" t="s">
        <v>26</v>
      </c>
      <c r="MHI47" s="3" t="s">
        <v>197</v>
      </c>
      <c r="MHL47" s="3" t="s">
        <v>198</v>
      </c>
      <c r="MHM47" s="2" t="s">
        <v>195</v>
      </c>
      <c r="MHN47" s="3" t="s">
        <v>196</v>
      </c>
      <c r="MHO47" s="3" t="s">
        <v>180</v>
      </c>
      <c r="MHP47" s="3" t="s">
        <v>26</v>
      </c>
      <c r="MHQ47" s="3" t="s">
        <v>197</v>
      </c>
      <c r="MHT47" s="3" t="s">
        <v>198</v>
      </c>
      <c r="MHU47" s="2" t="s">
        <v>195</v>
      </c>
      <c r="MHV47" s="3" t="s">
        <v>196</v>
      </c>
      <c r="MHW47" s="3" t="s">
        <v>180</v>
      </c>
      <c r="MHX47" s="3" t="s">
        <v>26</v>
      </c>
      <c r="MHY47" s="3" t="s">
        <v>197</v>
      </c>
      <c r="MIB47" s="3" t="s">
        <v>198</v>
      </c>
      <c r="MIC47" s="2" t="s">
        <v>195</v>
      </c>
      <c r="MID47" s="3" t="s">
        <v>196</v>
      </c>
      <c r="MIE47" s="3" t="s">
        <v>180</v>
      </c>
      <c r="MIF47" s="3" t="s">
        <v>26</v>
      </c>
      <c r="MIG47" s="3" t="s">
        <v>197</v>
      </c>
      <c r="MIJ47" s="3" t="s">
        <v>198</v>
      </c>
      <c r="MIK47" s="2" t="s">
        <v>195</v>
      </c>
      <c r="MIL47" s="3" t="s">
        <v>196</v>
      </c>
      <c r="MIM47" s="3" t="s">
        <v>180</v>
      </c>
      <c r="MIN47" s="3" t="s">
        <v>26</v>
      </c>
      <c r="MIO47" s="3" t="s">
        <v>197</v>
      </c>
      <c r="MIR47" s="3" t="s">
        <v>198</v>
      </c>
      <c r="MIS47" s="2" t="s">
        <v>195</v>
      </c>
      <c r="MIT47" s="3" t="s">
        <v>196</v>
      </c>
      <c r="MIU47" s="3" t="s">
        <v>180</v>
      </c>
      <c r="MIV47" s="3" t="s">
        <v>26</v>
      </c>
      <c r="MIW47" s="3" t="s">
        <v>197</v>
      </c>
      <c r="MIZ47" s="3" t="s">
        <v>198</v>
      </c>
      <c r="MJA47" s="2" t="s">
        <v>195</v>
      </c>
      <c r="MJB47" s="3" t="s">
        <v>196</v>
      </c>
      <c r="MJC47" s="3" t="s">
        <v>180</v>
      </c>
      <c r="MJD47" s="3" t="s">
        <v>26</v>
      </c>
      <c r="MJE47" s="3" t="s">
        <v>197</v>
      </c>
      <c r="MJH47" s="3" t="s">
        <v>198</v>
      </c>
      <c r="MJI47" s="2" t="s">
        <v>195</v>
      </c>
      <c r="MJJ47" s="3" t="s">
        <v>196</v>
      </c>
      <c r="MJK47" s="3" t="s">
        <v>180</v>
      </c>
      <c r="MJL47" s="3" t="s">
        <v>26</v>
      </c>
      <c r="MJM47" s="3" t="s">
        <v>197</v>
      </c>
      <c r="MJP47" s="3" t="s">
        <v>198</v>
      </c>
      <c r="MJQ47" s="2" t="s">
        <v>195</v>
      </c>
      <c r="MJR47" s="3" t="s">
        <v>196</v>
      </c>
      <c r="MJS47" s="3" t="s">
        <v>180</v>
      </c>
      <c r="MJT47" s="3" t="s">
        <v>26</v>
      </c>
      <c r="MJU47" s="3" t="s">
        <v>197</v>
      </c>
      <c r="MJX47" s="3" t="s">
        <v>198</v>
      </c>
      <c r="MJY47" s="2" t="s">
        <v>195</v>
      </c>
      <c r="MJZ47" s="3" t="s">
        <v>196</v>
      </c>
      <c r="MKA47" s="3" t="s">
        <v>180</v>
      </c>
      <c r="MKB47" s="3" t="s">
        <v>26</v>
      </c>
      <c r="MKC47" s="3" t="s">
        <v>197</v>
      </c>
      <c r="MKF47" s="3" t="s">
        <v>198</v>
      </c>
      <c r="MKG47" s="2" t="s">
        <v>195</v>
      </c>
      <c r="MKH47" s="3" t="s">
        <v>196</v>
      </c>
      <c r="MKI47" s="3" t="s">
        <v>180</v>
      </c>
      <c r="MKJ47" s="3" t="s">
        <v>26</v>
      </c>
      <c r="MKK47" s="3" t="s">
        <v>197</v>
      </c>
      <c r="MKN47" s="3" t="s">
        <v>198</v>
      </c>
      <c r="MKO47" s="2" t="s">
        <v>195</v>
      </c>
      <c r="MKP47" s="3" t="s">
        <v>196</v>
      </c>
      <c r="MKQ47" s="3" t="s">
        <v>180</v>
      </c>
      <c r="MKR47" s="3" t="s">
        <v>26</v>
      </c>
      <c r="MKS47" s="3" t="s">
        <v>197</v>
      </c>
      <c r="MKV47" s="3" t="s">
        <v>198</v>
      </c>
      <c r="MKW47" s="2" t="s">
        <v>195</v>
      </c>
      <c r="MKX47" s="3" t="s">
        <v>196</v>
      </c>
      <c r="MKY47" s="3" t="s">
        <v>180</v>
      </c>
      <c r="MKZ47" s="3" t="s">
        <v>26</v>
      </c>
      <c r="MLA47" s="3" t="s">
        <v>197</v>
      </c>
      <c r="MLD47" s="3" t="s">
        <v>198</v>
      </c>
      <c r="MLE47" s="2" t="s">
        <v>195</v>
      </c>
      <c r="MLF47" s="3" t="s">
        <v>196</v>
      </c>
      <c r="MLG47" s="3" t="s">
        <v>180</v>
      </c>
      <c r="MLH47" s="3" t="s">
        <v>26</v>
      </c>
      <c r="MLI47" s="3" t="s">
        <v>197</v>
      </c>
      <c r="MLL47" s="3" t="s">
        <v>198</v>
      </c>
      <c r="MLM47" s="2" t="s">
        <v>195</v>
      </c>
      <c r="MLN47" s="3" t="s">
        <v>196</v>
      </c>
      <c r="MLO47" s="3" t="s">
        <v>180</v>
      </c>
      <c r="MLP47" s="3" t="s">
        <v>26</v>
      </c>
      <c r="MLQ47" s="3" t="s">
        <v>197</v>
      </c>
      <c r="MLT47" s="3" t="s">
        <v>198</v>
      </c>
      <c r="MLU47" s="2" t="s">
        <v>195</v>
      </c>
      <c r="MLV47" s="3" t="s">
        <v>196</v>
      </c>
      <c r="MLW47" s="3" t="s">
        <v>180</v>
      </c>
      <c r="MLX47" s="3" t="s">
        <v>26</v>
      </c>
      <c r="MLY47" s="3" t="s">
        <v>197</v>
      </c>
      <c r="MMB47" s="3" t="s">
        <v>198</v>
      </c>
      <c r="MMC47" s="2" t="s">
        <v>195</v>
      </c>
      <c r="MMD47" s="3" t="s">
        <v>196</v>
      </c>
      <c r="MME47" s="3" t="s">
        <v>180</v>
      </c>
      <c r="MMF47" s="3" t="s">
        <v>26</v>
      </c>
      <c r="MMG47" s="3" t="s">
        <v>197</v>
      </c>
      <c r="MMJ47" s="3" t="s">
        <v>198</v>
      </c>
      <c r="MMK47" s="2" t="s">
        <v>195</v>
      </c>
      <c r="MML47" s="3" t="s">
        <v>196</v>
      </c>
      <c r="MMM47" s="3" t="s">
        <v>180</v>
      </c>
      <c r="MMN47" s="3" t="s">
        <v>26</v>
      </c>
      <c r="MMO47" s="3" t="s">
        <v>197</v>
      </c>
      <c r="MMR47" s="3" t="s">
        <v>198</v>
      </c>
      <c r="MMS47" s="2" t="s">
        <v>195</v>
      </c>
      <c r="MMT47" s="3" t="s">
        <v>196</v>
      </c>
      <c r="MMU47" s="3" t="s">
        <v>180</v>
      </c>
      <c r="MMV47" s="3" t="s">
        <v>26</v>
      </c>
      <c r="MMW47" s="3" t="s">
        <v>197</v>
      </c>
      <c r="MMZ47" s="3" t="s">
        <v>198</v>
      </c>
      <c r="MNA47" s="2" t="s">
        <v>195</v>
      </c>
      <c r="MNB47" s="3" t="s">
        <v>196</v>
      </c>
      <c r="MNC47" s="3" t="s">
        <v>180</v>
      </c>
      <c r="MND47" s="3" t="s">
        <v>26</v>
      </c>
      <c r="MNE47" s="3" t="s">
        <v>197</v>
      </c>
      <c r="MNH47" s="3" t="s">
        <v>198</v>
      </c>
      <c r="MNI47" s="2" t="s">
        <v>195</v>
      </c>
      <c r="MNJ47" s="3" t="s">
        <v>196</v>
      </c>
      <c r="MNK47" s="3" t="s">
        <v>180</v>
      </c>
      <c r="MNL47" s="3" t="s">
        <v>26</v>
      </c>
      <c r="MNM47" s="3" t="s">
        <v>197</v>
      </c>
      <c r="MNP47" s="3" t="s">
        <v>198</v>
      </c>
      <c r="MNQ47" s="2" t="s">
        <v>195</v>
      </c>
      <c r="MNR47" s="3" t="s">
        <v>196</v>
      </c>
      <c r="MNS47" s="3" t="s">
        <v>180</v>
      </c>
      <c r="MNT47" s="3" t="s">
        <v>26</v>
      </c>
      <c r="MNU47" s="3" t="s">
        <v>197</v>
      </c>
      <c r="MNX47" s="3" t="s">
        <v>198</v>
      </c>
      <c r="MNY47" s="2" t="s">
        <v>195</v>
      </c>
      <c r="MNZ47" s="3" t="s">
        <v>196</v>
      </c>
      <c r="MOA47" s="3" t="s">
        <v>180</v>
      </c>
      <c r="MOB47" s="3" t="s">
        <v>26</v>
      </c>
      <c r="MOC47" s="3" t="s">
        <v>197</v>
      </c>
      <c r="MOF47" s="3" t="s">
        <v>198</v>
      </c>
      <c r="MOG47" s="2" t="s">
        <v>195</v>
      </c>
      <c r="MOH47" s="3" t="s">
        <v>196</v>
      </c>
      <c r="MOI47" s="3" t="s">
        <v>180</v>
      </c>
      <c r="MOJ47" s="3" t="s">
        <v>26</v>
      </c>
      <c r="MOK47" s="3" t="s">
        <v>197</v>
      </c>
      <c r="MON47" s="3" t="s">
        <v>198</v>
      </c>
      <c r="MOO47" s="2" t="s">
        <v>195</v>
      </c>
      <c r="MOP47" s="3" t="s">
        <v>196</v>
      </c>
      <c r="MOQ47" s="3" t="s">
        <v>180</v>
      </c>
      <c r="MOR47" s="3" t="s">
        <v>26</v>
      </c>
      <c r="MOS47" s="3" t="s">
        <v>197</v>
      </c>
      <c r="MOV47" s="3" t="s">
        <v>198</v>
      </c>
      <c r="MOW47" s="2" t="s">
        <v>195</v>
      </c>
      <c r="MOX47" s="3" t="s">
        <v>196</v>
      </c>
      <c r="MOY47" s="3" t="s">
        <v>180</v>
      </c>
      <c r="MOZ47" s="3" t="s">
        <v>26</v>
      </c>
      <c r="MPA47" s="3" t="s">
        <v>197</v>
      </c>
      <c r="MPD47" s="3" t="s">
        <v>198</v>
      </c>
      <c r="MPE47" s="2" t="s">
        <v>195</v>
      </c>
      <c r="MPF47" s="3" t="s">
        <v>196</v>
      </c>
      <c r="MPG47" s="3" t="s">
        <v>180</v>
      </c>
      <c r="MPH47" s="3" t="s">
        <v>26</v>
      </c>
      <c r="MPI47" s="3" t="s">
        <v>197</v>
      </c>
      <c r="MPL47" s="3" t="s">
        <v>198</v>
      </c>
      <c r="MPM47" s="2" t="s">
        <v>195</v>
      </c>
      <c r="MPN47" s="3" t="s">
        <v>196</v>
      </c>
      <c r="MPO47" s="3" t="s">
        <v>180</v>
      </c>
      <c r="MPP47" s="3" t="s">
        <v>26</v>
      </c>
      <c r="MPQ47" s="3" t="s">
        <v>197</v>
      </c>
      <c r="MPT47" s="3" t="s">
        <v>198</v>
      </c>
      <c r="MPU47" s="2" t="s">
        <v>195</v>
      </c>
      <c r="MPV47" s="3" t="s">
        <v>196</v>
      </c>
      <c r="MPW47" s="3" t="s">
        <v>180</v>
      </c>
      <c r="MPX47" s="3" t="s">
        <v>26</v>
      </c>
      <c r="MPY47" s="3" t="s">
        <v>197</v>
      </c>
      <c r="MQB47" s="3" t="s">
        <v>198</v>
      </c>
      <c r="MQC47" s="2" t="s">
        <v>195</v>
      </c>
      <c r="MQD47" s="3" t="s">
        <v>196</v>
      </c>
      <c r="MQE47" s="3" t="s">
        <v>180</v>
      </c>
      <c r="MQF47" s="3" t="s">
        <v>26</v>
      </c>
      <c r="MQG47" s="3" t="s">
        <v>197</v>
      </c>
      <c r="MQJ47" s="3" t="s">
        <v>198</v>
      </c>
      <c r="MQK47" s="2" t="s">
        <v>195</v>
      </c>
      <c r="MQL47" s="3" t="s">
        <v>196</v>
      </c>
      <c r="MQM47" s="3" t="s">
        <v>180</v>
      </c>
      <c r="MQN47" s="3" t="s">
        <v>26</v>
      </c>
      <c r="MQO47" s="3" t="s">
        <v>197</v>
      </c>
      <c r="MQR47" s="3" t="s">
        <v>198</v>
      </c>
      <c r="MQS47" s="2" t="s">
        <v>195</v>
      </c>
      <c r="MQT47" s="3" t="s">
        <v>196</v>
      </c>
      <c r="MQU47" s="3" t="s">
        <v>180</v>
      </c>
      <c r="MQV47" s="3" t="s">
        <v>26</v>
      </c>
      <c r="MQW47" s="3" t="s">
        <v>197</v>
      </c>
      <c r="MQZ47" s="3" t="s">
        <v>198</v>
      </c>
      <c r="MRA47" s="2" t="s">
        <v>195</v>
      </c>
      <c r="MRB47" s="3" t="s">
        <v>196</v>
      </c>
      <c r="MRC47" s="3" t="s">
        <v>180</v>
      </c>
      <c r="MRD47" s="3" t="s">
        <v>26</v>
      </c>
      <c r="MRE47" s="3" t="s">
        <v>197</v>
      </c>
      <c r="MRH47" s="3" t="s">
        <v>198</v>
      </c>
      <c r="MRI47" s="2" t="s">
        <v>195</v>
      </c>
      <c r="MRJ47" s="3" t="s">
        <v>196</v>
      </c>
      <c r="MRK47" s="3" t="s">
        <v>180</v>
      </c>
      <c r="MRL47" s="3" t="s">
        <v>26</v>
      </c>
      <c r="MRM47" s="3" t="s">
        <v>197</v>
      </c>
      <c r="MRP47" s="3" t="s">
        <v>198</v>
      </c>
      <c r="MRQ47" s="2" t="s">
        <v>195</v>
      </c>
      <c r="MRR47" s="3" t="s">
        <v>196</v>
      </c>
      <c r="MRS47" s="3" t="s">
        <v>180</v>
      </c>
      <c r="MRT47" s="3" t="s">
        <v>26</v>
      </c>
      <c r="MRU47" s="3" t="s">
        <v>197</v>
      </c>
      <c r="MRX47" s="3" t="s">
        <v>198</v>
      </c>
      <c r="MRY47" s="2" t="s">
        <v>195</v>
      </c>
      <c r="MRZ47" s="3" t="s">
        <v>196</v>
      </c>
      <c r="MSA47" s="3" t="s">
        <v>180</v>
      </c>
      <c r="MSB47" s="3" t="s">
        <v>26</v>
      </c>
      <c r="MSC47" s="3" t="s">
        <v>197</v>
      </c>
      <c r="MSF47" s="3" t="s">
        <v>198</v>
      </c>
      <c r="MSG47" s="2" t="s">
        <v>195</v>
      </c>
      <c r="MSH47" s="3" t="s">
        <v>196</v>
      </c>
      <c r="MSI47" s="3" t="s">
        <v>180</v>
      </c>
      <c r="MSJ47" s="3" t="s">
        <v>26</v>
      </c>
      <c r="MSK47" s="3" t="s">
        <v>197</v>
      </c>
      <c r="MSN47" s="3" t="s">
        <v>198</v>
      </c>
      <c r="MSO47" s="2" t="s">
        <v>195</v>
      </c>
      <c r="MSP47" s="3" t="s">
        <v>196</v>
      </c>
      <c r="MSQ47" s="3" t="s">
        <v>180</v>
      </c>
      <c r="MSR47" s="3" t="s">
        <v>26</v>
      </c>
      <c r="MSS47" s="3" t="s">
        <v>197</v>
      </c>
      <c r="MSV47" s="3" t="s">
        <v>198</v>
      </c>
      <c r="MSW47" s="2" t="s">
        <v>195</v>
      </c>
      <c r="MSX47" s="3" t="s">
        <v>196</v>
      </c>
      <c r="MSY47" s="3" t="s">
        <v>180</v>
      </c>
      <c r="MSZ47" s="3" t="s">
        <v>26</v>
      </c>
      <c r="MTA47" s="3" t="s">
        <v>197</v>
      </c>
      <c r="MTD47" s="3" t="s">
        <v>198</v>
      </c>
      <c r="MTE47" s="2" t="s">
        <v>195</v>
      </c>
      <c r="MTF47" s="3" t="s">
        <v>196</v>
      </c>
      <c r="MTG47" s="3" t="s">
        <v>180</v>
      </c>
      <c r="MTH47" s="3" t="s">
        <v>26</v>
      </c>
      <c r="MTI47" s="3" t="s">
        <v>197</v>
      </c>
      <c r="MTL47" s="3" t="s">
        <v>198</v>
      </c>
      <c r="MTM47" s="2" t="s">
        <v>195</v>
      </c>
      <c r="MTN47" s="3" t="s">
        <v>196</v>
      </c>
      <c r="MTO47" s="3" t="s">
        <v>180</v>
      </c>
      <c r="MTP47" s="3" t="s">
        <v>26</v>
      </c>
      <c r="MTQ47" s="3" t="s">
        <v>197</v>
      </c>
      <c r="MTT47" s="3" t="s">
        <v>198</v>
      </c>
      <c r="MTU47" s="2" t="s">
        <v>195</v>
      </c>
      <c r="MTV47" s="3" t="s">
        <v>196</v>
      </c>
      <c r="MTW47" s="3" t="s">
        <v>180</v>
      </c>
      <c r="MTX47" s="3" t="s">
        <v>26</v>
      </c>
      <c r="MTY47" s="3" t="s">
        <v>197</v>
      </c>
      <c r="MUB47" s="3" t="s">
        <v>198</v>
      </c>
      <c r="MUC47" s="2" t="s">
        <v>195</v>
      </c>
      <c r="MUD47" s="3" t="s">
        <v>196</v>
      </c>
      <c r="MUE47" s="3" t="s">
        <v>180</v>
      </c>
      <c r="MUF47" s="3" t="s">
        <v>26</v>
      </c>
      <c r="MUG47" s="3" t="s">
        <v>197</v>
      </c>
      <c r="MUJ47" s="3" t="s">
        <v>198</v>
      </c>
      <c r="MUK47" s="2" t="s">
        <v>195</v>
      </c>
      <c r="MUL47" s="3" t="s">
        <v>196</v>
      </c>
      <c r="MUM47" s="3" t="s">
        <v>180</v>
      </c>
      <c r="MUN47" s="3" t="s">
        <v>26</v>
      </c>
      <c r="MUO47" s="3" t="s">
        <v>197</v>
      </c>
      <c r="MUR47" s="3" t="s">
        <v>198</v>
      </c>
      <c r="MUS47" s="2" t="s">
        <v>195</v>
      </c>
      <c r="MUT47" s="3" t="s">
        <v>196</v>
      </c>
      <c r="MUU47" s="3" t="s">
        <v>180</v>
      </c>
      <c r="MUV47" s="3" t="s">
        <v>26</v>
      </c>
      <c r="MUW47" s="3" t="s">
        <v>197</v>
      </c>
      <c r="MUZ47" s="3" t="s">
        <v>198</v>
      </c>
      <c r="MVA47" s="2" t="s">
        <v>195</v>
      </c>
      <c r="MVB47" s="3" t="s">
        <v>196</v>
      </c>
      <c r="MVC47" s="3" t="s">
        <v>180</v>
      </c>
      <c r="MVD47" s="3" t="s">
        <v>26</v>
      </c>
      <c r="MVE47" s="3" t="s">
        <v>197</v>
      </c>
      <c r="MVH47" s="3" t="s">
        <v>198</v>
      </c>
      <c r="MVI47" s="2" t="s">
        <v>195</v>
      </c>
      <c r="MVJ47" s="3" t="s">
        <v>196</v>
      </c>
      <c r="MVK47" s="3" t="s">
        <v>180</v>
      </c>
      <c r="MVL47" s="3" t="s">
        <v>26</v>
      </c>
      <c r="MVM47" s="3" t="s">
        <v>197</v>
      </c>
      <c r="MVP47" s="3" t="s">
        <v>198</v>
      </c>
      <c r="MVQ47" s="2" t="s">
        <v>195</v>
      </c>
      <c r="MVR47" s="3" t="s">
        <v>196</v>
      </c>
      <c r="MVS47" s="3" t="s">
        <v>180</v>
      </c>
      <c r="MVT47" s="3" t="s">
        <v>26</v>
      </c>
      <c r="MVU47" s="3" t="s">
        <v>197</v>
      </c>
      <c r="MVX47" s="3" t="s">
        <v>198</v>
      </c>
      <c r="MVY47" s="2" t="s">
        <v>195</v>
      </c>
      <c r="MVZ47" s="3" t="s">
        <v>196</v>
      </c>
      <c r="MWA47" s="3" t="s">
        <v>180</v>
      </c>
      <c r="MWB47" s="3" t="s">
        <v>26</v>
      </c>
      <c r="MWC47" s="3" t="s">
        <v>197</v>
      </c>
      <c r="MWF47" s="3" t="s">
        <v>198</v>
      </c>
      <c r="MWG47" s="2" t="s">
        <v>195</v>
      </c>
      <c r="MWH47" s="3" t="s">
        <v>196</v>
      </c>
      <c r="MWI47" s="3" t="s">
        <v>180</v>
      </c>
      <c r="MWJ47" s="3" t="s">
        <v>26</v>
      </c>
      <c r="MWK47" s="3" t="s">
        <v>197</v>
      </c>
      <c r="MWN47" s="3" t="s">
        <v>198</v>
      </c>
      <c r="MWO47" s="2" t="s">
        <v>195</v>
      </c>
      <c r="MWP47" s="3" t="s">
        <v>196</v>
      </c>
      <c r="MWQ47" s="3" t="s">
        <v>180</v>
      </c>
      <c r="MWR47" s="3" t="s">
        <v>26</v>
      </c>
      <c r="MWS47" s="3" t="s">
        <v>197</v>
      </c>
      <c r="MWV47" s="3" t="s">
        <v>198</v>
      </c>
      <c r="MWW47" s="2" t="s">
        <v>195</v>
      </c>
      <c r="MWX47" s="3" t="s">
        <v>196</v>
      </c>
      <c r="MWY47" s="3" t="s">
        <v>180</v>
      </c>
      <c r="MWZ47" s="3" t="s">
        <v>26</v>
      </c>
      <c r="MXA47" s="3" t="s">
        <v>197</v>
      </c>
      <c r="MXD47" s="3" t="s">
        <v>198</v>
      </c>
      <c r="MXE47" s="2" t="s">
        <v>195</v>
      </c>
      <c r="MXF47" s="3" t="s">
        <v>196</v>
      </c>
      <c r="MXG47" s="3" t="s">
        <v>180</v>
      </c>
      <c r="MXH47" s="3" t="s">
        <v>26</v>
      </c>
      <c r="MXI47" s="3" t="s">
        <v>197</v>
      </c>
      <c r="MXL47" s="3" t="s">
        <v>198</v>
      </c>
      <c r="MXM47" s="2" t="s">
        <v>195</v>
      </c>
      <c r="MXN47" s="3" t="s">
        <v>196</v>
      </c>
      <c r="MXO47" s="3" t="s">
        <v>180</v>
      </c>
      <c r="MXP47" s="3" t="s">
        <v>26</v>
      </c>
      <c r="MXQ47" s="3" t="s">
        <v>197</v>
      </c>
      <c r="MXT47" s="3" t="s">
        <v>198</v>
      </c>
      <c r="MXU47" s="2" t="s">
        <v>195</v>
      </c>
      <c r="MXV47" s="3" t="s">
        <v>196</v>
      </c>
      <c r="MXW47" s="3" t="s">
        <v>180</v>
      </c>
      <c r="MXX47" s="3" t="s">
        <v>26</v>
      </c>
      <c r="MXY47" s="3" t="s">
        <v>197</v>
      </c>
      <c r="MYB47" s="3" t="s">
        <v>198</v>
      </c>
      <c r="MYC47" s="2" t="s">
        <v>195</v>
      </c>
      <c r="MYD47" s="3" t="s">
        <v>196</v>
      </c>
      <c r="MYE47" s="3" t="s">
        <v>180</v>
      </c>
      <c r="MYF47" s="3" t="s">
        <v>26</v>
      </c>
      <c r="MYG47" s="3" t="s">
        <v>197</v>
      </c>
      <c r="MYJ47" s="3" t="s">
        <v>198</v>
      </c>
      <c r="MYK47" s="2" t="s">
        <v>195</v>
      </c>
      <c r="MYL47" s="3" t="s">
        <v>196</v>
      </c>
      <c r="MYM47" s="3" t="s">
        <v>180</v>
      </c>
      <c r="MYN47" s="3" t="s">
        <v>26</v>
      </c>
      <c r="MYO47" s="3" t="s">
        <v>197</v>
      </c>
      <c r="MYR47" s="3" t="s">
        <v>198</v>
      </c>
      <c r="MYS47" s="2" t="s">
        <v>195</v>
      </c>
      <c r="MYT47" s="3" t="s">
        <v>196</v>
      </c>
      <c r="MYU47" s="3" t="s">
        <v>180</v>
      </c>
      <c r="MYV47" s="3" t="s">
        <v>26</v>
      </c>
      <c r="MYW47" s="3" t="s">
        <v>197</v>
      </c>
      <c r="MYZ47" s="3" t="s">
        <v>198</v>
      </c>
      <c r="MZA47" s="2" t="s">
        <v>195</v>
      </c>
      <c r="MZB47" s="3" t="s">
        <v>196</v>
      </c>
      <c r="MZC47" s="3" t="s">
        <v>180</v>
      </c>
      <c r="MZD47" s="3" t="s">
        <v>26</v>
      </c>
      <c r="MZE47" s="3" t="s">
        <v>197</v>
      </c>
      <c r="MZH47" s="3" t="s">
        <v>198</v>
      </c>
      <c r="MZI47" s="2" t="s">
        <v>195</v>
      </c>
      <c r="MZJ47" s="3" t="s">
        <v>196</v>
      </c>
      <c r="MZK47" s="3" t="s">
        <v>180</v>
      </c>
      <c r="MZL47" s="3" t="s">
        <v>26</v>
      </c>
      <c r="MZM47" s="3" t="s">
        <v>197</v>
      </c>
      <c r="MZP47" s="3" t="s">
        <v>198</v>
      </c>
      <c r="MZQ47" s="2" t="s">
        <v>195</v>
      </c>
      <c r="MZR47" s="3" t="s">
        <v>196</v>
      </c>
      <c r="MZS47" s="3" t="s">
        <v>180</v>
      </c>
      <c r="MZT47" s="3" t="s">
        <v>26</v>
      </c>
      <c r="MZU47" s="3" t="s">
        <v>197</v>
      </c>
      <c r="MZX47" s="3" t="s">
        <v>198</v>
      </c>
      <c r="MZY47" s="2" t="s">
        <v>195</v>
      </c>
      <c r="MZZ47" s="3" t="s">
        <v>196</v>
      </c>
      <c r="NAA47" s="3" t="s">
        <v>180</v>
      </c>
      <c r="NAB47" s="3" t="s">
        <v>26</v>
      </c>
      <c r="NAC47" s="3" t="s">
        <v>197</v>
      </c>
      <c r="NAF47" s="3" t="s">
        <v>198</v>
      </c>
      <c r="NAG47" s="2" t="s">
        <v>195</v>
      </c>
      <c r="NAH47" s="3" t="s">
        <v>196</v>
      </c>
      <c r="NAI47" s="3" t="s">
        <v>180</v>
      </c>
      <c r="NAJ47" s="3" t="s">
        <v>26</v>
      </c>
      <c r="NAK47" s="3" t="s">
        <v>197</v>
      </c>
      <c r="NAN47" s="3" t="s">
        <v>198</v>
      </c>
      <c r="NAO47" s="2" t="s">
        <v>195</v>
      </c>
      <c r="NAP47" s="3" t="s">
        <v>196</v>
      </c>
      <c r="NAQ47" s="3" t="s">
        <v>180</v>
      </c>
      <c r="NAR47" s="3" t="s">
        <v>26</v>
      </c>
      <c r="NAS47" s="3" t="s">
        <v>197</v>
      </c>
      <c r="NAV47" s="3" t="s">
        <v>198</v>
      </c>
      <c r="NAW47" s="2" t="s">
        <v>195</v>
      </c>
      <c r="NAX47" s="3" t="s">
        <v>196</v>
      </c>
      <c r="NAY47" s="3" t="s">
        <v>180</v>
      </c>
      <c r="NAZ47" s="3" t="s">
        <v>26</v>
      </c>
      <c r="NBA47" s="3" t="s">
        <v>197</v>
      </c>
      <c r="NBD47" s="3" t="s">
        <v>198</v>
      </c>
      <c r="NBE47" s="2" t="s">
        <v>195</v>
      </c>
      <c r="NBF47" s="3" t="s">
        <v>196</v>
      </c>
      <c r="NBG47" s="3" t="s">
        <v>180</v>
      </c>
      <c r="NBH47" s="3" t="s">
        <v>26</v>
      </c>
      <c r="NBI47" s="3" t="s">
        <v>197</v>
      </c>
      <c r="NBL47" s="3" t="s">
        <v>198</v>
      </c>
      <c r="NBM47" s="2" t="s">
        <v>195</v>
      </c>
      <c r="NBN47" s="3" t="s">
        <v>196</v>
      </c>
      <c r="NBO47" s="3" t="s">
        <v>180</v>
      </c>
      <c r="NBP47" s="3" t="s">
        <v>26</v>
      </c>
      <c r="NBQ47" s="3" t="s">
        <v>197</v>
      </c>
      <c r="NBT47" s="3" t="s">
        <v>198</v>
      </c>
      <c r="NBU47" s="2" t="s">
        <v>195</v>
      </c>
      <c r="NBV47" s="3" t="s">
        <v>196</v>
      </c>
      <c r="NBW47" s="3" t="s">
        <v>180</v>
      </c>
      <c r="NBX47" s="3" t="s">
        <v>26</v>
      </c>
      <c r="NBY47" s="3" t="s">
        <v>197</v>
      </c>
      <c r="NCB47" s="3" t="s">
        <v>198</v>
      </c>
      <c r="NCC47" s="2" t="s">
        <v>195</v>
      </c>
      <c r="NCD47" s="3" t="s">
        <v>196</v>
      </c>
      <c r="NCE47" s="3" t="s">
        <v>180</v>
      </c>
      <c r="NCF47" s="3" t="s">
        <v>26</v>
      </c>
      <c r="NCG47" s="3" t="s">
        <v>197</v>
      </c>
      <c r="NCJ47" s="3" t="s">
        <v>198</v>
      </c>
      <c r="NCK47" s="2" t="s">
        <v>195</v>
      </c>
      <c r="NCL47" s="3" t="s">
        <v>196</v>
      </c>
      <c r="NCM47" s="3" t="s">
        <v>180</v>
      </c>
      <c r="NCN47" s="3" t="s">
        <v>26</v>
      </c>
      <c r="NCO47" s="3" t="s">
        <v>197</v>
      </c>
      <c r="NCR47" s="3" t="s">
        <v>198</v>
      </c>
      <c r="NCS47" s="2" t="s">
        <v>195</v>
      </c>
      <c r="NCT47" s="3" t="s">
        <v>196</v>
      </c>
      <c r="NCU47" s="3" t="s">
        <v>180</v>
      </c>
      <c r="NCV47" s="3" t="s">
        <v>26</v>
      </c>
      <c r="NCW47" s="3" t="s">
        <v>197</v>
      </c>
      <c r="NCZ47" s="3" t="s">
        <v>198</v>
      </c>
      <c r="NDA47" s="2" t="s">
        <v>195</v>
      </c>
      <c r="NDB47" s="3" t="s">
        <v>196</v>
      </c>
      <c r="NDC47" s="3" t="s">
        <v>180</v>
      </c>
      <c r="NDD47" s="3" t="s">
        <v>26</v>
      </c>
      <c r="NDE47" s="3" t="s">
        <v>197</v>
      </c>
      <c r="NDH47" s="3" t="s">
        <v>198</v>
      </c>
      <c r="NDI47" s="2" t="s">
        <v>195</v>
      </c>
      <c r="NDJ47" s="3" t="s">
        <v>196</v>
      </c>
      <c r="NDK47" s="3" t="s">
        <v>180</v>
      </c>
      <c r="NDL47" s="3" t="s">
        <v>26</v>
      </c>
      <c r="NDM47" s="3" t="s">
        <v>197</v>
      </c>
      <c r="NDP47" s="3" t="s">
        <v>198</v>
      </c>
      <c r="NDQ47" s="2" t="s">
        <v>195</v>
      </c>
      <c r="NDR47" s="3" t="s">
        <v>196</v>
      </c>
      <c r="NDS47" s="3" t="s">
        <v>180</v>
      </c>
      <c r="NDT47" s="3" t="s">
        <v>26</v>
      </c>
      <c r="NDU47" s="3" t="s">
        <v>197</v>
      </c>
      <c r="NDX47" s="3" t="s">
        <v>198</v>
      </c>
      <c r="NDY47" s="2" t="s">
        <v>195</v>
      </c>
      <c r="NDZ47" s="3" t="s">
        <v>196</v>
      </c>
      <c r="NEA47" s="3" t="s">
        <v>180</v>
      </c>
      <c r="NEB47" s="3" t="s">
        <v>26</v>
      </c>
      <c r="NEC47" s="3" t="s">
        <v>197</v>
      </c>
      <c r="NEF47" s="3" t="s">
        <v>198</v>
      </c>
      <c r="NEG47" s="2" t="s">
        <v>195</v>
      </c>
      <c r="NEH47" s="3" t="s">
        <v>196</v>
      </c>
      <c r="NEI47" s="3" t="s">
        <v>180</v>
      </c>
      <c r="NEJ47" s="3" t="s">
        <v>26</v>
      </c>
      <c r="NEK47" s="3" t="s">
        <v>197</v>
      </c>
      <c r="NEN47" s="3" t="s">
        <v>198</v>
      </c>
      <c r="NEO47" s="2" t="s">
        <v>195</v>
      </c>
      <c r="NEP47" s="3" t="s">
        <v>196</v>
      </c>
      <c r="NEQ47" s="3" t="s">
        <v>180</v>
      </c>
      <c r="NER47" s="3" t="s">
        <v>26</v>
      </c>
      <c r="NES47" s="3" t="s">
        <v>197</v>
      </c>
      <c r="NEV47" s="3" t="s">
        <v>198</v>
      </c>
      <c r="NEW47" s="2" t="s">
        <v>195</v>
      </c>
      <c r="NEX47" s="3" t="s">
        <v>196</v>
      </c>
      <c r="NEY47" s="3" t="s">
        <v>180</v>
      </c>
      <c r="NEZ47" s="3" t="s">
        <v>26</v>
      </c>
      <c r="NFA47" s="3" t="s">
        <v>197</v>
      </c>
      <c r="NFD47" s="3" t="s">
        <v>198</v>
      </c>
      <c r="NFE47" s="2" t="s">
        <v>195</v>
      </c>
      <c r="NFF47" s="3" t="s">
        <v>196</v>
      </c>
      <c r="NFG47" s="3" t="s">
        <v>180</v>
      </c>
      <c r="NFH47" s="3" t="s">
        <v>26</v>
      </c>
      <c r="NFI47" s="3" t="s">
        <v>197</v>
      </c>
      <c r="NFL47" s="3" t="s">
        <v>198</v>
      </c>
      <c r="NFM47" s="2" t="s">
        <v>195</v>
      </c>
      <c r="NFN47" s="3" t="s">
        <v>196</v>
      </c>
      <c r="NFO47" s="3" t="s">
        <v>180</v>
      </c>
      <c r="NFP47" s="3" t="s">
        <v>26</v>
      </c>
      <c r="NFQ47" s="3" t="s">
        <v>197</v>
      </c>
      <c r="NFT47" s="3" t="s">
        <v>198</v>
      </c>
      <c r="NFU47" s="2" t="s">
        <v>195</v>
      </c>
      <c r="NFV47" s="3" t="s">
        <v>196</v>
      </c>
      <c r="NFW47" s="3" t="s">
        <v>180</v>
      </c>
      <c r="NFX47" s="3" t="s">
        <v>26</v>
      </c>
      <c r="NFY47" s="3" t="s">
        <v>197</v>
      </c>
      <c r="NGB47" s="3" t="s">
        <v>198</v>
      </c>
      <c r="NGC47" s="2" t="s">
        <v>195</v>
      </c>
      <c r="NGD47" s="3" t="s">
        <v>196</v>
      </c>
      <c r="NGE47" s="3" t="s">
        <v>180</v>
      </c>
      <c r="NGF47" s="3" t="s">
        <v>26</v>
      </c>
      <c r="NGG47" s="3" t="s">
        <v>197</v>
      </c>
      <c r="NGJ47" s="3" t="s">
        <v>198</v>
      </c>
      <c r="NGK47" s="2" t="s">
        <v>195</v>
      </c>
      <c r="NGL47" s="3" t="s">
        <v>196</v>
      </c>
      <c r="NGM47" s="3" t="s">
        <v>180</v>
      </c>
      <c r="NGN47" s="3" t="s">
        <v>26</v>
      </c>
      <c r="NGO47" s="3" t="s">
        <v>197</v>
      </c>
      <c r="NGR47" s="3" t="s">
        <v>198</v>
      </c>
      <c r="NGS47" s="2" t="s">
        <v>195</v>
      </c>
      <c r="NGT47" s="3" t="s">
        <v>196</v>
      </c>
      <c r="NGU47" s="3" t="s">
        <v>180</v>
      </c>
      <c r="NGV47" s="3" t="s">
        <v>26</v>
      </c>
      <c r="NGW47" s="3" t="s">
        <v>197</v>
      </c>
      <c r="NGZ47" s="3" t="s">
        <v>198</v>
      </c>
      <c r="NHA47" s="2" t="s">
        <v>195</v>
      </c>
      <c r="NHB47" s="3" t="s">
        <v>196</v>
      </c>
      <c r="NHC47" s="3" t="s">
        <v>180</v>
      </c>
      <c r="NHD47" s="3" t="s">
        <v>26</v>
      </c>
      <c r="NHE47" s="3" t="s">
        <v>197</v>
      </c>
      <c r="NHH47" s="3" t="s">
        <v>198</v>
      </c>
      <c r="NHI47" s="2" t="s">
        <v>195</v>
      </c>
      <c r="NHJ47" s="3" t="s">
        <v>196</v>
      </c>
      <c r="NHK47" s="3" t="s">
        <v>180</v>
      </c>
      <c r="NHL47" s="3" t="s">
        <v>26</v>
      </c>
      <c r="NHM47" s="3" t="s">
        <v>197</v>
      </c>
      <c r="NHP47" s="3" t="s">
        <v>198</v>
      </c>
      <c r="NHQ47" s="2" t="s">
        <v>195</v>
      </c>
      <c r="NHR47" s="3" t="s">
        <v>196</v>
      </c>
      <c r="NHS47" s="3" t="s">
        <v>180</v>
      </c>
      <c r="NHT47" s="3" t="s">
        <v>26</v>
      </c>
      <c r="NHU47" s="3" t="s">
        <v>197</v>
      </c>
      <c r="NHX47" s="3" t="s">
        <v>198</v>
      </c>
      <c r="NHY47" s="2" t="s">
        <v>195</v>
      </c>
      <c r="NHZ47" s="3" t="s">
        <v>196</v>
      </c>
      <c r="NIA47" s="3" t="s">
        <v>180</v>
      </c>
      <c r="NIB47" s="3" t="s">
        <v>26</v>
      </c>
      <c r="NIC47" s="3" t="s">
        <v>197</v>
      </c>
      <c r="NIF47" s="3" t="s">
        <v>198</v>
      </c>
      <c r="NIG47" s="2" t="s">
        <v>195</v>
      </c>
      <c r="NIH47" s="3" t="s">
        <v>196</v>
      </c>
      <c r="NII47" s="3" t="s">
        <v>180</v>
      </c>
      <c r="NIJ47" s="3" t="s">
        <v>26</v>
      </c>
      <c r="NIK47" s="3" t="s">
        <v>197</v>
      </c>
      <c r="NIN47" s="3" t="s">
        <v>198</v>
      </c>
      <c r="NIO47" s="2" t="s">
        <v>195</v>
      </c>
      <c r="NIP47" s="3" t="s">
        <v>196</v>
      </c>
      <c r="NIQ47" s="3" t="s">
        <v>180</v>
      </c>
      <c r="NIR47" s="3" t="s">
        <v>26</v>
      </c>
      <c r="NIS47" s="3" t="s">
        <v>197</v>
      </c>
      <c r="NIV47" s="3" t="s">
        <v>198</v>
      </c>
      <c r="NIW47" s="2" t="s">
        <v>195</v>
      </c>
      <c r="NIX47" s="3" t="s">
        <v>196</v>
      </c>
      <c r="NIY47" s="3" t="s">
        <v>180</v>
      </c>
      <c r="NIZ47" s="3" t="s">
        <v>26</v>
      </c>
      <c r="NJA47" s="3" t="s">
        <v>197</v>
      </c>
      <c r="NJD47" s="3" t="s">
        <v>198</v>
      </c>
      <c r="NJE47" s="2" t="s">
        <v>195</v>
      </c>
      <c r="NJF47" s="3" t="s">
        <v>196</v>
      </c>
      <c r="NJG47" s="3" t="s">
        <v>180</v>
      </c>
      <c r="NJH47" s="3" t="s">
        <v>26</v>
      </c>
      <c r="NJI47" s="3" t="s">
        <v>197</v>
      </c>
      <c r="NJL47" s="3" t="s">
        <v>198</v>
      </c>
      <c r="NJM47" s="2" t="s">
        <v>195</v>
      </c>
      <c r="NJN47" s="3" t="s">
        <v>196</v>
      </c>
      <c r="NJO47" s="3" t="s">
        <v>180</v>
      </c>
      <c r="NJP47" s="3" t="s">
        <v>26</v>
      </c>
      <c r="NJQ47" s="3" t="s">
        <v>197</v>
      </c>
      <c r="NJT47" s="3" t="s">
        <v>198</v>
      </c>
      <c r="NJU47" s="2" t="s">
        <v>195</v>
      </c>
      <c r="NJV47" s="3" t="s">
        <v>196</v>
      </c>
      <c r="NJW47" s="3" t="s">
        <v>180</v>
      </c>
      <c r="NJX47" s="3" t="s">
        <v>26</v>
      </c>
      <c r="NJY47" s="3" t="s">
        <v>197</v>
      </c>
      <c r="NKB47" s="3" t="s">
        <v>198</v>
      </c>
      <c r="NKC47" s="2" t="s">
        <v>195</v>
      </c>
      <c r="NKD47" s="3" t="s">
        <v>196</v>
      </c>
      <c r="NKE47" s="3" t="s">
        <v>180</v>
      </c>
      <c r="NKF47" s="3" t="s">
        <v>26</v>
      </c>
      <c r="NKG47" s="3" t="s">
        <v>197</v>
      </c>
      <c r="NKJ47" s="3" t="s">
        <v>198</v>
      </c>
      <c r="NKK47" s="2" t="s">
        <v>195</v>
      </c>
      <c r="NKL47" s="3" t="s">
        <v>196</v>
      </c>
      <c r="NKM47" s="3" t="s">
        <v>180</v>
      </c>
      <c r="NKN47" s="3" t="s">
        <v>26</v>
      </c>
      <c r="NKO47" s="3" t="s">
        <v>197</v>
      </c>
      <c r="NKR47" s="3" t="s">
        <v>198</v>
      </c>
      <c r="NKS47" s="2" t="s">
        <v>195</v>
      </c>
      <c r="NKT47" s="3" t="s">
        <v>196</v>
      </c>
      <c r="NKU47" s="3" t="s">
        <v>180</v>
      </c>
      <c r="NKV47" s="3" t="s">
        <v>26</v>
      </c>
      <c r="NKW47" s="3" t="s">
        <v>197</v>
      </c>
      <c r="NKZ47" s="3" t="s">
        <v>198</v>
      </c>
      <c r="NLA47" s="2" t="s">
        <v>195</v>
      </c>
      <c r="NLB47" s="3" t="s">
        <v>196</v>
      </c>
      <c r="NLC47" s="3" t="s">
        <v>180</v>
      </c>
      <c r="NLD47" s="3" t="s">
        <v>26</v>
      </c>
      <c r="NLE47" s="3" t="s">
        <v>197</v>
      </c>
      <c r="NLH47" s="3" t="s">
        <v>198</v>
      </c>
      <c r="NLI47" s="2" t="s">
        <v>195</v>
      </c>
      <c r="NLJ47" s="3" t="s">
        <v>196</v>
      </c>
      <c r="NLK47" s="3" t="s">
        <v>180</v>
      </c>
      <c r="NLL47" s="3" t="s">
        <v>26</v>
      </c>
      <c r="NLM47" s="3" t="s">
        <v>197</v>
      </c>
      <c r="NLP47" s="3" t="s">
        <v>198</v>
      </c>
      <c r="NLQ47" s="2" t="s">
        <v>195</v>
      </c>
      <c r="NLR47" s="3" t="s">
        <v>196</v>
      </c>
      <c r="NLS47" s="3" t="s">
        <v>180</v>
      </c>
      <c r="NLT47" s="3" t="s">
        <v>26</v>
      </c>
      <c r="NLU47" s="3" t="s">
        <v>197</v>
      </c>
      <c r="NLX47" s="3" t="s">
        <v>198</v>
      </c>
      <c r="NLY47" s="2" t="s">
        <v>195</v>
      </c>
      <c r="NLZ47" s="3" t="s">
        <v>196</v>
      </c>
      <c r="NMA47" s="3" t="s">
        <v>180</v>
      </c>
      <c r="NMB47" s="3" t="s">
        <v>26</v>
      </c>
      <c r="NMC47" s="3" t="s">
        <v>197</v>
      </c>
      <c r="NMF47" s="3" t="s">
        <v>198</v>
      </c>
      <c r="NMG47" s="2" t="s">
        <v>195</v>
      </c>
      <c r="NMH47" s="3" t="s">
        <v>196</v>
      </c>
      <c r="NMI47" s="3" t="s">
        <v>180</v>
      </c>
      <c r="NMJ47" s="3" t="s">
        <v>26</v>
      </c>
      <c r="NMK47" s="3" t="s">
        <v>197</v>
      </c>
      <c r="NMN47" s="3" t="s">
        <v>198</v>
      </c>
      <c r="NMO47" s="2" t="s">
        <v>195</v>
      </c>
      <c r="NMP47" s="3" t="s">
        <v>196</v>
      </c>
      <c r="NMQ47" s="3" t="s">
        <v>180</v>
      </c>
      <c r="NMR47" s="3" t="s">
        <v>26</v>
      </c>
      <c r="NMS47" s="3" t="s">
        <v>197</v>
      </c>
      <c r="NMV47" s="3" t="s">
        <v>198</v>
      </c>
      <c r="NMW47" s="2" t="s">
        <v>195</v>
      </c>
      <c r="NMX47" s="3" t="s">
        <v>196</v>
      </c>
      <c r="NMY47" s="3" t="s">
        <v>180</v>
      </c>
      <c r="NMZ47" s="3" t="s">
        <v>26</v>
      </c>
      <c r="NNA47" s="3" t="s">
        <v>197</v>
      </c>
      <c r="NND47" s="3" t="s">
        <v>198</v>
      </c>
      <c r="NNE47" s="2" t="s">
        <v>195</v>
      </c>
      <c r="NNF47" s="3" t="s">
        <v>196</v>
      </c>
      <c r="NNG47" s="3" t="s">
        <v>180</v>
      </c>
      <c r="NNH47" s="3" t="s">
        <v>26</v>
      </c>
      <c r="NNI47" s="3" t="s">
        <v>197</v>
      </c>
      <c r="NNL47" s="3" t="s">
        <v>198</v>
      </c>
      <c r="NNM47" s="2" t="s">
        <v>195</v>
      </c>
      <c r="NNN47" s="3" t="s">
        <v>196</v>
      </c>
      <c r="NNO47" s="3" t="s">
        <v>180</v>
      </c>
      <c r="NNP47" s="3" t="s">
        <v>26</v>
      </c>
      <c r="NNQ47" s="3" t="s">
        <v>197</v>
      </c>
      <c r="NNT47" s="3" t="s">
        <v>198</v>
      </c>
      <c r="NNU47" s="2" t="s">
        <v>195</v>
      </c>
      <c r="NNV47" s="3" t="s">
        <v>196</v>
      </c>
      <c r="NNW47" s="3" t="s">
        <v>180</v>
      </c>
      <c r="NNX47" s="3" t="s">
        <v>26</v>
      </c>
      <c r="NNY47" s="3" t="s">
        <v>197</v>
      </c>
      <c r="NOB47" s="3" t="s">
        <v>198</v>
      </c>
      <c r="NOC47" s="2" t="s">
        <v>195</v>
      </c>
      <c r="NOD47" s="3" t="s">
        <v>196</v>
      </c>
      <c r="NOE47" s="3" t="s">
        <v>180</v>
      </c>
      <c r="NOF47" s="3" t="s">
        <v>26</v>
      </c>
      <c r="NOG47" s="3" t="s">
        <v>197</v>
      </c>
      <c r="NOJ47" s="3" t="s">
        <v>198</v>
      </c>
      <c r="NOK47" s="2" t="s">
        <v>195</v>
      </c>
      <c r="NOL47" s="3" t="s">
        <v>196</v>
      </c>
      <c r="NOM47" s="3" t="s">
        <v>180</v>
      </c>
      <c r="NON47" s="3" t="s">
        <v>26</v>
      </c>
      <c r="NOO47" s="3" t="s">
        <v>197</v>
      </c>
      <c r="NOR47" s="3" t="s">
        <v>198</v>
      </c>
      <c r="NOS47" s="2" t="s">
        <v>195</v>
      </c>
      <c r="NOT47" s="3" t="s">
        <v>196</v>
      </c>
      <c r="NOU47" s="3" t="s">
        <v>180</v>
      </c>
      <c r="NOV47" s="3" t="s">
        <v>26</v>
      </c>
      <c r="NOW47" s="3" t="s">
        <v>197</v>
      </c>
      <c r="NOZ47" s="3" t="s">
        <v>198</v>
      </c>
      <c r="NPA47" s="2" t="s">
        <v>195</v>
      </c>
      <c r="NPB47" s="3" t="s">
        <v>196</v>
      </c>
      <c r="NPC47" s="3" t="s">
        <v>180</v>
      </c>
      <c r="NPD47" s="3" t="s">
        <v>26</v>
      </c>
      <c r="NPE47" s="3" t="s">
        <v>197</v>
      </c>
      <c r="NPH47" s="3" t="s">
        <v>198</v>
      </c>
      <c r="NPI47" s="2" t="s">
        <v>195</v>
      </c>
      <c r="NPJ47" s="3" t="s">
        <v>196</v>
      </c>
      <c r="NPK47" s="3" t="s">
        <v>180</v>
      </c>
      <c r="NPL47" s="3" t="s">
        <v>26</v>
      </c>
      <c r="NPM47" s="3" t="s">
        <v>197</v>
      </c>
      <c r="NPP47" s="3" t="s">
        <v>198</v>
      </c>
      <c r="NPQ47" s="2" t="s">
        <v>195</v>
      </c>
      <c r="NPR47" s="3" t="s">
        <v>196</v>
      </c>
      <c r="NPS47" s="3" t="s">
        <v>180</v>
      </c>
      <c r="NPT47" s="3" t="s">
        <v>26</v>
      </c>
      <c r="NPU47" s="3" t="s">
        <v>197</v>
      </c>
      <c r="NPX47" s="3" t="s">
        <v>198</v>
      </c>
      <c r="NPY47" s="2" t="s">
        <v>195</v>
      </c>
      <c r="NPZ47" s="3" t="s">
        <v>196</v>
      </c>
      <c r="NQA47" s="3" t="s">
        <v>180</v>
      </c>
      <c r="NQB47" s="3" t="s">
        <v>26</v>
      </c>
      <c r="NQC47" s="3" t="s">
        <v>197</v>
      </c>
      <c r="NQF47" s="3" t="s">
        <v>198</v>
      </c>
      <c r="NQG47" s="2" t="s">
        <v>195</v>
      </c>
      <c r="NQH47" s="3" t="s">
        <v>196</v>
      </c>
      <c r="NQI47" s="3" t="s">
        <v>180</v>
      </c>
      <c r="NQJ47" s="3" t="s">
        <v>26</v>
      </c>
      <c r="NQK47" s="3" t="s">
        <v>197</v>
      </c>
      <c r="NQN47" s="3" t="s">
        <v>198</v>
      </c>
      <c r="NQO47" s="2" t="s">
        <v>195</v>
      </c>
      <c r="NQP47" s="3" t="s">
        <v>196</v>
      </c>
      <c r="NQQ47" s="3" t="s">
        <v>180</v>
      </c>
      <c r="NQR47" s="3" t="s">
        <v>26</v>
      </c>
      <c r="NQS47" s="3" t="s">
        <v>197</v>
      </c>
      <c r="NQV47" s="3" t="s">
        <v>198</v>
      </c>
      <c r="NQW47" s="2" t="s">
        <v>195</v>
      </c>
      <c r="NQX47" s="3" t="s">
        <v>196</v>
      </c>
      <c r="NQY47" s="3" t="s">
        <v>180</v>
      </c>
      <c r="NQZ47" s="3" t="s">
        <v>26</v>
      </c>
      <c r="NRA47" s="3" t="s">
        <v>197</v>
      </c>
      <c r="NRD47" s="3" t="s">
        <v>198</v>
      </c>
      <c r="NRE47" s="2" t="s">
        <v>195</v>
      </c>
      <c r="NRF47" s="3" t="s">
        <v>196</v>
      </c>
      <c r="NRG47" s="3" t="s">
        <v>180</v>
      </c>
      <c r="NRH47" s="3" t="s">
        <v>26</v>
      </c>
      <c r="NRI47" s="3" t="s">
        <v>197</v>
      </c>
      <c r="NRL47" s="3" t="s">
        <v>198</v>
      </c>
      <c r="NRM47" s="2" t="s">
        <v>195</v>
      </c>
      <c r="NRN47" s="3" t="s">
        <v>196</v>
      </c>
      <c r="NRO47" s="3" t="s">
        <v>180</v>
      </c>
      <c r="NRP47" s="3" t="s">
        <v>26</v>
      </c>
      <c r="NRQ47" s="3" t="s">
        <v>197</v>
      </c>
      <c r="NRT47" s="3" t="s">
        <v>198</v>
      </c>
      <c r="NRU47" s="2" t="s">
        <v>195</v>
      </c>
      <c r="NRV47" s="3" t="s">
        <v>196</v>
      </c>
      <c r="NRW47" s="3" t="s">
        <v>180</v>
      </c>
      <c r="NRX47" s="3" t="s">
        <v>26</v>
      </c>
      <c r="NRY47" s="3" t="s">
        <v>197</v>
      </c>
      <c r="NSB47" s="3" t="s">
        <v>198</v>
      </c>
      <c r="NSC47" s="2" t="s">
        <v>195</v>
      </c>
      <c r="NSD47" s="3" t="s">
        <v>196</v>
      </c>
      <c r="NSE47" s="3" t="s">
        <v>180</v>
      </c>
      <c r="NSF47" s="3" t="s">
        <v>26</v>
      </c>
      <c r="NSG47" s="3" t="s">
        <v>197</v>
      </c>
      <c r="NSJ47" s="3" t="s">
        <v>198</v>
      </c>
      <c r="NSK47" s="2" t="s">
        <v>195</v>
      </c>
      <c r="NSL47" s="3" t="s">
        <v>196</v>
      </c>
      <c r="NSM47" s="3" t="s">
        <v>180</v>
      </c>
      <c r="NSN47" s="3" t="s">
        <v>26</v>
      </c>
      <c r="NSO47" s="3" t="s">
        <v>197</v>
      </c>
      <c r="NSR47" s="3" t="s">
        <v>198</v>
      </c>
      <c r="NSS47" s="2" t="s">
        <v>195</v>
      </c>
      <c r="NST47" s="3" t="s">
        <v>196</v>
      </c>
      <c r="NSU47" s="3" t="s">
        <v>180</v>
      </c>
      <c r="NSV47" s="3" t="s">
        <v>26</v>
      </c>
      <c r="NSW47" s="3" t="s">
        <v>197</v>
      </c>
      <c r="NSZ47" s="3" t="s">
        <v>198</v>
      </c>
      <c r="NTA47" s="2" t="s">
        <v>195</v>
      </c>
      <c r="NTB47" s="3" t="s">
        <v>196</v>
      </c>
      <c r="NTC47" s="3" t="s">
        <v>180</v>
      </c>
      <c r="NTD47" s="3" t="s">
        <v>26</v>
      </c>
      <c r="NTE47" s="3" t="s">
        <v>197</v>
      </c>
      <c r="NTH47" s="3" t="s">
        <v>198</v>
      </c>
      <c r="NTI47" s="2" t="s">
        <v>195</v>
      </c>
      <c r="NTJ47" s="3" t="s">
        <v>196</v>
      </c>
      <c r="NTK47" s="3" t="s">
        <v>180</v>
      </c>
      <c r="NTL47" s="3" t="s">
        <v>26</v>
      </c>
      <c r="NTM47" s="3" t="s">
        <v>197</v>
      </c>
      <c r="NTP47" s="3" t="s">
        <v>198</v>
      </c>
      <c r="NTQ47" s="2" t="s">
        <v>195</v>
      </c>
      <c r="NTR47" s="3" t="s">
        <v>196</v>
      </c>
      <c r="NTS47" s="3" t="s">
        <v>180</v>
      </c>
      <c r="NTT47" s="3" t="s">
        <v>26</v>
      </c>
      <c r="NTU47" s="3" t="s">
        <v>197</v>
      </c>
      <c r="NTX47" s="3" t="s">
        <v>198</v>
      </c>
      <c r="NTY47" s="2" t="s">
        <v>195</v>
      </c>
      <c r="NTZ47" s="3" t="s">
        <v>196</v>
      </c>
      <c r="NUA47" s="3" t="s">
        <v>180</v>
      </c>
      <c r="NUB47" s="3" t="s">
        <v>26</v>
      </c>
      <c r="NUC47" s="3" t="s">
        <v>197</v>
      </c>
      <c r="NUF47" s="3" t="s">
        <v>198</v>
      </c>
      <c r="NUG47" s="2" t="s">
        <v>195</v>
      </c>
      <c r="NUH47" s="3" t="s">
        <v>196</v>
      </c>
      <c r="NUI47" s="3" t="s">
        <v>180</v>
      </c>
      <c r="NUJ47" s="3" t="s">
        <v>26</v>
      </c>
      <c r="NUK47" s="3" t="s">
        <v>197</v>
      </c>
      <c r="NUN47" s="3" t="s">
        <v>198</v>
      </c>
      <c r="NUO47" s="2" t="s">
        <v>195</v>
      </c>
      <c r="NUP47" s="3" t="s">
        <v>196</v>
      </c>
      <c r="NUQ47" s="3" t="s">
        <v>180</v>
      </c>
      <c r="NUR47" s="3" t="s">
        <v>26</v>
      </c>
      <c r="NUS47" s="3" t="s">
        <v>197</v>
      </c>
      <c r="NUV47" s="3" t="s">
        <v>198</v>
      </c>
      <c r="NUW47" s="2" t="s">
        <v>195</v>
      </c>
      <c r="NUX47" s="3" t="s">
        <v>196</v>
      </c>
      <c r="NUY47" s="3" t="s">
        <v>180</v>
      </c>
      <c r="NUZ47" s="3" t="s">
        <v>26</v>
      </c>
      <c r="NVA47" s="3" t="s">
        <v>197</v>
      </c>
      <c r="NVD47" s="3" t="s">
        <v>198</v>
      </c>
      <c r="NVE47" s="2" t="s">
        <v>195</v>
      </c>
      <c r="NVF47" s="3" t="s">
        <v>196</v>
      </c>
      <c r="NVG47" s="3" t="s">
        <v>180</v>
      </c>
      <c r="NVH47" s="3" t="s">
        <v>26</v>
      </c>
      <c r="NVI47" s="3" t="s">
        <v>197</v>
      </c>
      <c r="NVL47" s="3" t="s">
        <v>198</v>
      </c>
      <c r="NVM47" s="2" t="s">
        <v>195</v>
      </c>
      <c r="NVN47" s="3" t="s">
        <v>196</v>
      </c>
      <c r="NVO47" s="3" t="s">
        <v>180</v>
      </c>
      <c r="NVP47" s="3" t="s">
        <v>26</v>
      </c>
      <c r="NVQ47" s="3" t="s">
        <v>197</v>
      </c>
      <c r="NVT47" s="3" t="s">
        <v>198</v>
      </c>
      <c r="NVU47" s="2" t="s">
        <v>195</v>
      </c>
      <c r="NVV47" s="3" t="s">
        <v>196</v>
      </c>
      <c r="NVW47" s="3" t="s">
        <v>180</v>
      </c>
      <c r="NVX47" s="3" t="s">
        <v>26</v>
      </c>
      <c r="NVY47" s="3" t="s">
        <v>197</v>
      </c>
      <c r="NWB47" s="3" t="s">
        <v>198</v>
      </c>
      <c r="NWC47" s="2" t="s">
        <v>195</v>
      </c>
      <c r="NWD47" s="3" t="s">
        <v>196</v>
      </c>
      <c r="NWE47" s="3" t="s">
        <v>180</v>
      </c>
      <c r="NWF47" s="3" t="s">
        <v>26</v>
      </c>
      <c r="NWG47" s="3" t="s">
        <v>197</v>
      </c>
      <c r="NWJ47" s="3" t="s">
        <v>198</v>
      </c>
      <c r="NWK47" s="2" t="s">
        <v>195</v>
      </c>
      <c r="NWL47" s="3" t="s">
        <v>196</v>
      </c>
      <c r="NWM47" s="3" t="s">
        <v>180</v>
      </c>
      <c r="NWN47" s="3" t="s">
        <v>26</v>
      </c>
      <c r="NWO47" s="3" t="s">
        <v>197</v>
      </c>
      <c r="NWR47" s="3" t="s">
        <v>198</v>
      </c>
      <c r="NWS47" s="2" t="s">
        <v>195</v>
      </c>
      <c r="NWT47" s="3" t="s">
        <v>196</v>
      </c>
      <c r="NWU47" s="3" t="s">
        <v>180</v>
      </c>
      <c r="NWV47" s="3" t="s">
        <v>26</v>
      </c>
      <c r="NWW47" s="3" t="s">
        <v>197</v>
      </c>
      <c r="NWZ47" s="3" t="s">
        <v>198</v>
      </c>
      <c r="NXA47" s="2" t="s">
        <v>195</v>
      </c>
      <c r="NXB47" s="3" t="s">
        <v>196</v>
      </c>
      <c r="NXC47" s="3" t="s">
        <v>180</v>
      </c>
      <c r="NXD47" s="3" t="s">
        <v>26</v>
      </c>
      <c r="NXE47" s="3" t="s">
        <v>197</v>
      </c>
      <c r="NXH47" s="3" t="s">
        <v>198</v>
      </c>
      <c r="NXI47" s="2" t="s">
        <v>195</v>
      </c>
      <c r="NXJ47" s="3" t="s">
        <v>196</v>
      </c>
      <c r="NXK47" s="3" t="s">
        <v>180</v>
      </c>
      <c r="NXL47" s="3" t="s">
        <v>26</v>
      </c>
      <c r="NXM47" s="3" t="s">
        <v>197</v>
      </c>
      <c r="NXP47" s="3" t="s">
        <v>198</v>
      </c>
      <c r="NXQ47" s="2" t="s">
        <v>195</v>
      </c>
      <c r="NXR47" s="3" t="s">
        <v>196</v>
      </c>
      <c r="NXS47" s="3" t="s">
        <v>180</v>
      </c>
      <c r="NXT47" s="3" t="s">
        <v>26</v>
      </c>
      <c r="NXU47" s="3" t="s">
        <v>197</v>
      </c>
      <c r="NXX47" s="3" t="s">
        <v>198</v>
      </c>
      <c r="NXY47" s="2" t="s">
        <v>195</v>
      </c>
      <c r="NXZ47" s="3" t="s">
        <v>196</v>
      </c>
      <c r="NYA47" s="3" t="s">
        <v>180</v>
      </c>
      <c r="NYB47" s="3" t="s">
        <v>26</v>
      </c>
      <c r="NYC47" s="3" t="s">
        <v>197</v>
      </c>
      <c r="NYF47" s="3" t="s">
        <v>198</v>
      </c>
      <c r="NYG47" s="2" t="s">
        <v>195</v>
      </c>
      <c r="NYH47" s="3" t="s">
        <v>196</v>
      </c>
      <c r="NYI47" s="3" t="s">
        <v>180</v>
      </c>
      <c r="NYJ47" s="3" t="s">
        <v>26</v>
      </c>
      <c r="NYK47" s="3" t="s">
        <v>197</v>
      </c>
      <c r="NYN47" s="3" t="s">
        <v>198</v>
      </c>
      <c r="NYO47" s="2" t="s">
        <v>195</v>
      </c>
      <c r="NYP47" s="3" t="s">
        <v>196</v>
      </c>
      <c r="NYQ47" s="3" t="s">
        <v>180</v>
      </c>
      <c r="NYR47" s="3" t="s">
        <v>26</v>
      </c>
      <c r="NYS47" s="3" t="s">
        <v>197</v>
      </c>
      <c r="NYV47" s="3" t="s">
        <v>198</v>
      </c>
      <c r="NYW47" s="2" t="s">
        <v>195</v>
      </c>
      <c r="NYX47" s="3" t="s">
        <v>196</v>
      </c>
      <c r="NYY47" s="3" t="s">
        <v>180</v>
      </c>
      <c r="NYZ47" s="3" t="s">
        <v>26</v>
      </c>
      <c r="NZA47" s="3" t="s">
        <v>197</v>
      </c>
      <c r="NZD47" s="3" t="s">
        <v>198</v>
      </c>
      <c r="NZE47" s="2" t="s">
        <v>195</v>
      </c>
      <c r="NZF47" s="3" t="s">
        <v>196</v>
      </c>
      <c r="NZG47" s="3" t="s">
        <v>180</v>
      </c>
      <c r="NZH47" s="3" t="s">
        <v>26</v>
      </c>
      <c r="NZI47" s="3" t="s">
        <v>197</v>
      </c>
      <c r="NZL47" s="3" t="s">
        <v>198</v>
      </c>
      <c r="NZM47" s="2" t="s">
        <v>195</v>
      </c>
      <c r="NZN47" s="3" t="s">
        <v>196</v>
      </c>
      <c r="NZO47" s="3" t="s">
        <v>180</v>
      </c>
      <c r="NZP47" s="3" t="s">
        <v>26</v>
      </c>
      <c r="NZQ47" s="3" t="s">
        <v>197</v>
      </c>
      <c r="NZT47" s="3" t="s">
        <v>198</v>
      </c>
      <c r="NZU47" s="2" t="s">
        <v>195</v>
      </c>
      <c r="NZV47" s="3" t="s">
        <v>196</v>
      </c>
      <c r="NZW47" s="3" t="s">
        <v>180</v>
      </c>
      <c r="NZX47" s="3" t="s">
        <v>26</v>
      </c>
      <c r="NZY47" s="3" t="s">
        <v>197</v>
      </c>
      <c r="OAB47" s="3" t="s">
        <v>198</v>
      </c>
      <c r="OAC47" s="2" t="s">
        <v>195</v>
      </c>
      <c r="OAD47" s="3" t="s">
        <v>196</v>
      </c>
      <c r="OAE47" s="3" t="s">
        <v>180</v>
      </c>
      <c r="OAF47" s="3" t="s">
        <v>26</v>
      </c>
      <c r="OAG47" s="3" t="s">
        <v>197</v>
      </c>
      <c r="OAJ47" s="3" t="s">
        <v>198</v>
      </c>
      <c r="OAK47" s="2" t="s">
        <v>195</v>
      </c>
      <c r="OAL47" s="3" t="s">
        <v>196</v>
      </c>
      <c r="OAM47" s="3" t="s">
        <v>180</v>
      </c>
      <c r="OAN47" s="3" t="s">
        <v>26</v>
      </c>
      <c r="OAO47" s="3" t="s">
        <v>197</v>
      </c>
      <c r="OAR47" s="3" t="s">
        <v>198</v>
      </c>
      <c r="OAS47" s="2" t="s">
        <v>195</v>
      </c>
      <c r="OAT47" s="3" t="s">
        <v>196</v>
      </c>
      <c r="OAU47" s="3" t="s">
        <v>180</v>
      </c>
      <c r="OAV47" s="3" t="s">
        <v>26</v>
      </c>
      <c r="OAW47" s="3" t="s">
        <v>197</v>
      </c>
      <c r="OAZ47" s="3" t="s">
        <v>198</v>
      </c>
      <c r="OBA47" s="2" t="s">
        <v>195</v>
      </c>
      <c r="OBB47" s="3" t="s">
        <v>196</v>
      </c>
      <c r="OBC47" s="3" t="s">
        <v>180</v>
      </c>
      <c r="OBD47" s="3" t="s">
        <v>26</v>
      </c>
      <c r="OBE47" s="3" t="s">
        <v>197</v>
      </c>
      <c r="OBH47" s="3" t="s">
        <v>198</v>
      </c>
      <c r="OBI47" s="2" t="s">
        <v>195</v>
      </c>
      <c r="OBJ47" s="3" t="s">
        <v>196</v>
      </c>
      <c r="OBK47" s="3" t="s">
        <v>180</v>
      </c>
      <c r="OBL47" s="3" t="s">
        <v>26</v>
      </c>
      <c r="OBM47" s="3" t="s">
        <v>197</v>
      </c>
      <c r="OBP47" s="3" t="s">
        <v>198</v>
      </c>
      <c r="OBQ47" s="2" t="s">
        <v>195</v>
      </c>
      <c r="OBR47" s="3" t="s">
        <v>196</v>
      </c>
      <c r="OBS47" s="3" t="s">
        <v>180</v>
      </c>
      <c r="OBT47" s="3" t="s">
        <v>26</v>
      </c>
      <c r="OBU47" s="3" t="s">
        <v>197</v>
      </c>
      <c r="OBX47" s="3" t="s">
        <v>198</v>
      </c>
      <c r="OBY47" s="2" t="s">
        <v>195</v>
      </c>
      <c r="OBZ47" s="3" t="s">
        <v>196</v>
      </c>
      <c r="OCA47" s="3" t="s">
        <v>180</v>
      </c>
      <c r="OCB47" s="3" t="s">
        <v>26</v>
      </c>
      <c r="OCC47" s="3" t="s">
        <v>197</v>
      </c>
      <c r="OCF47" s="3" t="s">
        <v>198</v>
      </c>
      <c r="OCG47" s="2" t="s">
        <v>195</v>
      </c>
      <c r="OCH47" s="3" t="s">
        <v>196</v>
      </c>
      <c r="OCI47" s="3" t="s">
        <v>180</v>
      </c>
      <c r="OCJ47" s="3" t="s">
        <v>26</v>
      </c>
      <c r="OCK47" s="3" t="s">
        <v>197</v>
      </c>
      <c r="OCN47" s="3" t="s">
        <v>198</v>
      </c>
      <c r="OCO47" s="2" t="s">
        <v>195</v>
      </c>
      <c r="OCP47" s="3" t="s">
        <v>196</v>
      </c>
      <c r="OCQ47" s="3" t="s">
        <v>180</v>
      </c>
      <c r="OCR47" s="3" t="s">
        <v>26</v>
      </c>
      <c r="OCS47" s="3" t="s">
        <v>197</v>
      </c>
      <c r="OCV47" s="3" t="s">
        <v>198</v>
      </c>
      <c r="OCW47" s="2" t="s">
        <v>195</v>
      </c>
      <c r="OCX47" s="3" t="s">
        <v>196</v>
      </c>
      <c r="OCY47" s="3" t="s">
        <v>180</v>
      </c>
      <c r="OCZ47" s="3" t="s">
        <v>26</v>
      </c>
      <c r="ODA47" s="3" t="s">
        <v>197</v>
      </c>
      <c r="ODD47" s="3" t="s">
        <v>198</v>
      </c>
      <c r="ODE47" s="2" t="s">
        <v>195</v>
      </c>
      <c r="ODF47" s="3" t="s">
        <v>196</v>
      </c>
      <c r="ODG47" s="3" t="s">
        <v>180</v>
      </c>
      <c r="ODH47" s="3" t="s">
        <v>26</v>
      </c>
      <c r="ODI47" s="3" t="s">
        <v>197</v>
      </c>
      <c r="ODL47" s="3" t="s">
        <v>198</v>
      </c>
      <c r="ODM47" s="2" t="s">
        <v>195</v>
      </c>
      <c r="ODN47" s="3" t="s">
        <v>196</v>
      </c>
      <c r="ODO47" s="3" t="s">
        <v>180</v>
      </c>
      <c r="ODP47" s="3" t="s">
        <v>26</v>
      </c>
      <c r="ODQ47" s="3" t="s">
        <v>197</v>
      </c>
      <c r="ODT47" s="3" t="s">
        <v>198</v>
      </c>
      <c r="ODU47" s="2" t="s">
        <v>195</v>
      </c>
      <c r="ODV47" s="3" t="s">
        <v>196</v>
      </c>
      <c r="ODW47" s="3" t="s">
        <v>180</v>
      </c>
      <c r="ODX47" s="3" t="s">
        <v>26</v>
      </c>
      <c r="ODY47" s="3" t="s">
        <v>197</v>
      </c>
      <c r="OEB47" s="3" t="s">
        <v>198</v>
      </c>
      <c r="OEC47" s="2" t="s">
        <v>195</v>
      </c>
      <c r="OED47" s="3" t="s">
        <v>196</v>
      </c>
      <c r="OEE47" s="3" t="s">
        <v>180</v>
      </c>
      <c r="OEF47" s="3" t="s">
        <v>26</v>
      </c>
      <c r="OEG47" s="3" t="s">
        <v>197</v>
      </c>
      <c r="OEJ47" s="3" t="s">
        <v>198</v>
      </c>
      <c r="OEK47" s="2" t="s">
        <v>195</v>
      </c>
      <c r="OEL47" s="3" t="s">
        <v>196</v>
      </c>
      <c r="OEM47" s="3" t="s">
        <v>180</v>
      </c>
      <c r="OEN47" s="3" t="s">
        <v>26</v>
      </c>
      <c r="OEO47" s="3" t="s">
        <v>197</v>
      </c>
      <c r="OER47" s="3" t="s">
        <v>198</v>
      </c>
      <c r="OES47" s="2" t="s">
        <v>195</v>
      </c>
      <c r="OET47" s="3" t="s">
        <v>196</v>
      </c>
      <c r="OEU47" s="3" t="s">
        <v>180</v>
      </c>
      <c r="OEV47" s="3" t="s">
        <v>26</v>
      </c>
      <c r="OEW47" s="3" t="s">
        <v>197</v>
      </c>
      <c r="OEZ47" s="3" t="s">
        <v>198</v>
      </c>
      <c r="OFA47" s="2" t="s">
        <v>195</v>
      </c>
      <c r="OFB47" s="3" t="s">
        <v>196</v>
      </c>
      <c r="OFC47" s="3" t="s">
        <v>180</v>
      </c>
      <c r="OFD47" s="3" t="s">
        <v>26</v>
      </c>
      <c r="OFE47" s="3" t="s">
        <v>197</v>
      </c>
      <c r="OFH47" s="3" t="s">
        <v>198</v>
      </c>
      <c r="OFI47" s="2" t="s">
        <v>195</v>
      </c>
      <c r="OFJ47" s="3" t="s">
        <v>196</v>
      </c>
      <c r="OFK47" s="3" t="s">
        <v>180</v>
      </c>
      <c r="OFL47" s="3" t="s">
        <v>26</v>
      </c>
      <c r="OFM47" s="3" t="s">
        <v>197</v>
      </c>
      <c r="OFP47" s="3" t="s">
        <v>198</v>
      </c>
      <c r="OFQ47" s="2" t="s">
        <v>195</v>
      </c>
      <c r="OFR47" s="3" t="s">
        <v>196</v>
      </c>
      <c r="OFS47" s="3" t="s">
        <v>180</v>
      </c>
      <c r="OFT47" s="3" t="s">
        <v>26</v>
      </c>
      <c r="OFU47" s="3" t="s">
        <v>197</v>
      </c>
      <c r="OFX47" s="3" t="s">
        <v>198</v>
      </c>
      <c r="OFY47" s="2" t="s">
        <v>195</v>
      </c>
      <c r="OFZ47" s="3" t="s">
        <v>196</v>
      </c>
      <c r="OGA47" s="3" t="s">
        <v>180</v>
      </c>
      <c r="OGB47" s="3" t="s">
        <v>26</v>
      </c>
      <c r="OGC47" s="3" t="s">
        <v>197</v>
      </c>
      <c r="OGF47" s="3" t="s">
        <v>198</v>
      </c>
      <c r="OGG47" s="2" t="s">
        <v>195</v>
      </c>
      <c r="OGH47" s="3" t="s">
        <v>196</v>
      </c>
      <c r="OGI47" s="3" t="s">
        <v>180</v>
      </c>
      <c r="OGJ47" s="3" t="s">
        <v>26</v>
      </c>
      <c r="OGK47" s="3" t="s">
        <v>197</v>
      </c>
      <c r="OGN47" s="3" t="s">
        <v>198</v>
      </c>
      <c r="OGO47" s="2" t="s">
        <v>195</v>
      </c>
      <c r="OGP47" s="3" t="s">
        <v>196</v>
      </c>
      <c r="OGQ47" s="3" t="s">
        <v>180</v>
      </c>
      <c r="OGR47" s="3" t="s">
        <v>26</v>
      </c>
      <c r="OGS47" s="3" t="s">
        <v>197</v>
      </c>
      <c r="OGV47" s="3" t="s">
        <v>198</v>
      </c>
      <c r="OGW47" s="2" t="s">
        <v>195</v>
      </c>
      <c r="OGX47" s="3" t="s">
        <v>196</v>
      </c>
      <c r="OGY47" s="3" t="s">
        <v>180</v>
      </c>
      <c r="OGZ47" s="3" t="s">
        <v>26</v>
      </c>
      <c r="OHA47" s="3" t="s">
        <v>197</v>
      </c>
      <c r="OHD47" s="3" t="s">
        <v>198</v>
      </c>
      <c r="OHE47" s="2" t="s">
        <v>195</v>
      </c>
      <c r="OHF47" s="3" t="s">
        <v>196</v>
      </c>
      <c r="OHG47" s="3" t="s">
        <v>180</v>
      </c>
      <c r="OHH47" s="3" t="s">
        <v>26</v>
      </c>
      <c r="OHI47" s="3" t="s">
        <v>197</v>
      </c>
      <c r="OHL47" s="3" t="s">
        <v>198</v>
      </c>
      <c r="OHM47" s="2" t="s">
        <v>195</v>
      </c>
      <c r="OHN47" s="3" t="s">
        <v>196</v>
      </c>
      <c r="OHO47" s="3" t="s">
        <v>180</v>
      </c>
      <c r="OHP47" s="3" t="s">
        <v>26</v>
      </c>
      <c r="OHQ47" s="3" t="s">
        <v>197</v>
      </c>
      <c r="OHT47" s="3" t="s">
        <v>198</v>
      </c>
      <c r="OHU47" s="2" t="s">
        <v>195</v>
      </c>
      <c r="OHV47" s="3" t="s">
        <v>196</v>
      </c>
      <c r="OHW47" s="3" t="s">
        <v>180</v>
      </c>
      <c r="OHX47" s="3" t="s">
        <v>26</v>
      </c>
      <c r="OHY47" s="3" t="s">
        <v>197</v>
      </c>
      <c r="OIB47" s="3" t="s">
        <v>198</v>
      </c>
      <c r="OIC47" s="2" t="s">
        <v>195</v>
      </c>
      <c r="OID47" s="3" t="s">
        <v>196</v>
      </c>
      <c r="OIE47" s="3" t="s">
        <v>180</v>
      </c>
      <c r="OIF47" s="3" t="s">
        <v>26</v>
      </c>
      <c r="OIG47" s="3" t="s">
        <v>197</v>
      </c>
      <c r="OIJ47" s="3" t="s">
        <v>198</v>
      </c>
      <c r="OIK47" s="2" t="s">
        <v>195</v>
      </c>
      <c r="OIL47" s="3" t="s">
        <v>196</v>
      </c>
      <c r="OIM47" s="3" t="s">
        <v>180</v>
      </c>
      <c r="OIN47" s="3" t="s">
        <v>26</v>
      </c>
      <c r="OIO47" s="3" t="s">
        <v>197</v>
      </c>
      <c r="OIR47" s="3" t="s">
        <v>198</v>
      </c>
      <c r="OIS47" s="2" t="s">
        <v>195</v>
      </c>
      <c r="OIT47" s="3" t="s">
        <v>196</v>
      </c>
      <c r="OIU47" s="3" t="s">
        <v>180</v>
      </c>
      <c r="OIV47" s="3" t="s">
        <v>26</v>
      </c>
      <c r="OIW47" s="3" t="s">
        <v>197</v>
      </c>
      <c r="OIZ47" s="3" t="s">
        <v>198</v>
      </c>
      <c r="OJA47" s="2" t="s">
        <v>195</v>
      </c>
      <c r="OJB47" s="3" t="s">
        <v>196</v>
      </c>
      <c r="OJC47" s="3" t="s">
        <v>180</v>
      </c>
      <c r="OJD47" s="3" t="s">
        <v>26</v>
      </c>
      <c r="OJE47" s="3" t="s">
        <v>197</v>
      </c>
      <c r="OJH47" s="3" t="s">
        <v>198</v>
      </c>
      <c r="OJI47" s="2" t="s">
        <v>195</v>
      </c>
      <c r="OJJ47" s="3" t="s">
        <v>196</v>
      </c>
      <c r="OJK47" s="3" t="s">
        <v>180</v>
      </c>
      <c r="OJL47" s="3" t="s">
        <v>26</v>
      </c>
      <c r="OJM47" s="3" t="s">
        <v>197</v>
      </c>
      <c r="OJP47" s="3" t="s">
        <v>198</v>
      </c>
      <c r="OJQ47" s="2" t="s">
        <v>195</v>
      </c>
      <c r="OJR47" s="3" t="s">
        <v>196</v>
      </c>
      <c r="OJS47" s="3" t="s">
        <v>180</v>
      </c>
      <c r="OJT47" s="3" t="s">
        <v>26</v>
      </c>
      <c r="OJU47" s="3" t="s">
        <v>197</v>
      </c>
      <c r="OJX47" s="3" t="s">
        <v>198</v>
      </c>
      <c r="OJY47" s="2" t="s">
        <v>195</v>
      </c>
      <c r="OJZ47" s="3" t="s">
        <v>196</v>
      </c>
      <c r="OKA47" s="3" t="s">
        <v>180</v>
      </c>
      <c r="OKB47" s="3" t="s">
        <v>26</v>
      </c>
      <c r="OKC47" s="3" t="s">
        <v>197</v>
      </c>
      <c r="OKF47" s="3" t="s">
        <v>198</v>
      </c>
      <c r="OKG47" s="2" t="s">
        <v>195</v>
      </c>
      <c r="OKH47" s="3" t="s">
        <v>196</v>
      </c>
      <c r="OKI47" s="3" t="s">
        <v>180</v>
      </c>
      <c r="OKJ47" s="3" t="s">
        <v>26</v>
      </c>
      <c r="OKK47" s="3" t="s">
        <v>197</v>
      </c>
      <c r="OKN47" s="3" t="s">
        <v>198</v>
      </c>
      <c r="OKO47" s="2" t="s">
        <v>195</v>
      </c>
      <c r="OKP47" s="3" t="s">
        <v>196</v>
      </c>
      <c r="OKQ47" s="3" t="s">
        <v>180</v>
      </c>
      <c r="OKR47" s="3" t="s">
        <v>26</v>
      </c>
      <c r="OKS47" s="3" t="s">
        <v>197</v>
      </c>
      <c r="OKV47" s="3" t="s">
        <v>198</v>
      </c>
      <c r="OKW47" s="2" t="s">
        <v>195</v>
      </c>
      <c r="OKX47" s="3" t="s">
        <v>196</v>
      </c>
      <c r="OKY47" s="3" t="s">
        <v>180</v>
      </c>
      <c r="OKZ47" s="3" t="s">
        <v>26</v>
      </c>
      <c r="OLA47" s="3" t="s">
        <v>197</v>
      </c>
      <c r="OLD47" s="3" t="s">
        <v>198</v>
      </c>
      <c r="OLE47" s="2" t="s">
        <v>195</v>
      </c>
      <c r="OLF47" s="3" t="s">
        <v>196</v>
      </c>
      <c r="OLG47" s="3" t="s">
        <v>180</v>
      </c>
      <c r="OLH47" s="3" t="s">
        <v>26</v>
      </c>
      <c r="OLI47" s="3" t="s">
        <v>197</v>
      </c>
      <c r="OLL47" s="3" t="s">
        <v>198</v>
      </c>
      <c r="OLM47" s="2" t="s">
        <v>195</v>
      </c>
      <c r="OLN47" s="3" t="s">
        <v>196</v>
      </c>
      <c r="OLO47" s="3" t="s">
        <v>180</v>
      </c>
      <c r="OLP47" s="3" t="s">
        <v>26</v>
      </c>
      <c r="OLQ47" s="3" t="s">
        <v>197</v>
      </c>
      <c r="OLT47" s="3" t="s">
        <v>198</v>
      </c>
      <c r="OLU47" s="2" t="s">
        <v>195</v>
      </c>
      <c r="OLV47" s="3" t="s">
        <v>196</v>
      </c>
      <c r="OLW47" s="3" t="s">
        <v>180</v>
      </c>
      <c r="OLX47" s="3" t="s">
        <v>26</v>
      </c>
      <c r="OLY47" s="3" t="s">
        <v>197</v>
      </c>
      <c r="OMB47" s="3" t="s">
        <v>198</v>
      </c>
      <c r="OMC47" s="2" t="s">
        <v>195</v>
      </c>
      <c r="OMD47" s="3" t="s">
        <v>196</v>
      </c>
      <c r="OME47" s="3" t="s">
        <v>180</v>
      </c>
      <c r="OMF47" s="3" t="s">
        <v>26</v>
      </c>
      <c r="OMG47" s="3" t="s">
        <v>197</v>
      </c>
      <c r="OMJ47" s="3" t="s">
        <v>198</v>
      </c>
      <c r="OMK47" s="2" t="s">
        <v>195</v>
      </c>
      <c r="OML47" s="3" t="s">
        <v>196</v>
      </c>
      <c r="OMM47" s="3" t="s">
        <v>180</v>
      </c>
      <c r="OMN47" s="3" t="s">
        <v>26</v>
      </c>
      <c r="OMO47" s="3" t="s">
        <v>197</v>
      </c>
      <c r="OMR47" s="3" t="s">
        <v>198</v>
      </c>
      <c r="OMS47" s="2" t="s">
        <v>195</v>
      </c>
      <c r="OMT47" s="3" t="s">
        <v>196</v>
      </c>
      <c r="OMU47" s="3" t="s">
        <v>180</v>
      </c>
      <c r="OMV47" s="3" t="s">
        <v>26</v>
      </c>
      <c r="OMW47" s="3" t="s">
        <v>197</v>
      </c>
      <c r="OMZ47" s="3" t="s">
        <v>198</v>
      </c>
      <c r="ONA47" s="2" t="s">
        <v>195</v>
      </c>
      <c r="ONB47" s="3" t="s">
        <v>196</v>
      </c>
      <c r="ONC47" s="3" t="s">
        <v>180</v>
      </c>
      <c r="OND47" s="3" t="s">
        <v>26</v>
      </c>
      <c r="ONE47" s="3" t="s">
        <v>197</v>
      </c>
      <c r="ONH47" s="3" t="s">
        <v>198</v>
      </c>
      <c r="ONI47" s="2" t="s">
        <v>195</v>
      </c>
      <c r="ONJ47" s="3" t="s">
        <v>196</v>
      </c>
      <c r="ONK47" s="3" t="s">
        <v>180</v>
      </c>
      <c r="ONL47" s="3" t="s">
        <v>26</v>
      </c>
      <c r="ONM47" s="3" t="s">
        <v>197</v>
      </c>
      <c r="ONP47" s="3" t="s">
        <v>198</v>
      </c>
      <c r="ONQ47" s="2" t="s">
        <v>195</v>
      </c>
      <c r="ONR47" s="3" t="s">
        <v>196</v>
      </c>
      <c r="ONS47" s="3" t="s">
        <v>180</v>
      </c>
      <c r="ONT47" s="3" t="s">
        <v>26</v>
      </c>
      <c r="ONU47" s="3" t="s">
        <v>197</v>
      </c>
      <c r="ONX47" s="3" t="s">
        <v>198</v>
      </c>
      <c r="ONY47" s="2" t="s">
        <v>195</v>
      </c>
      <c r="ONZ47" s="3" t="s">
        <v>196</v>
      </c>
      <c r="OOA47" s="3" t="s">
        <v>180</v>
      </c>
      <c r="OOB47" s="3" t="s">
        <v>26</v>
      </c>
      <c r="OOC47" s="3" t="s">
        <v>197</v>
      </c>
      <c r="OOF47" s="3" t="s">
        <v>198</v>
      </c>
      <c r="OOG47" s="2" t="s">
        <v>195</v>
      </c>
      <c r="OOH47" s="3" t="s">
        <v>196</v>
      </c>
      <c r="OOI47" s="3" t="s">
        <v>180</v>
      </c>
      <c r="OOJ47" s="3" t="s">
        <v>26</v>
      </c>
      <c r="OOK47" s="3" t="s">
        <v>197</v>
      </c>
      <c r="OON47" s="3" t="s">
        <v>198</v>
      </c>
      <c r="OOO47" s="2" t="s">
        <v>195</v>
      </c>
      <c r="OOP47" s="3" t="s">
        <v>196</v>
      </c>
      <c r="OOQ47" s="3" t="s">
        <v>180</v>
      </c>
      <c r="OOR47" s="3" t="s">
        <v>26</v>
      </c>
      <c r="OOS47" s="3" t="s">
        <v>197</v>
      </c>
      <c r="OOV47" s="3" t="s">
        <v>198</v>
      </c>
      <c r="OOW47" s="2" t="s">
        <v>195</v>
      </c>
      <c r="OOX47" s="3" t="s">
        <v>196</v>
      </c>
      <c r="OOY47" s="3" t="s">
        <v>180</v>
      </c>
      <c r="OOZ47" s="3" t="s">
        <v>26</v>
      </c>
      <c r="OPA47" s="3" t="s">
        <v>197</v>
      </c>
      <c r="OPD47" s="3" t="s">
        <v>198</v>
      </c>
      <c r="OPE47" s="2" t="s">
        <v>195</v>
      </c>
      <c r="OPF47" s="3" t="s">
        <v>196</v>
      </c>
      <c r="OPG47" s="3" t="s">
        <v>180</v>
      </c>
      <c r="OPH47" s="3" t="s">
        <v>26</v>
      </c>
      <c r="OPI47" s="3" t="s">
        <v>197</v>
      </c>
      <c r="OPL47" s="3" t="s">
        <v>198</v>
      </c>
      <c r="OPM47" s="2" t="s">
        <v>195</v>
      </c>
      <c r="OPN47" s="3" t="s">
        <v>196</v>
      </c>
      <c r="OPO47" s="3" t="s">
        <v>180</v>
      </c>
      <c r="OPP47" s="3" t="s">
        <v>26</v>
      </c>
      <c r="OPQ47" s="3" t="s">
        <v>197</v>
      </c>
      <c r="OPT47" s="3" t="s">
        <v>198</v>
      </c>
      <c r="OPU47" s="2" t="s">
        <v>195</v>
      </c>
      <c r="OPV47" s="3" t="s">
        <v>196</v>
      </c>
      <c r="OPW47" s="3" t="s">
        <v>180</v>
      </c>
      <c r="OPX47" s="3" t="s">
        <v>26</v>
      </c>
      <c r="OPY47" s="3" t="s">
        <v>197</v>
      </c>
      <c r="OQB47" s="3" t="s">
        <v>198</v>
      </c>
      <c r="OQC47" s="2" t="s">
        <v>195</v>
      </c>
      <c r="OQD47" s="3" t="s">
        <v>196</v>
      </c>
      <c r="OQE47" s="3" t="s">
        <v>180</v>
      </c>
      <c r="OQF47" s="3" t="s">
        <v>26</v>
      </c>
      <c r="OQG47" s="3" t="s">
        <v>197</v>
      </c>
      <c r="OQJ47" s="3" t="s">
        <v>198</v>
      </c>
      <c r="OQK47" s="2" t="s">
        <v>195</v>
      </c>
      <c r="OQL47" s="3" t="s">
        <v>196</v>
      </c>
      <c r="OQM47" s="3" t="s">
        <v>180</v>
      </c>
      <c r="OQN47" s="3" t="s">
        <v>26</v>
      </c>
      <c r="OQO47" s="3" t="s">
        <v>197</v>
      </c>
      <c r="OQR47" s="3" t="s">
        <v>198</v>
      </c>
      <c r="OQS47" s="2" t="s">
        <v>195</v>
      </c>
      <c r="OQT47" s="3" t="s">
        <v>196</v>
      </c>
      <c r="OQU47" s="3" t="s">
        <v>180</v>
      </c>
      <c r="OQV47" s="3" t="s">
        <v>26</v>
      </c>
      <c r="OQW47" s="3" t="s">
        <v>197</v>
      </c>
      <c r="OQZ47" s="3" t="s">
        <v>198</v>
      </c>
      <c r="ORA47" s="2" t="s">
        <v>195</v>
      </c>
      <c r="ORB47" s="3" t="s">
        <v>196</v>
      </c>
      <c r="ORC47" s="3" t="s">
        <v>180</v>
      </c>
      <c r="ORD47" s="3" t="s">
        <v>26</v>
      </c>
      <c r="ORE47" s="3" t="s">
        <v>197</v>
      </c>
      <c r="ORH47" s="3" t="s">
        <v>198</v>
      </c>
      <c r="ORI47" s="2" t="s">
        <v>195</v>
      </c>
      <c r="ORJ47" s="3" t="s">
        <v>196</v>
      </c>
      <c r="ORK47" s="3" t="s">
        <v>180</v>
      </c>
      <c r="ORL47" s="3" t="s">
        <v>26</v>
      </c>
      <c r="ORM47" s="3" t="s">
        <v>197</v>
      </c>
      <c r="ORP47" s="3" t="s">
        <v>198</v>
      </c>
      <c r="ORQ47" s="2" t="s">
        <v>195</v>
      </c>
      <c r="ORR47" s="3" t="s">
        <v>196</v>
      </c>
      <c r="ORS47" s="3" t="s">
        <v>180</v>
      </c>
      <c r="ORT47" s="3" t="s">
        <v>26</v>
      </c>
      <c r="ORU47" s="3" t="s">
        <v>197</v>
      </c>
      <c r="ORX47" s="3" t="s">
        <v>198</v>
      </c>
      <c r="ORY47" s="2" t="s">
        <v>195</v>
      </c>
      <c r="ORZ47" s="3" t="s">
        <v>196</v>
      </c>
      <c r="OSA47" s="3" t="s">
        <v>180</v>
      </c>
      <c r="OSB47" s="3" t="s">
        <v>26</v>
      </c>
      <c r="OSC47" s="3" t="s">
        <v>197</v>
      </c>
      <c r="OSF47" s="3" t="s">
        <v>198</v>
      </c>
      <c r="OSG47" s="2" t="s">
        <v>195</v>
      </c>
      <c r="OSH47" s="3" t="s">
        <v>196</v>
      </c>
      <c r="OSI47" s="3" t="s">
        <v>180</v>
      </c>
      <c r="OSJ47" s="3" t="s">
        <v>26</v>
      </c>
      <c r="OSK47" s="3" t="s">
        <v>197</v>
      </c>
      <c r="OSN47" s="3" t="s">
        <v>198</v>
      </c>
      <c r="OSO47" s="2" t="s">
        <v>195</v>
      </c>
      <c r="OSP47" s="3" t="s">
        <v>196</v>
      </c>
      <c r="OSQ47" s="3" t="s">
        <v>180</v>
      </c>
      <c r="OSR47" s="3" t="s">
        <v>26</v>
      </c>
      <c r="OSS47" s="3" t="s">
        <v>197</v>
      </c>
      <c r="OSV47" s="3" t="s">
        <v>198</v>
      </c>
      <c r="OSW47" s="2" t="s">
        <v>195</v>
      </c>
      <c r="OSX47" s="3" t="s">
        <v>196</v>
      </c>
      <c r="OSY47" s="3" t="s">
        <v>180</v>
      </c>
      <c r="OSZ47" s="3" t="s">
        <v>26</v>
      </c>
      <c r="OTA47" s="3" t="s">
        <v>197</v>
      </c>
      <c r="OTD47" s="3" t="s">
        <v>198</v>
      </c>
      <c r="OTE47" s="2" t="s">
        <v>195</v>
      </c>
      <c r="OTF47" s="3" t="s">
        <v>196</v>
      </c>
      <c r="OTG47" s="3" t="s">
        <v>180</v>
      </c>
      <c r="OTH47" s="3" t="s">
        <v>26</v>
      </c>
      <c r="OTI47" s="3" t="s">
        <v>197</v>
      </c>
      <c r="OTL47" s="3" t="s">
        <v>198</v>
      </c>
      <c r="OTM47" s="2" t="s">
        <v>195</v>
      </c>
      <c r="OTN47" s="3" t="s">
        <v>196</v>
      </c>
      <c r="OTO47" s="3" t="s">
        <v>180</v>
      </c>
      <c r="OTP47" s="3" t="s">
        <v>26</v>
      </c>
      <c r="OTQ47" s="3" t="s">
        <v>197</v>
      </c>
      <c r="OTT47" s="3" t="s">
        <v>198</v>
      </c>
      <c r="OTU47" s="2" t="s">
        <v>195</v>
      </c>
      <c r="OTV47" s="3" t="s">
        <v>196</v>
      </c>
      <c r="OTW47" s="3" t="s">
        <v>180</v>
      </c>
      <c r="OTX47" s="3" t="s">
        <v>26</v>
      </c>
      <c r="OTY47" s="3" t="s">
        <v>197</v>
      </c>
      <c r="OUB47" s="3" t="s">
        <v>198</v>
      </c>
      <c r="OUC47" s="2" t="s">
        <v>195</v>
      </c>
      <c r="OUD47" s="3" t="s">
        <v>196</v>
      </c>
      <c r="OUE47" s="3" t="s">
        <v>180</v>
      </c>
      <c r="OUF47" s="3" t="s">
        <v>26</v>
      </c>
      <c r="OUG47" s="3" t="s">
        <v>197</v>
      </c>
      <c r="OUJ47" s="3" t="s">
        <v>198</v>
      </c>
      <c r="OUK47" s="2" t="s">
        <v>195</v>
      </c>
      <c r="OUL47" s="3" t="s">
        <v>196</v>
      </c>
      <c r="OUM47" s="3" t="s">
        <v>180</v>
      </c>
      <c r="OUN47" s="3" t="s">
        <v>26</v>
      </c>
      <c r="OUO47" s="3" t="s">
        <v>197</v>
      </c>
      <c r="OUR47" s="3" t="s">
        <v>198</v>
      </c>
      <c r="OUS47" s="2" t="s">
        <v>195</v>
      </c>
      <c r="OUT47" s="3" t="s">
        <v>196</v>
      </c>
      <c r="OUU47" s="3" t="s">
        <v>180</v>
      </c>
      <c r="OUV47" s="3" t="s">
        <v>26</v>
      </c>
      <c r="OUW47" s="3" t="s">
        <v>197</v>
      </c>
      <c r="OUZ47" s="3" t="s">
        <v>198</v>
      </c>
      <c r="OVA47" s="2" t="s">
        <v>195</v>
      </c>
      <c r="OVB47" s="3" t="s">
        <v>196</v>
      </c>
      <c r="OVC47" s="3" t="s">
        <v>180</v>
      </c>
      <c r="OVD47" s="3" t="s">
        <v>26</v>
      </c>
      <c r="OVE47" s="3" t="s">
        <v>197</v>
      </c>
      <c r="OVH47" s="3" t="s">
        <v>198</v>
      </c>
      <c r="OVI47" s="2" t="s">
        <v>195</v>
      </c>
      <c r="OVJ47" s="3" t="s">
        <v>196</v>
      </c>
      <c r="OVK47" s="3" t="s">
        <v>180</v>
      </c>
      <c r="OVL47" s="3" t="s">
        <v>26</v>
      </c>
      <c r="OVM47" s="3" t="s">
        <v>197</v>
      </c>
      <c r="OVP47" s="3" t="s">
        <v>198</v>
      </c>
      <c r="OVQ47" s="2" t="s">
        <v>195</v>
      </c>
      <c r="OVR47" s="3" t="s">
        <v>196</v>
      </c>
      <c r="OVS47" s="3" t="s">
        <v>180</v>
      </c>
      <c r="OVT47" s="3" t="s">
        <v>26</v>
      </c>
      <c r="OVU47" s="3" t="s">
        <v>197</v>
      </c>
      <c r="OVX47" s="3" t="s">
        <v>198</v>
      </c>
      <c r="OVY47" s="2" t="s">
        <v>195</v>
      </c>
      <c r="OVZ47" s="3" t="s">
        <v>196</v>
      </c>
      <c r="OWA47" s="3" t="s">
        <v>180</v>
      </c>
      <c r="OWB47" s="3" t="s">
        <v>26</v>
      </c>
      <c r="OWC47" s="3" t="s">
        <v>197</v>
      </c>
      <c r="OWF47" s="3" t="s">
        <v>198</v>
      </c>
      <c r="OWG47" s="2" t="s">
        <v>195</v>
      </c>
      <c r="OWH47" s="3" t="s">
        <v>196</v>
      </c>
      <c r="OWI47" s="3" t="s">
        <v>180</v>
      </c>
      <c r="OWJ47" s="3" t="s">
        <v>26</v>
      </c>
      <c r="OWK47" s="3" t="s">
        <v>197</v>
      </c>
      <c r="OWN47" s="3" t="s">
        <v>198</v>
      </c>
      <c r="OWO47" s="2" t="s">
        <v>195</v>
      </c>
      <c r="OWP47" s="3" t="s">
        <v>196</v>
      </c>
      <c r="OWQ47" s="3" t="s">
        <v>180</v>
      </c>
      <c r="OWR47" s="3" t="s">
        <v>26</v>
      </c>
      <c r="OWS47" s="3" t="s">
        <v>197</v>
      </c>
      <c r="OWV47" s="3" t="s">
        <v>198</v>
      </c>
      <c r="OWW47" s="2" t="s">
        <v>195</v>
      </c>
      <c r="OWX47" s="3" t="s">
        <v>196</v>
      </c>
      <c r="OWY47" s="3" t="s">
        <v>180</v>
      </c>
      <c r="OWZ47" s="3" t="s">
        <v>26</v>
      </c>
      <c r="OXA47" s="3" t="s">
        <v>197</v>
      </c>
      <c r="OXD47" s="3" t="s">
        <v>198</v>
      </c>
      <c r="OXE47" s="2" t="s">
        <v>195</v>
      </c>
      <c r="OXF47" s="3" t="s">
        <v>196</v>
      </c>
      <c r="OXG47" s="3" t="s">
        <v>180</v>
      </c>
      <c r="OXH47" s="3" t="s">
        <v>26</v>
      </c>
      <c r="OXI47" s="3" t="s">
        <v>197</v>
      </c>
      <c r="OXL47" s="3" t="s">
        <v>198</v>
      </c>
      <c r="OXM47" s="2" t="s">
        <v>195</v>
      </c>
      <c r="OXN47" s="3" t="s">
        <v>196</v>
      </c>
      <c r="OXO47" s="3" t="s">
        <v>180</v>
      </c>
      <c r="OXP47" s="3" t="s">
        <v>26</v>
      </c>
      <c r="OXQ47" s="3" t="s">
        <v>197</v>
      </c>
      <c r="OXT47" s="3" t="s">
        <v>198</v>
      </c>
      <c r="OXU47" s="2" t="s">
        <v>195</v>
      </c>
      <c r="OXV47" s="3" t="s">
        <v>196</v>
      </c>
      <c r="OXW47" s="3" t="s">
        <v>180</v>
      </c>
      <c r="OXX47" s="3" t="s">
        <v>26</v>
      </c>
      <c r="OXY47" s="3" t="s">
        <v>197</v>
      </c>
      <c r="OYB47" s="3" t="s">
        <v>198</v>
      </c>
      <c r="OYC47" s="2" t="s">
        <v>195</v>
      </c>
      <c r="OYD47" s="3" t="s">
        <v>196</v>
      </c>
      <c r="OYE47" s="3" t="s">
        <v>180</v>
      </c>
      <c r="OYF47" s="3" t="s">
        <v>26</v>
      </c>
      <c r="OYG47" s="3" t="s">
        <v>197</v>
      </c>
      <c r="OYJ47" s="3" t="s">
        <v>198</v>
      </c>
      <c r="OYK47" s="2" t="s">
        <v>195</v>
      </c>
      <c r="OYL47" s="3" t="s">
        <v>196</v>
      </c>
      <c r="OYM47" s="3" t="s">
        <v>180</v>
      </c>
      <c r="OYN47" s="3" t="s">
        <v>26</v>
      </c>
      <c r="OYO47" s="3" t="s">
        <v>197</v>
      </c>
      <c r="OYR47" s="3" t="s">
        <v>198</v>
      </c>
      <c r="OYS47" s="2" t="s">
        <v>195</v>
      </c>
      <c r="OYT47" s="3" t="s">
        <v>196</v>
      </c>
      <c r="OYU47" s="3" t="s">
        <v>180</v>
      </c>
      <c r="OYV47" s="3" t="s">
        <v>26</v>
      </c>
      <c r="OYW47" s="3" t="s">
        <v>197</v>
      </c>
      <c r="OYZ47" s="3" t="s">
        <v>198</v>
      </c>
      <c r="OZA47" s="2" t="s">
        <v>195</v>
      </c>
      <c r="OZB47" s="3" t="s">
        <v>196</v>
      </c>
      <c r="OZC47" s="3" t="s">
        <v>180</v>
      </c>
      <c r="OZD47" s="3" t="s">
        <v>26</v>
      </c>
      <c r="OZE47" s="3" t="s">
        <v>197</v>
      </c>
      <c r="OZH47" s="3" t="s">
        <v>198</v>
      </c>
      <c r="OZI47" s="2" t="s">
        <v>195</v>
      </c>
      <c r="OZJ47" s="3" t="s">
        <v>196</v>
      </c>
      <c r="OZK47" s="3" t="s">
        <v>180</v>
      </c>
      <c r="OZL47" s="3" t="s">
        <v>26</v>
      </c>
      <c r="OZM47" s="3" t="s">
        <v>197</v>
      </c>
      <c r="OZP47" s="3" t="s">
        <v>198</v>
      </c>
      <c r="OZQ47" s="2" t="s">
        <v>195</v>
      </c>
      <c r="OZR47" s="3" t="s">
        <v>196</v>
      </c>
      <c r="OZS47" s="3" t="s">
        <v>180</v>
      </c>
      <c r="OZT47" s="3" t="s">
        <v>26</v>
      </c>
      <c r="OZU47" s="3" t="s">
        <v>197</v>
      </c>
      <c r="OZX47" s="3" t="s">
        <v>198</v>
      </c>
      <c r="OZY47" s="2" t="s">
        <v>195</v>
      </c>
      <c r="OZZ47" s="3" t="s">
        <v>196</v>
      </c>
      <c r="PAA47" s="3" t="s">
        <v>180</v>
      </c>
      <c r="PAB47" s="3" t="s">
        <v>26</v>
      </c>
      <c r="PAC47" s="3" t="s">
        <v>197</v>
      </c>
      <c r="PAF47" s="3" t="s">
        <v>198</v>
      </c>
      <c r="PAG47" s="2" t="s">
        <v>195</v>
      </c>
      <c r="PAH47" s="3" t="s">
        <v>196</v>
      </c>
      <c r="PAI47" s="3" t="s">
        <v>180</v>
      </c>
      <c r="PAJ47" s="3" t="s">
        <v>26</v>
      </c>
      <c r="PAK47" s="3" t="s">
        <v>197</v>
      </c>
      <c r="PAN47" s="3" t="s">
        <v>198</v>
      </c>
      <c r="PAO47" s="2" t="s">
        <v>195</v>
      </c>
      <c r="PAP47" s="3" t="s">
        <v>196</v>
      </c>
      <c r="PAQ47" s="3" t="s">
        <v>180</v>
      </c>
      <c r="PAR47" s="3" t="s">
        <v>26</v>
      </c>
      <c r="PAS47" s="3" t="s">
        <v>197</v>
      </c>
      <c r="PAV47" s="3" t="s">
        <v>198</v>
      </c>
      <c r="PAW47" s="2" t="s">
        <v>195</v>
      </c>
      <c r="PAX47" s="3" t="s">
        <v>196</v>
      </c>
      <c r="PAY47" s="3" t="s">
        <v>180</v>
      </c>
      <c r="PAZ47" s="3" t="s">
        <v>26</v>
      </c>
      <c r="PBA47" s="3" t="s">
        <v>197</v>
      </c>
      <c r="PBD47" s="3" t="s">
        <v>198</v>
      </c>
      <c r="PBE47" s="2" t="s">
        <v>195</v>
      </c>
      <c r="PBF47" s="3" t="s">
        <v>196</v>
      </c>
      <c r="PBG47" s="3" t="s">
        <v>180</v>
      </c>
      <c r="PBH47" s="3" t="s">
        <v>26</v>
      </c>
      <c r="PBI47" s="3" t="s">
        <v>197</v>
      </c>
      <c r="PBL47" s="3" t="s">
        <v>198</v>
      </c>
      <c r="PBM47" s="2" t="s">
        <v>195</v>
      </c>
      <c r="PBN47" s="3" t="s">
        <v>196</v>
      </c>
      <c r="PBO47" s="3" t="s">
        <v>180</v>
      </c>
      <c r="PBP47" s="3" t="s">
        <v>26</v>
      </c>
      <c r="PBQ47" s="3" t="s">
        <v>197</v>
      </c>
      <c r="PBT47" s="3" t="s">
        <v>198</v>
      </c>
      <c r="PBU47" s="2" t="s">
        <v>195</v>
      </c>
      <c r="PBV47" s="3" t="s">
        <v>196</v>
      </c>
      <c r="PBW47" s="3" t="s">
        <v>180</v>
      </c>
      <c r="PBX47" s="3" t="s">
        <v>26</v>
      </c>
      <c r="PBY47" s="3" t="s">
        <v>197</v>
      </c>
      <c r="PCB47" s="3" t="s">
        <v>198</v>
      </c>
      <c r="PCC47" s="2" t="s">
        <v>195</v>
      </c>
      <c r="PCD47" s="3" t="s">
        <v>196</v>
      </c>
      <c r="PCE47" s="3" t="s">
        <v>180</v>
      </c>
      <c r="PCF47" s="3" t="s">
        <v>26</v>
      </c>
      <c r="PCG47" s="3" t="s">
        <v>197</v>
      </c>
      <c r="PCJ47" s="3" t="s">
        <v>198</v>
      </c>
      <c r="PCK47" s="2" t="s">
        <v>195</v>
      </c>
      <c r="PCL47" s="3" t="s">
        <v>196</v>
      </c>
      <c r="PCM47" s="3" t="s">
        <v>180</v>
      </c>
      <c r="PCN47" s="3" t="s">
        <v>26</v>
      </c>
      <c r="PCO47" s="3" t="s">
        <v>197</v>
      </c>
      <c r="PCR47" s="3" t="s">
        <v>198</v>
      </c>
      <c r="PCS47" s="2" t="s">
        <v>195</v>
      </c>
      <c r="PCT47" s="3" t="s">
        <v>196</v>
      </c>
      <c r="PCU47" s="3" t="s">
        <v>180</v>
      </c>
      <c r="PCV47" s="3" t="s">
        <v>26</v>
      </c>
      <c r="PCW47" s="3" t="s">
        <v>197</v>
      </c>
      <c r="PCZ47" s="3" t="s">
        <v>198</v>
      </c>
      <c r="PDA47" s="2" t="s">
        <v>195</v>
      </c>
      <c r="PDB47" s="3" t="s">
        <v>196</v>
      </c>
      <c r="PDC47" s="3" t="s">
        <v>180</v>
      </c>
      <c r="PDD47" s="3" t="s">
        <v>26</v>
      </c>
      <c r="PDE47" s="3" t="s">
        <v>197</v>
      </c>
      <c r="PDH47" s="3" t="s">
        <v>198</v>
      </c>
      <c r="PDI47" s="2" t="s">
        <v>195</v>
      </c>
      <c r="PDJ47" s="3" t="s">
        <v>196</v>
      </c>
      <c r="PDK47" s="3" t="s">
        <v>180</v>
      </c>
      <c r="PDL47" s="3" t="s">
        <v>26</v>
      </c>
      <c r="PDM47" s="3" t="s">
        <v>197</v>
      </c>
      <c r="PDP47" s="3" t="s">
        <v>198</v>
      </c>
      <c r="PDQ47" s="2" t="s">
        <v>195</v>
      </c>
      <c r="PDR47" s="3" t="s">
        <v>196</v>
      </c>
      <c r="PDS47" s="3" t="s">
        <v>180</v>
      </c>
      <c r="PDT47" s="3" t="s">
        <v>26</v>
      </c>
      <c r="PDU47" s="3" t="s">
        <v>197</v>
      </c>
      <c r="PDX47" s="3" t="s">
        <v>198</v>
      </c>
      <c r="PDY47" s="2" t="s">
        <v>195</v>
      </c>
      <c r="PDZ47" s="3" t="s">
        <v>196</v>
      </c>
      <c r="PEA47" s="3" t="s">
        <v>180</v>
      </c>
      <c r="PEB47" s="3" t="s">
        <v>26</v>
      </c>
      <c r="PEC47" s="3" t="s">
        <v>197</v>
      </c>
      <c r="PEF47" s="3" t="s">
        <v>198</v>
      </c>
      <c r="PEG47" s="2" t="s">
        <v>195</v>
      </c>
      <c r="PEH47" s="3" t="s">
        <v>196</v>
      </c>
      <c r="PEI47" s="3" t="s">
        <v>180</v>
      </c>
      <c r="PEJ47" s="3" t="s">
        <v>26</v>
      </c>
      <c r="PEK47" s="3" t="s">
        <v>197</v>
      </c>
      <c r="PEN47" s="3" t="s">
        <v>198</v>
      </c>
      <c r="PEO47" s="2" t="s">
        <v>195</v>
      </c>
      <c r="PEP47" s="3" t="s">
        <v>196</v>
      </c>
      <c r="PEQ47" s="3" t="s">
        <v>180</v>
      </c>
      <c r="PER47" s="3" t="s">
        <v>26</v>
      </c>
      <c r="PES47" s="3" t="s">
        <v>197</v>
      </c>
      <c r="PEV47" s="3" t="s">
        <v>198</v>
      </c>
      <c r="PEW47" s="2" t="s">
        <v>195</v>
      </c>
      <c r="PEX47" s="3" t="s">
        <v>196</v>
      </c>
      <c r="PEY47" s="3" t="s">
        <v>180</v>
      </c>
      <c r="PEZ47" s="3" t="s">
        <v>26</v>
      </c>
      <c r="PFA47" s="3" t="s">
        <v>197</v>
      </c>
      <c r="PFD47" s="3" t="s">
        <v>198</v>
      </c>
      <c r="PFE47" s="2" t="s">
        <v>195</v>
      </c>
      <c r="PFF47" s="3" t="s">
        <v>196</v>
      </c>
      <c r="PFG47" s="3" t="s">
        <v>180</v>
      </c>
      <c r="PFH47" s="3" t="s">
        <v>26</v>
      </c>
      <c r="PFI47" s="3" t="s">
        <v>197</v>
      </c>
      <c r="PFL47" s="3" t="s">
        <v>198</v>
      </c>
      <c r="PFM47" s="2" t="s">
        <v>195</v>
      </c>
      <c r="PFN47" s="3" t="s">
        <v>196</v>
      </c>
      <c r="PFO47" s="3" t="s">
        <v>180</v>
      </c>
      <c r="PFP47" s="3" t="s">
        <v>26</v>
      </c>
      <c r="PFQ47" s="3" t="s">
        <v>197</v>
      </c>
      <c r="PFT47" s="3" t="s">
        <v>198</v>
      </c>
      <c r="PFU47" s="2" t="s">
        <v>195</v>
      </c>
      <c r="PFV47" s="3" t="s">
        <v>196</v>
      </c>
      <c r="PFW47" s="3" t="s">
        <v>180</v>
      </c>
      <c r="PFX47" s="3" t="s">
        <v>26</v>
      </c>
      <c r="PFY47" s="3" t="s">
        <v>197</v>
      </c>
      <c r="PGB47" s="3" t="s">
        <v>198</v>
      </c>
      <c r="PGC47" s="2" t="s">
        <v>195</v>
      </c>
      <c r="PGD47" s="3" t="s">
        <v>196</v>
      </c>
      <c r="PGE47" s="3" t="s">
        <v>180</v>
      </c>
      <c r="PGF47" s="3" t="s">
        <v>26</v>
      </c>
      <c r="PGG47" s="3" t="s">
        <v>197</v>
      </c>
      <c r="PGJ47" s="3" t="s">
        <v>198</v>
      </c>
      <c r="PGK47" s="2" t="s">
        <v>195</v>
      </c>
      <c r="PGL47" s="3" t="s">
        <v>196</v>
      </c>
      <c r="PGM47" s="3" t="s">
        <v>180</v>
      </c>
      <c r="PGN47" s="3" t="s">
        <v>26</v>
      </c>
      <c r="PGO47" s="3" t="s">
        <v>197</v>
      </c>
      <c r="PGR47" s="3" t="s">
        <v>198</v>
      </c>
      <c r="PGS47" s="2" t="s">
        <v>195</v>
      </c>
      <c r="PGT47" s="3" t="s">
        <v>196</v>
      </c>
      <c r="PGU47" s="3" t="s">
        <v>180</v>
      </c>
      <c r="PGV47" s="3" t="s">
        <v>26</v>
      </c>
      <c r="PGW47" s="3" t="s">
        <v>197</v>
      </c>
      <c r="PGZ47" s="3" t="s">
        <v>198</v>
      </c>
      <c r="PHA47" s="2" t="s">
        <v>195</v>
      </c>
      <c r="PHB47" s="3" t="s">
        <v>196</v>
      </c>
      <c r="PHC47" s="3" t="s">
        <v>180</v>
      </c>
      <c r="PHD47" s="3" t="s">
        <v>26</v>
      </c>
      <c r="PHE47" s="3" t="s">
        <v>197</v>
      </c>
      <c r="PHH47" s="3" t="s">
        <v>198</v>
      </c>
      <c r="PHI47" s="2" t="s">
        <v>195</v>
      </c>
      <c r="PHJ47" s="3" t="s">
        <v>196</v>
      </c>
      <c r="PHK47" s="3" t="s">
        <v>180</v>
      </c>
      <c r="PHL47" s="3" t="s">
        <v>26</v>
      </c>
      <c r="PHM47" s="3" t="s">
        <v>197</v>
      </c>
      <c r="PHP47" s="3" t="s">
        <v>198</v>
      </c>
      <c r="PHQ47" s="2" t="s">
        <v>195</v>
      </c>
      <c r="PHR47" s="3" t="s">
        <v>196</v>
      </c>
      <c r="PHS47" s="3" t="s">
        <v>180</v>
      </c>
      <c r="PHT47" s="3" t="s">
        <v>26</v>
      </c>
      <c r="PHU47" s="3" t="s">
        <v>197</v>
      </c>
      <c r="PHX47" s="3" t="s">
        <v>198</v>
      </c>
      <c r="PHY47" s="2" t="s">
        <v>195</v>
      </c>
      <c r="PHZ47" s="3" t="s">
        <v>196</v>
      </c>
      <c r="PIA47" s="3" t="s">
        <v>180</v>
      </c>
      <c r="PIB47" s="3" t="s">
        <v>26</v>
      </c>
      <c r="PIC47" s="3" t="s">
        <v>197</v>
      </c>
      <c r="PIF47" s="3" t="s">
        <v>198</v>
      </c>
      <c r="PIG47" s="2" t="s">
        <v>195</v>
      </c>
      <c r="PIH47" s="3" t="s">
        <v>196</v>
      </c>
      <c r="PII47" s="3" t="s">
        <v>180</v>
      </c>
      <c r="PIJ47" s="3" t="s">
        <v>26</v>
      </c>
      <c r="PIK47" s="3" t="s">
        <v>197</v>
      </c>
      <c r="PIN47" s="3" t="s">
        <v>198</v>
      </c>
      <c r="PIO47" s="2" t="s">
        <v>195</v>
      </c>
      <c r="PIP47" s="3" t="s">
        <v>196</v>
      </c>
      <c r="PIQ47" s="3" t="s">
        <v>180</v>
      </c>
      <c r="PIR47" s="3" t="s">
        <v>26</v>
      </c>
      <c r="PIS47" s="3" t="s">
        <v>197</v>
      </c>
      <c r="PIV47" s="3" t="s">
        <v>198</v>
      </c>
      <c r="PIW47" s="2" t="s">
        <v>195</v>
      </c>
      <c r="PIX47" s="3" t="s">
        <v>196</v>
      </c>
      <c r="PIY47" s="3" t="s">
        <v>180</v>
      </c>
      <c r="PIZ47" s="3" t="s">
        <v>26</v>
      </c>
      <c r="PJA47" s="3" t="s">
        <v>197</v>
      </c>
      <c r="PJD47" s="3" t="s">
        <v>198</v>
      </c>
      <c r="PJE47" s="2" t="s">
        <v>195</v>
      </c>
      <c r="PJF47" s="3" t="s">
        <v>196</v>
      </c>
      <c r="PJG47" s="3" t="s">
        <v>180</v>
      </c>
      <c r="PJH47" s="3" t="s">
        <v>26</v>
      </c>
      <c r="PJI47" s="3" t="s">
        <v>197</v>
      </c>
      <c r="PJL47" s="3" t="s">
        <v>198</v>
      </c>
      <c r="PJM47" s="2" t="s">
        <v>195</v>
      </c>
      <c r="PJN47" s="3" t="s">
        <v>196</v>
      </c>
      <c r="PJO47" s="3" t="s">
        <v>180</v>
      </c>
      <c r="PJP47" s="3" t="s">
        <v>26</v>
      </c>
      <c r="PJQ47" s="3" t="s">
        <v>197</v>
      </c>
      <c r="PJT47" s="3" t="s">
        <v>198</v>
      </c>
      <c r="PJU47" s="2" t="s">
        <v>195</v>
      </c>
      <c r="PJV47" s="3" t="s">
        <v>196</v>
      </c>
      <c r="PJW47" s="3" t="s">
        <v>180</v>
      </c>
      <c r="PJX47" s="3" t="s">
        <v>26</v>
      </c>
      <c r="PJY47" s="3" t="s">
        <v>197</v>
      </c>
      <c r="PKB47" s="3" t="s">
        <v>198</v>
      </c>
      <c r="PKC47" s="2" t="s">
        <v>195</v>
      </c>
      <c r="PKD47" s="3" t="s">
        <v>196</v>
      </c>
      <c r="PKE47" s="3" t="s">
        <v>180</v>
      </c>
      <c r="PKF47" s="3" t="s">
        <v>26</v>
      </c>
      <c r="PKG47" s="3" t="s">
        <v>197</v>
      </c>
      <c r="PKJ47" s="3" t="s">
        <v>198</v>
      </c>
      <c r="PKK47" s="2" t="s">
        <v>195</v>
      </c>
      <c r="PKL47" s="3" t="s">
        <v>196</v>
      </c>
      <c r="PKM47" s="3" t="s">
        <v>180</v>
      </c>
      <c r="PKN47" s="3" t="s">
        <v>26</v>
      </c>
      <c r="PKO47" s="3" t="s">
        <v>197</v>
      </c>
      <c r="PKR47" s="3" t="s">
        <v>198</v>
      </c>
      <c r="PKS47" s="2" t="s">
        <v>195</v>
      </c>
      <c r="PKT47" s="3" t="s">
        <v>196</v>
      </c>
      <c r="PKU47" s="3" t="s">
        <v>180</v>
      </c>
      <c r="PKV47" s="3" t="s">
        <v>26</v>
      </c>
      <c r="PKW47" s="3" t="s">
        <v>197</v>
      </c>
      <c r="PKZ47" s="3" t="s">
        <v>198</v>
      </c>
      <c r="PLA47" s="2" t="s">
        <v>195</v>
      </c>
      <c r="PLB47" s="3" t="s">
        <v>196</v>
      </c>
      <c r="PLC47" s="3" t="s">
        <v>180</v>
      </c>
      <c r="PLD47" s="3" t="s">
        <v>26</v>
      </c>
      <c r="PLE47" s="3" t="s">
        <v>197</v>
      </c>
      <c r="PLH47" s="3" t="s">
        <v>198</v>
      </c>
      <c r="PLI47" s="2" t="s">
        <v>195</v>
      </c>
      <c r="PLJ47" s="3" t="s">
        <v>196</v>
      </c>
      <c r="PLK47" s="3" t="s">
        <v>180</v>
      </c>
      <c r="PLL47" s="3" t="s">
        <v>26</v>
      </c>
      <c r="PLM47" s="3" t="s">
        <v>197</v>
      </c>
      <c r="PLP47" s="3" t="s">
        <v>198</v>
      </c>
      <c r="PLQ47" s="2" t="s">
        <v>195</v>
      </c>
      <c r="PLR47" s="3" t="s">
        <v>196</v>
      </c>
      <c r="PLS47" s="3" t="s">
        <v>180</v>
      </c>
      <c r="PLT47" s="3" t="s">
        <v>26</v>
      </c>
      <c r="PLU47" s="3" t="s">
        <v>197</v>
      </c>
      <c r="PLX47" s="3" t="s">
        <v>198</v>
      </c>
      <c r="PLY47" s="2" t="s">
        <v>195</v>
      </c>
      <c r="PLZ47" s="3" t="s">
        <v>196</v>
      </c>
      <c r="PMA47" s="3" t="s">
        <v>180</v>
      </c>
      <c r="PMB47" s="3" t="s">
        <v>26</v>
      </c>
      <c r="PMC47" s="3" t="s">
        <v>197</v>
      </c>
      <c r="PMF47" s="3" t="s">
        <v>198</v>
      </c>
      <c r="PMG47" s="2" t="s">
        <v>195</v>
      </c>
      <c r="PMH47" s="3" t="s">
        <v>196</v>
      </c>
      <c r="PMI47" s="3" t="s">
        <v>180</v>
      </c>
      <c r="PMJ47" s="3" t="s">
        <v>26</v>
      </c>
      <c r="PMK47" s="3" t="s">
        <v>197</v>
      </c>
      <c r="PMN47" s="3" t="s">
        <v>198</v>
      </c>
      <c r="PMO47" s="2" t="s">
        <v>195</v>
      </c>
      <c r="PMP47" s="3" t="s">
        <v>196</v>
      </c>
      <c r="PMQ47" s="3" t="s">
        <v>180</v>
      </c>
      <c r="PMR47" s="3" t="s">
        <v>26</v>
      </c>
      <c r="PMS47" s="3" t="s">
        <v>197</v>
      </c>
      <c r="PMV47" s="3" t="s">
        <v>198</v>
      </c>
      <c r="PMW47" s="2" t="s">
        <v>195</v>
      </c>
      <c r="PMX47" s="3" t="s">
        <v>196</v>
      </c>
      <c r="PMY47" s="3" t="s">
        <v>180</v>
      </c>
      <c r="PMZ47" s="3" t="s">
        <v>26</v>
      </c>
      <c r="PNA47" s="3" t="s">
        <v>197</v>
      </c>
      <c r="PND47" s="3" t="s">
        <v>198</v>
      </c>
      <c r="PNE47" s="2" t="s">
        <v>195</v>
      </c>
      <c r="PNF47" s="3" t="s">
        <v>196</v>
      </c>
      <c r="PNG47" s="3" t="s">
        <v>180</v>
      </c>
      <c r="PNH47" s="3" t="s">
        <v>26</v>
      </c>
      <c r="PNI47" s="3" t="s">
        <v>197</v>
      </c>
      <c r="PNL47" s="3" t="s">
        <v>198</v>
      </c>
      <c r="PNM47" s="2" t="s">
        <v>195</v>
      </c>
      <c r="PNN47" s="3" t="s">
        <v>196</v>
      </c>
      <c r="PNO47" s="3" t="s">
        <v>180</v>
      </c>
      <c r="PNP47" s="3" t="s">
        <v>26</v>
      </c>
      <c r="PNQ47" s="3" t="s">
        <v>197</v>
      </c>
      <c r="PNT47" s="3" t="s">
        <v>198</v>
      </c>
      <c r="PNU47" s="2" t="s">
        <v>195</v>
      </c>
      <c r="PNV47" s="3" t="s">
        <v>196</v>
      </c>
      <c r="PNW47" s="3" t="s">
        <v>180</v>
      </c>
      <c r="PNX47" s="3" t="s">
        <v>26</v>
      </c>
      <c r="PNY47" s="3" t="s">
        <v>197</v>
      </c>
      <c r="POB47" s="3" t="s">
        <v>198</v>
      </c>
      <c r="POC47" s="2" t="s">
        <v>195</v>
      </c>
      <c r="POD47" s="3" t="s">
        <v>196</v>
      </c>
      <c r="POE47" s="3" t="s">
        <v>180</v>
      </c>
      <c r="POF47" s="3" t="s">
        <v>26</v>
      </c>
      <c r="POG47" s="3" t="s">
        <v>197</v>
      </c>
      <c r="POJ47" s="3" t="s">
        <v>198</v>
      </c>
      <c r="POK47" s="2" t="s">
        <v>195</v>
      </c>
      <c r="POL47" s="3" t="s">
        <v>196</v>
      </c>
      <c r="POM47" s="3" t="s">
        <v>180</v>
      </c>
      <c r="PON47" s="3" t="s">
        <v>26</v>
      </c>
      <c r="POO47" s="3" t="s">
        <v>197</v>
      </c>
      <c r="POR47" s="3" t="s">
        <v>198</v>
      </c>
      <c r="POS47" s="2" t="s">
        <v>195</v>
      </c>
      <c r="POT47" s="3" t="s">
        <v>196</v>
      </c>
      <c r="POU47" s="3" t="s">
        <v>180</v>
      </c>
      <c r="POV47" s="3" t="s">
        <v>26</v>
      </c>
      <c r="POW47" s="3" t="s">
        <v>197</v>
      </c>
      <c r="POZ47" s="3" t="s">
        <v>198</v>
      </c>
      <c r="PPA47" s="2" t="s">
        <v>195</v>
      </c>
      <c r="PPB47" s="3" t="s">
        <v>196</v>
      </c>
      <c r="PPC47" s="3" t="s">
        <v>180</v>
      </c>
      <c r="PPD47" s="3" t="s">
        <v>26</v>
      </c>
      <c r="PPE47" s="3" t="s">
        <v>197</v>
      </c>
      <c r="PPH47" s="3" t="s">
        <v>198</v>
      </c>
      <c r="PPI47" s="2" t="s">
        <v>195</v>
      </c>
      <c r="PPJ47" s="3" t="s">
        <v>196</v>
      </c>
      <c r="PPK47" s="3" t="s">
        <v>180</v>
      </c>
      <c r="PPL47" s="3" t="s">
        <v>26</v>
      </c>
      <c r="PPM47" s="3" t="s">
        <v>197</v>
      </c>
      <c r="PPP47" s="3" t="s">
        <v>198</v>
      </c>
      <c r="PPQ47" s="2" t="s">
        <v>195</v>
      </c>
      <c r="PPR47" s="3" t="s">
        <v>196</v>
      </c>
      <c r="PPS47" s="3" t="s">
        <v>180</v>
      </c>
      <c r="PPT47" s="3" t="s">
        <v>26</v>
      </c>
      <c r="PPU47" s="3" t="s">
        <v>197</v>
      </c>
      <c r="PPX47" s="3" t="s">
        <v>198</v>
      </c>
      <c r="PPY47" s="2" t="s">
        <v>195</v>
      </c>
      <c r="PPZ47" s="3" t="s">
        <v>196</v>
      </c>
      <c r="PQA47" s="3" t="s">
        <v>180</v>
      </c>
      <c r="PQB47" s="3" t="s">
        <v>26</v>
      </c>
      <c r="PQC47" s="3" t="s">
        <v>197</v>
      </c>
      <c r="PQF47" s="3" t="s">
        <v>198</v>
      </c>
      <c r="PQG47" s="2" t="s">
        <v>195</v>
      </c>
      <c r="PQH47" s="3" t="s">
        <v>196</v>
      </c>
      <c r="PQI47" s="3" t="s">
        <v>180</v>
      </c>
      <c r="PQJ47" s="3" t="s">
        <v>26</v>
      </c>
      <c r="PQK47" s="3" t="s">
        <v>197</v>
      </c>
      <c r="PQN47" s="3" t="s">
        <v>198</v>
      </c>
      <c r="PQO47" s="2" t="s">
        <v>195</v>
      </c>
      <c r="PQP47" s="3" t="s">
        <v>196</v>
      </c>
      <c r="PQQ47" s="3" t="s">
        <v>180</v>
      </c>
      <c r="PQR47" s="3" t="s">
        <v>26</v>
      </c>
      <c r="PQS47" s="3" t="s">
        <v>197</v>
      </c>
      <c r="PQV47" s="3" t="s">
        <v>198</v>
      </c>
      <c r="PQW47" s="2" t="s">
        <v>195</v>
      </c>
      <c r="PQX47" s="3" t="s">
        <v>196</v>
      </c>
      <c r="PQY47" s="3" t="s">
        <v>180</v>
      </c>
      <c r="PQZ47" s="3" t="s">
        <v>26</v>
      </c>
      <c r="PRA47" s="3" t="s">
        <v>197</v>
      </c>
      <c r="PRD47" s="3" t="s">
        <v>198</v>
      </c>
      <c r="PRE47" s="2" t="s">
        <v>195</v>
      </c>
      <c r="PRF47" s="3" t="s">
        <v>196</v>
      </c>
      <c r="PRG47" s="3" t="s">
        <v>180</v>
      </c>
      <c r="PRH47" s="3" t="s">
        <v>26</v>
      </c>
      <c r="PRI47" s="3" t="s">
        <v>197</v>
      </c>
      <c r="PRL47" s="3" t="s">
        <v>198</v>
      </c>
      <c r="PRM47" s="2" t="s">
        <v>195</v>
      </c>
      <c r="PRN47" s="3" t="s">
        <v>196</v>
      </c>
      <c r="PRO47" s="3" t="s">
        <v>180</v>
      </c>
      <c r="PRP47" s="3" t="s">
        <v>26</v>
      </c>
      <c r="PRQ47" s="3" t="s">
        <v>197</v>
      </c>
      <c r="PRT47" s="3" t="s">
        <v>198</v>
      </c>
      <c r="PRU47" s="2" t="s">
        <v>195</v>
      </c>
      <c r="PRV47" s="3" t="s">
        <v>196</v>
      </c>
      <c r="PRW47" s="3" t="s">
        <v>180</v>
      </c>
      <c r="PRX47" s="3" t="s">
        <v>26</v>
      </c>
      <c r="PRY47" s="3" t="s">
        <v>197</v>
      </c>
      <c r="PSB47" s="3" t="s">
        <v>198</v>
      </c>
      <c r="PSC47" s="2" t="s">
        <v>195</v>
      </c>
      <c r="PSD47" s="3" t="s">
        <v>196</v>
      </c>
      <c r="PSE47" s="3" t="s">
        <v>180</v>
      </c>
      <c r="PSF47" s="3" t="s">
        <v>26</v>
      </c>
      <c r="PSG47" s="3" t="s">
        <v>197</v>
      </c>
      <c r="PSJ47" s="3" t="s">
        <v>198</v>
      </c>
      <c r="PSK47" s="2" t="s">
        <v>195</v>
      </c>
      <c r="PSL47" s="3" t="s">
        <v>196</v>
      </c>
      <c r="PSM47" s="3" t="s">
        <v>180</v>
      </c>
      <c r="PSN47" s="3" t="s">
        <v>26</v>
      </c>
      <c r="PSO47" s="3" t="s">
        <v>197</v>
      </c>
      <c r="PSR47" s="3" t="s">
        <v>198</v>
      </c>
      <c r="PSS47" s="2" t="s">
        <v>195</v>
      </c>
      <c r="PST47" s="3" t="s">
        <v>196</v>
      </c>
      <c r="PSU47" s="3" t="s">
        <v>180</v>
      </c>
      <c r="PSV47" s="3" t="s">
        <v>26</v>
      </c>
      <c r="PSW47" s="3" t="s">
        <v>197</v>
      </c>
      <c r="PSZ47" s="3" t="s">
        <v>198</v>
      </c>
      <c r="PTA47" s="2" t="s">
        <v>195</v>
      </c>
      <c r="PTB47" s="3" t="s">
        <v>196</v>
      </c>
      <c r="PTC47" s="3" t="s">
        <v>180</v>
      </c>
      <c r="PTD47" s="3" t="s">
        <v>26</v>
      </c>
      <c r="PTE47" s="3" t="s">
        <v>197</v>
      </c>
      <c r="PTH47" s="3" t="s">
        <v>198</v>
      </c>
      <c r="PTI47" s="2" t="s">
        <v>195</v>
      </c>
      <c r="PTJ47" s="3" t="s">
        <v>196</v>
      </c>
      <c r="PTK47" s="3" t="s">
        <v>180</v>
      </c>
      <c r="PTL47" s="3" t="s">
        <v>26</v>
      </c>
      <c r="PTM47" s="3" t="s">
        <v>197</v>
      </c>
      <c r="PTP47" s="3" t="s">
        <v>198</v>
      </c>
      <c r="PTQ47" s="2" t="s">
        <v>195</v>
      </c>
      <c r="PTR47" s="3" t="s">
        <v>196</v>
      </c>
      <c r="PTS47" s="3" t="s">
        <v>180</v>
      </c>
      <c r="PTT47" s="3" t="s">
        <v>26</v>
      </c>
      <c r="PTU47" s="3" t="s">
        <v>197</v>
      </c>
      <c r="PTX47" s="3" t="s">
        <v>198</v>
      </c>
      <c r="PTY47" s="2" t="s">
        <v>195</v>
      </c>
      <c r="PTZ47" s="3" t="s">
        <v>196</v>
      </c>
      <c r="PUA47" s="3" t="s">
        <v>180</v>
      </c>
      <c r="PUB47" s="3" t="s">
        <v>26</v>
      </c>
      <c r="PUC47" s="3" t="s">
        <v>197</v>
      </c>
      <c r="PUF47" s="3" t="s">
        <v>198</v>
      </c>
      <c r="PUG47" s="2" t="s">
        <v>195</v>
      </c>
      <c r="PUH47" s="3" t="s">
        <v>196</v>
      </c>
      <c r="PUI47" s="3" t="s">
        <v>180</v>
      </c>
      <c r="PUJ47" s="3" t="s">
        <v>26</v>
      </c>
      <c r="PUK47" s="3" t="s">
        <v>197</v>
      </c>
      <c r="PUN47" s="3" t="s">
        <v>198</v>
      </c>
      <c r="PUO47" s="2" t="s">
        <v>195</v>
      </c>
      <c r="PUP47" s="3" t="s">
        <v>196</v>
      </c>
      <c r="PUQ47" s="3" t="s">
        <v>180</v>
      </c>
      <c r="PUR47" s="3" t="s">
        <v>26</v>
      </c>
      <c r="PUS47" s="3" t="s">
        <v>197</v>
      </c>
      <c r="PUV47" s="3" t="s">
        <v>198</v>
      </c>
      <c r="PUW47" s="2" t="s">
        <v>195</v>
      </c>
      <c r="PUX47" s="3" t="s">
        <v>196</v>
      </c>
      <c r="PUY47" s="3" t="s">
        <v>180</v>
      </c>
      <c r="PUZ47" s="3" t="s">
        <v>26</v>
      </c>
      <c r="PVA47" s="3" t="s">
        <v>197</v>
      </c>
      <c r="PVD47" s="3" t="s">
        <v>198</v>
      </c>
      <c r="PVE47" s="2" t="s">
        <v>195</v>
      </c>
      <c r="PVF47" s="3" t="s">
        <v>196</v>
      </c>
      <c r="PVG47" s="3" t="s">
        <v>180</v>
      </c>
      <c r="PVH47" s="3" t="s">
        <v>26</v>
      </c>
      <c r="PVI47" s="3" t="s">
        <v>197</v>
      </c>
      <c r="PVL47" s="3" t="s">
        <v>198</v>
      </c>
      <c r="PVM47" s="2" t="s">
        <v>195</v>
      </c>
      <c r="PVN47" s="3" t="s">
        <v>196</v>
      </c>
      <c r="PVO47" s="3" t="s">
        <v>180</v>
      </c>
      <c r="PVP47" s="3" t="s">
        <v>26</v>
      </c>
      <c r="PVQ47" s="3" t="s">
        <v>197</v>
      </c>
      <c r="PVT47" s="3" t="s">
        <v>198</v>
      </c>
      <c r="PVU47" s="2" t="s">
        <v>195</v>
      </c>
      <c r="PVV47" s="3" t="s">
        <v>196</v>
      </c>
      <c r="PVW47" s="3" t="s">
        <v>180</v>
      </c>
      <c r="PVX47" s="3" t="s">
        <v>26</v>
      </c>
      <c r="PVY47" s="3" t="s">
        <v>197</v>
      </c>
      <c r="PWB47" s="3" t="s">
        <v>198</v>
      </c>
      <c r="PWC47" s="2" t="s">
        <v>195</v>
      </c>
      <c r="PWD47" s="3" t="s">
        <v>196</v>
      </c>
      <c r="PWE47" s="3" t="s">
        <v>180</v>
      </c>
      <c r="PWF47" s="3" t="s">
        <v>26</v>
      </c>
      <c r="PWG47" s="3" t="s">
        <v>197</v>
      </c>
      <c r="PWJ47" s="3" t="s">
        <v>198</v>
      </c>
      <c r="PWK47" s="2" t="s">
        <v>195</v>
      </c>
      <c r="PWL47" s="3" t="s">
        <v>196</v>
      </c>
      <c r="PWM47" s="3" t="s">
        <v>180</v>
      </c>
      <c r="PWN47" s="3" t="s">
        <v>26</v>
      </c>
      <c r="PWO47" s="3" t="s">
        <v>197</v>
      </c>
      <c r="PWR47" s="3" t="s">
        <v>198</v>
      </c>
      <c r="PWS47" s="2" t="s">
        <v>195</v>
      </c>
      <c r="PWT47" s="3" t="s">
        <v>196</v>
      </c>
      <c r="PWU47" s="3" t="s">
        <v>180</v>
      </c>
      <c r="PWV47" s="3" t="s">
        <v>26</v>
      </c>
      <c r="PWW47" s="3" t="s">
        <v>197</v>
      </c>
      <c r="PWZ47" s="3" t="s">
        <v>198</v>
      </c>
      <c r="PXA47" s="2" t="s">
        <v>195</v>
      </c>
      <c r="PXB47" s="3" t="s">
        <v>196</v>
      </c>
      <c r="PXC47" s="3" t="s">
        <v>180</v>
      </c>
      <c r="PXD47" s="3" t="s">
        <v>26</v>
      </c>
      <c r="PXE47" s="3" t="s">
        <v>197</v>
      </c>
      <c r="PXH47" s="3" t="s">
        <v>198</v>
      </c>
      <c r="PXI47" s="2" t="s">
        <v>195</v>
      </c>
      <c r="PXJ47" s="3" t="s">
        <v>196</v>
      </c>
      <c r="PXK47" s="3" t="s">
        <v>180</v>
      </c>
      <c r="PXL47" s="3" t="s">
        <v>26</v>
      </c>
      <c r="PXM47" s="3" t="s">
        <v>197</v>
      </c>
      <c r="PXP47" s="3" t="s">
        <v>198</v>
      </c>
      <c r="PXQ47" s="2" t="s">
        <v>195</v>
      </c>
      <c r="PXR47" s="3" t="s">
        <v>196</v>
      </c>
      <c r="PXS47" s="3" t="s">
        <v>180</v>
      </c>
      <c r="PXT47" s="3" t="s">
        <v>26</v>
      </c>
      <c r="PXU47" s="3" t="s">
        <v>197</v>
      </c>
      <c r="PXX47" s="3" t="s">
        <v>198</v>
      </c>
      <c r="PXY47" s="2" t="s">
        <v>195</v>
      </c>
      <c r="PXZ47" s="3" t="s">
        <v>196</v>
      </c>
      <c r="PYA47" s="3" t="s">
        <v>180</v>
      </c>
      <c r="PYB47" s="3" t="s">
        <v>26</v>
      </c>
      <c r="PYC47" s="3" t="s">
        <v>197</v>
      </c>
      <c r="PYF47" s="3" t="s">
        <v>198</v>
      </c>
      <c r="PYG47" s="2" t="s">
        <v>195</v>
      </c>
      <c r="PYH47" s="3" t="s">
        <v>196</v>
      </c>
      <c r="PYI47" s="3" t="s">
        <v>180</v>
      </c>
      <c r="PYJ47" s="3" t="s">
        <v>26</v>
      </c>
      <c r="PYK47" s="3" t="s">
        <v>197</v>
      </c>
      <c r="PYN47" s="3" t="s">
        <v>198</v>
      </c>
      <c r="PYO47" s="2" t="s">
        <v>195</v>
      </c>
      <c r="PYP47" s="3" t="s">
        <v>196</v>
      </c>
      <c r="PYQ47" s="3" t="s">
        <v>180</v>
      </c>
      <c r="PYR47" s="3" t="s">
        <v>26</v>
      </c>
      <c r="PYS47" s="3" t="s">
        <v>197</v>
      </c>
      <c r="PYV47" s="3" t="s">
        <v>198</v>
      </c>
      <c r="PYW47" s="2" t="s">
        <v>195</v>
      </c>
      <c r="PYX47" s="3" t="s">
        <v>196</v>
      </c>
      <c r="PYY47" s="3" t="s">
        <v>180</v>
      </c>
      <c r="PYZ47" s="3" t="s">
        <v>26</v>
      </c>
      <c r="PZA47" s="3" t="s">
        <v>197</v>
      </c>
      <c r="PZD47" s="3" t="s">
        <v>198</v>
      </c>
      <c r="PZE47" s="2" t="s">
        <v>195</v>
      </c>
      <c r="PZF47" s="3" t="s">
        <v>196</v>
      </c>
      <c r="PZG47" s="3" t="s">
        <v>180</v>
      </c>
      <c r="PZH47" s="3" t="s">
        <v>26</v>
      </c>
      <c r="PZI47" s="3" t="s">
        <v>197</v>
      </c>
      <c r="PZL47" s="3" t="s">
        <v>198</v>
      </c>
      <c r="PZM47" s="2" t="s">
        <v>195</v>
      </c>
      <c r="PZN47" s="3" t="s">
        <v>196</v>
      </c>
      <c r="PZO47" s="3" t="s">
        <v>180</v>
      </c>
      <c r="PZP47" s="3" t="s">
        <v>26</v>
      </c>
      <c r="PZQ47" s="3" t="s">
        <v>197</v>
      </c>
      <c r="PZT47" s="3" t="s">
        <v>198</v>
      </c>
      <c r="PZU47" s="2" t="s">
        <v>195</v>
      </c>
      <c r="PZV47" s="3" t="s">
        <v>196</v>
      </c>
      <c r="PZW47" s="3" t="s">
        <v>180</v>
      </c>
      <c r="PZX47" s="3" t="s">
        <v>26</v>
      </c>
      <c r="PZY47" s="3" t="s">
        <v>197</v>
      </c>
      <c r="QAB47" s="3" t="s">
        <v>198</v>
      </c>
      <c r="QAC47" s="2" t="s">
        <v>195</v>
      </c>
      <c r="QAD47" s="3" t="s">
        <v>196</v>
      </c>
      <c r="QAE47" s="3" t="s">
        <v>180</v>
      </c>
      <c r="QAF47" s="3" t="s">
        <v>26</v>
      </c>
      <c r="QAG47" s="3" t="s">
        <v>197</v>
      </c>
      <c r="QAJ47" s="3" t="s">
        <v>198</v>
      </c>
      <c r="QAK47" s="2" t="s">
        <v>195</v>
      </c>
      <c r="QAL47" s="3" t="s">
        <v>196</v>
      </c>
      <c r="QAM47" s="3" t="s">
        <v>180</v>
      </c>
      <c r="QAN47" s="3" t="s">
        <v>26</v>
      </c>
      <c r="QAO47" s="3" t="s">
        <v>197</v>
      </c>
      <c r="QAR47" s="3" t="s">
        <v>198</v>
      </c>
      <c r="QAS47" s="2" t="s">
        <v>195</v>
      </c>
      <c r="QAT47" s="3" t="s">
        <v>196</v>
      </c>
      <c r="QAU47" s="3" t="s">
        <v>180</v>
      </c>
      <c r="QAV47" s="3" t="s">
        <v>26</v>
      </c>
      <c r="QAW47" s="3" t="s">
        <v>197</v>
      </c>
      <c r="QAZ47" s="3" t="s">
        <v>198</v>
      </c>
      <c r="QBA47" s="2" t="s">
        <v>195</v>
      </c>
      <c r="QBB47" s="3" t="s">
        <v>196</v>
      </c>
      <c r="QBC47" s="3" t="s">
        <v>180</v>
      </c>
      <c r="QBD47" s="3" t="s">
        <v>26</v>
      </c>
      <c r="QBE47" s="3" t="s">
        <v>197</v>
      </c>
      <c r="QBH47" s="3" t="s">
        <v>198</v>
      </c>
      <c r="QBI47" s="2" t="s">
        <v>195</v>
      </c>
      <c r="QBJ47" s="3" t="s">
        <v>196</v>
      </c>
      <c r="QBK47" s="3" t="s">
        <v>180</v>
      </c>
      <c r="QBL47" s="3" t="s">
        <v>26</v>
      </c>
      <c r="QBM47" s="3" t="s">
        <v>197</v>
      </c>
      <c r="QBP47" s="3" t="s">
        <v>198</v>
      </c>
      <c r="QBQ47" s="2" t="s">
        <v>195</v>
      </c>
      <c r="QBR47" s="3" t="s">
        <v>196</v>
      </c>
      <c r="QBS47" s="3" t="s">
        <v>180</v>
      </c>
      <c r="QBT47" s="3" t="s">
        <v>26</v>
      </c>
      <c r="QBU47" s="3" t="s">
        <v>197</v>
      </c>
      <c r="QBX47" s="3" t="s">
        <v>198</v>
      </c>
      <c r="QBY47" s="2" t="s">
        <v>195</v>
      </c>
      <c r="QBZ47" s="3" t="s">
        <v>196</v>
      </c>
      <c r="QCA47" s="3" t="s">
        <v>180</v>
      </c>
      <c r="QCB47" s="3" t="s">
        <v>26</v>
      </c>
      <c r="QCC47" s="3" t="s">
        <v>197</v>
      </c>
      <c r="QCF47" s="3" t="s">
        <v>198</v>
      </c>
      <c r="QCG47" s="2" t="s">
        <v>195</v>
      </c>
      <c r="QCH47" s="3" t="s">
        <v>196</v>
      </c>
      <c r="QCI47" s="3" t="s">
        <v>180</v>
      </c>
      <c r="QCJ47" s="3" t="s">
        <v>26</v>
      </c>
      <c r="QCK47" s="3" t="s">
        <v>197</v>
      </c>
      <c r="QCN47" s="3" t="s">
        <v>198</v>
      </c>
      <c r="QCO47" s="2" t="s">
        <v>195</v>
      </c>
      <c r="QCP47" s="3" t="s">
        <v>196</v>
      </c>
      <c r="QCQ47" s="3" t="s">
        <v>180</v>
      </c>
      <c r="QCR47" s="3" t="s">
        <v>26</v>
      </c>
      <c r="QCS47" s="3" t="s">
        <v>197</v>
      </c>
      <c r="QCV47" s="3" t="s">
        <v>198</v>
      </c>
      <c r="QCW47" s="2" t="s">
        <v>195</v>
      </c>
      <c r="QCX47" s="3" t="s">
        <v>196</v>
      </c>
      <c r="QCY47" s="3" t="s">
        <v>180</v>
      </c>
      <c r="QCZ47" s="3" t="s">
        <v>26</v>
      </c>
      <c r="QDA47" s="3" t="s">
        <v>197</v>
      </c>
      <c r="QDD47" s="3" t="s">
        <v>198</v>
      </c>
      <c r="QDE47" s="2" t="s">
        <v>195</v>
      </c>
      <c r="QDF47" s="3" t="s">
        <v>196</v>
      </c>
      <c r="QDG47" s="3" t="s">
        <v>180</v>
      </c>
      <c r="QDH47" s="3" t="s">
        <v>26</v>
      </c>
      <c r="QDI47" s="3" t="s">
        <v>197</v>
      </c>
      <c r="QDL47" s="3" t="s">
        <v>198</v>
      </c>
      <c r="QDM47" s="2" t="s">
        <v>195</v>
      </c>
      <c r="QDN47" s="3" t="s">
        <v>196</v>
      </c>
      <c r="QDO47" s="3" t="s">
        <v>180</v>
      </c>
      <c r="QDP47" s="3" t="s">
        <v>26</v>
      </c>
      <c r="QDQ47" s="3" t="s">
        <v>197</v>
      </c>
      <c r="QDT47" s="3" t="s">
        <v>198</v>
      </c>
      <c r="QDU47" s="2" t="s">
        <v>195</v>
      </c>
      <c r="QDV47" s="3" t="s">
        <v>196</v>
      </c>
      <c r="QDW47" s="3" t="s">
        <v>180</v>
      </c>
      <c r="QDX47" s="3" t="s">
        <v>26</v>
      </c>
      <c r="QDY47" s="3" t="s">
        <v>197</v>
      </c>
      <c r="QEB47" s="3" t="s">
        <v>198</v>
      </c>
      <c r="QEC47" s="2" t="s">
        <v>195</v>
      </c>
      <c r="QED47" s="3" t="s">
        <v>196</v>
      </c>
      <c r="QEE47" s="3" t="s">
        <v>180</v>
      </c>
      <c r="QEF47" s="3" t="s">
        <v>26</v>
      </c>
      <c r="QEG47" s="3" t="s">
        <v>197</v>
      </c>
      <c r="QEJ47" s="3" t="s">
        <v>198</v>
      </c>
      <c r="QEK47" s="2" t="s">
        <v>195</v>
      </c>
      <c r="QEL47" s="3" t="s">
        <v>196</v>
      </c>
      <c r="QEM47" s="3" t="s">
        <v>180</v>
      </c>
      <c r="QEN47" s="3" t="s">
        <v>26</v>
      </c>
      <c r="QEO47" s="3" t="s">
        <v>197</v>
      </c>
      <c r="QER47" s="3" t="s">
        <v>198</v>
      </c>
      <c r="QES47" s="2" t="s">
        <v>195</v>
      </c>
      <c r="QET47" s="3" t="s">
        <v>196</v>
      </c>
      <c r="QEU47" s="3" t="s">
        <v>180</v>
      </c>
      <c r="QEV47" s="3" t="s">
        <v>26</v>
      </c>
      <c r="QEW47" s="3" t="s">
        <v>197</v>
      </c>
      <c r="QEZ47" s="3" t="s">
        <v>198</v>
      </c>
      <c r="QFA47" s="2" t="s">
        <v>195</v>
      </c>
      <c r="QFB47" s="3" t="s">
        <v>196</v>
      </c>
      <c r="QFC47" s="3" t="s">
        <v>180</v>
      </c>
      <c r="QFD47" s="3" t="s">
        <v>26</v>
      </c>
      <c r="QFE47" s="3" t="s">
        <v>197</v>
      </c>
      <c r="QFH47" s="3" t="s">
        <v>198</v>
      </c>
      <c r="QFI47" s="2" t="s">
        <v>195</v>
      </c>
      <c r="QFJ47" s="3" t="s">
        <v>196</v>
      </c>
      <c r="QFK47" s="3" t="s">
        <v>180</v>
      </c>
      <c r="QFL47" s="3" t="s">
        <v>26</v>
      </c>
      <c r="QFM47" s="3" t="s">
        <v>197</v>
      </c>
      <c r="QFP47" s="3" t="s">
        <v>198</v>
      </c>
      <c r="QFQ47" s="2" t="s">
        <v>195</v>
      </c>
      <c r="QFR47" s="3" t="s">
        <v>196</v>
      </c>
      <c r="QFS47" s="3" t="s">
        <v>180</v>
      </c>
      <c r="QFT47" s="3" t="s">
        <v>26</v>
      </c>
      <c r="QFU47" s="3" t="s">
        <v>197</v>
      </c>
      <c r="QFX47" s="3" t="s">
        <v>198</v>
      </c>
      <c r="QFY47" s="2" t="s">
        <v>195</v>
      </c>
      <c r="QFZ47" s="3" t="s">
        <v>196</v>
      </c>
      <c r="QGA47" s="3" t="s">
        <v>180</v>
      </c>
      <c r="QGB47" s="3" t="s">
        <v>26</v>
      </c>
      <c r="QGC47" s="3" t="s">
        <v>197</v>
      </c>
      <c r="QGF47" s="3" t="s">
        <v>198</v>
      </c>
      <c r="QGG47" s="2" t="s">
        <v>195</v>
      </c>
      <c r="QGH47" s="3" t="s">
        <v>196</v>
      </c>
      <c r="QGI47" s="3" t="s">
        <v>180</v>
      </c>
      <c r="QGJ47" s="3" t="s">
        <v>26</v>
      </c>
      <c r="QGK47" s="3" t="s">
        <v>197</v>
      </c>
      <c r="QGN47" s="3" t="s">
        <v>198</v>
      </c>
      <c r="QGO47" s="2" t="s">
        <v>195</v>
      </c>
      <c r="QGP47" s="3" t="s">
        <v>196</v>
      </c>
      <c r="QGQ47" s="3" t="s">
        <v>180</v>
      </c>
      <c r="QGR47" s="3" t="s">
        <v>26</v>
      </c>
      <c r="QGS47" s="3" t="s">
        <v>197</v>
      </c>
      <c r="QGV47" s="3" t="s">
        <v>198</v>
      </c>
      <c r="QGW47" s="2" t="s">
        <v>195</v>
      </c>
      <c r="QGX47" s="3" t="s">
        <v>196</v>
      </c>
      <c r="QGY47" s="3" t="s">
        <v>180</v>
      </c>
      <c r="QGZ47" s="3" t="s">
        <v>26</v>
      </c>
      <c r="QHA47" s="3" t="s">
        <v>197</v>
      </c>
      <c r="QHD47" s="3" t="s">
        <v>198</v>
      </c>
      <c r="QHE47" s="2" t="s">
        <v>195</v>
      </c>
      <c r="QHF47" s="3" t="s">
        <v>196</v>
      </c>
      <c r="QHG47" s="3" t="s">
        <v>180</v>
      </c>
      <c r="QHH47" s="3" t="s">
        <v>26</v>
      </c>
      <c r="QHI47" s="3" t="s">
        <v>197</v>
      </c>
      <c r="QHL47" s="3" t="s">
        <v>198</v>
      </c>
      <c r="QHM47" s="2" t="s">
        <v>195</v>
      </c>
      <c r="QHN47" s="3" t="s">
        <v>196</v>
      </c>
      <c r="QHO47" s="3" t="s">
        <v>180</v>
      </c>
      <c r="QHP47" s="3" t="s">
        <v>26</v>
      </c>
      <c r="QHQ47" s="3" t="s">
        <v>197</v>
      </c>
      <c r="QHT47" s="3" t="s">
        <v>198</v>
      </c>
      <c r="QHU47" s="2" t="s">
        <v>195</v>
      </c>
      <c r="QHV47" s="3" t="s">
        <v>196</v>
      </c>
      <c r="QHW47" s="3" t="s">
        <v>180</v>
      </c>
      <c r="QHX47" s="3" t="s">
        <v>26</v>
      </c>
      <c r="QHY47" s="3" t="s">
        <v>197</v>
      </c>
      <c r="QIB47" s="3" t="s">
        <v>198</v>
      </c>
      <c r="QIC47" s="2" t="s">
        <v>195</v>
      </c>
      <c r="QID47" s="3" t="s">
        <v>196</v>
      </c>
      <c r="QIE47" s="3" t="s">
        <v>180</v>
      </c>
      <c r="QIF47" s="3" t="s">
        <v>26</v>
      </c>
      <c r="QIG47" s="3" t="s">
        <v>197</v>
      </c>
      <c r="QIJ47" s="3" t="s">
        <v>198</v>
      </c>
      <c r="QIK47" s="2" t="s">
        <v>195</v>
      </c>
      <c r="QIL47" s="3" t="s">
        <v>196</v>
      </c>
      <c r="QIM47" s="3" t="s">
        <v>180</v>
      </c>
      <c r="QIN47" s="3" t="s">
        <v>26</v>
      </c>
      <c r="QIO47" s="3" t="s">
        <v>197</v>
      </c>
      <c r="QIR47" s="3" t="s">
        <v>198</v>
      </c>
      <c r="QIS47" s="2" t="s">
        <v>195</v>
      </c>
      <c r="QIT47" s="3" t="s">
        <v>196</v>
      </c>
      <c r="QIU47" s="3" t="s">
        <v>180</v>
      </c>
      <c r="QIV47" s="3" t="s">
        <v>26</v>
      </c>
      <c r="QIW47" s="3" t="s">
        <v>197</v>
      </c>
      <c r="QIZ47" s="3" t="s">
        <v>198</v>
      </c>
      <c r="QJA47" s="2" t="s">
        <v>195</v>
      </c>
      <c r="QJB47" s="3" t="s">
        <v>196</v>
      </c>
      <c r="QJC47" s="3" t="s">
        <v>180</v>
      </c>
      <c r="QJD47" s="3" t="s">
        <v>26</v>
      </c>
      <c r="QJE47" s="3" t="s">
        <v>197</v>
      </c>
      <c r="QJH47" s="3" t="s">
        <v>198</v>
      </c>
      <c r="QJI47" s="2" t="s">
        <v>195</v>
      </c>
      <c r="QJJ47" s="3" t="s">
        <v>196</v>
      </c>
      <c r="QJK47" s="3" t="s">
        <v>180</v>
      </c>
      <c r="QJL47" s="3" t="s">
        <v>26</v>
      </c>
      <c r="QJM47" s="3" t="s">
        <v>197</v>
      </c>
      <c r="QJP47" s="3" t="s">
        <v>198</v>
      </c>
      <c r="QJQ47" s="2" t="s">
        <v>195</v>
      </c>
      <c r="QJR47" s="3" t="s">
        <v>196</v>
      </c>
      <c r="QJS47" s="3" t="s">
        <v>180</v>
      </c>
      <c r="QJT47" s="3" t="s">
        <v>26</v>
      </c>
      <c r="QJU47" s="3" t="s">
        <v>197</v>
      </c>
      <c r="QJX47" s="3" t="s">
        <v>198</v>
      </c>
      <c r="QJY47" s="2" t="s">
        <v>195</v>
      </c>
      <c r="QJZ47" s="3" t="s">
        <v>196</v>
      </c>
      <c r="QKA47" s="3" t="s">
        <v>180</v>
      </c>
      <c r="QKB47" s="3" t="s">
        <v>26</v>
      </c>
      <c r="QKC47" s="3" t="s">
        <v>197</v>
      </c>
      <c r="QKF47" s="3" t="s">
        <v>198</v>
      </c>
      <c r="QKG47" s="2" t="s">
        <v>195</v>
      </c>
      <c r="QKH47" s="3" t="s">
        <v>196</v>
      </c>
      <c r="QKI47" s="3" t="s">
        <v>180</v>
      </c>
      <c r="QKJ47" s="3" t="s">
        <v>26</v>
      </c>
      <c r="QKK47" s="3" t="s">
        <v>197</v>
      </c>
      <c r="QKN47" s="3" t="s">
        <v>198</v>
      </c>
      <c r="QKO47" s="2" t="s">
        <v>195</v>
      </c>
      <c r="QKP47" s="3" t="s">
        <v>196</v>
      </c>
      <c r="QKQ47" s="3" t="s">
        <v>180</v>
      </c>
      <c r="QKR47" s="3" t="s">
        <v>26</v>
      </c>
      <c r="QKS47" s="3" t="s">
        <v>197</v>
      </c>
      <c r="QKV47" s="3" t="s">
        <v>198</v>
      </c>
      <c r="QKW47" s="2" t="s">
        <v>195</v>
      </c>
      <c r="QKX47" s="3" t="s">
        <v>196</v>
      </c>
      <c r="QKY47" s="3" t="s">
        <v>180</v>
      </c>
      <c r="QKZ47" s="3" t="s">
        <v>26</v>
      </c>
      <c r="QLA47" s="3" t="s">
        <v>197</v>
      </c>
      <c r="QLD47" s="3" t="s">
        <v>198</v>
      </c>
      <c r="QLE47" s="2" t="s">
        <v>195</v>
      </c>
      <c r="QLF47" s="3" t="s">
        <v>196</v>
      </c>
      <c r="QLG47" s="3" t="s">
        <v>180</v>
      </c>
      <c r="QLH47" s="3" t="s">
        <v>26</v>
      </c>
      <c r="QLI47" s="3" t="s">
        <v>197</v>
      </c>
      <c r="QLL47" s="3" t="s">
        <v>198</v>
      </c>
      <c r="QLM47" s="2" t="s">
        <v>195</v>
      </c>
      <c r="QLN47" s="3" t="s">
        <v>196</v>
      </c>
      <c r="QLO47" s="3" t="s">
        <v>180</v>
      </c>
      <c r="QLP47" s="3" t="s">
        <v>26</v>
      </c>
      <c r="QLQ47" s="3" t="s">
        <v>197</v>
      </c>
      <c r="QLT47" s="3" t="s">
        <v>198</v>
      </c>
      <c r="QLU47" s="2" t="s">
        <v>195</v>
      </c>
      <c r="QLV47" s="3" t="s">
        <v>196</v>
      </c>
      <c r="QLW47" s="3" t="s">
        <v>180</v>
      </c>
      <c r="QLX47" s="3" t="s">
        <v>26</v>
      </c>
      <c r="QLY47" s="3" t="s">
        <v>197</v>
      </c>
      <c r="QMB47" s="3" t="s">
        <v>198</v>
      </c>
      <c r="QMC47" s="2" t="s">
        <v>195</v>
      </c>
      <c r="QMD47" s="3" t="s">
        <v>196</v>
      </c>
      <c r="QME47" s="3" t="s">
        <v>180</v>
      </c>
      <c r="QMF47" s="3" t="s">
        <v>26</v>
      </c>
      <c r="QMG47" s="3" t="s">
        <v>197</v>
      </c>
      <c r="QMJ47" s="3" t="s">
        <v>198</v>
      </c>
      <c r="QMK47" s="2" t="s">
        <v>195</v>
      </c>
      <c r="QML47" s="3" t="s">
        <v>196</v>
      </c>
      <c r="QMM47" s="3" t="s">
        <v>180</v>
      </c>
      <c r="QMN47" s="3" t="s">
        <v>26</v>
      </c>
      <c r="QMO47" s="3" t="s">
        <v>197</v>
      </c>
      <c r="QMR47" s="3" t="s">
        <v>198</v>
      </c>
      <c r="QMS47" s="2" t="s">
        <v>195</v>
      </c>
      <c r="QMT47" s="3" t="s">
        <v>196</v>
      </c>
      <c r="QMU47" s="3" t="s">
        <v>180</v>
      </c>
      <c r="QMV47" s="3" t="s">
        <v>26</v>
      </c>
      <c r="QMW47" s="3" t="s">
        <v>197</v>
      </c>
      <c r="QMZ47" s="3" t="s">
        <v>198</v>
      </c>
      <c r="QNA47" s="2" t="s">
        <v>195</v>
      </c>
      <c r="QNB47" s="3" t="s">
        <v>196</v>
      </c>
      <c r="QNC47" s="3" t="s">
        <v>180</v>
      </c>
      <c r="QND47" s="3" t="s">
        <v>26</v>
      </c>
      <c r="QNE47" s="3" t="s">
        <v>197</v>
      </c>
      <c r="QNH47" s="3" t="s">
        <v>198</v>
      </c>
      <c r="QNI47" s="2" t="s">
        <v>195</v>
      </c>
      <c r="QNJ47" s="3" t="s">
        <v>196</v>
      </c>
      <c r="QNK47" s="3" t="s">
        <v>180</v>
      </c>
      <c r="QNL47" s="3" t="s">
        <v>26</v>
      </c>
      <c r="QNM47" s="3" t="s">
        <v>197</v>
      </c>
      <c r="QNP47" s="3" t="s">
        <v>198</v>
      </c>
      <c r="QNQ47" s="2" t="s">
        <v>195</v>
      </c>
      <c r="QNR47" s="3" t="s">
        <v>196</v>
      </c>
      <c r="QNS47" s="3" t="s">
        <v>180</v>
      </c>
      <c r="QNT47" s="3" t="s">
        <v>26</v>
      </c>
      <c r="QNU47" s="3" t="s">
        <v>197</v>
      </c>
      <c r="QNX47" s="3" t="s">
        <v>198</v>
      </c>
      <c r="QNY47" s="2" t="s">
        <v>195</v>
      </c>
      <c r="QNZ47" s="3" t="s">
        <v>196</v>
      </c>
      <c r="QOA47" s="3" t="s">
        <v>180</v>
      </c>
      <c r="QOB47" s="3" t="s">
        <v>26</v>
      </c>
      <c r="QOC47" s="3" t="s">
        <v>197</v>
      </c>
      <c r="QOF47" s="3" t="s">
        <v>198</v>
      </c>
      <c r="QOG47" s="2" t="s">
        <v>195</v>
      </c>
      <c r="QOH47" s="3" t="s">
        <v>196</v>
      </c>
      <c r="QOI47" s="3" t="s">
        <v>180</v>
      </c>
      <c r="QOJ47" s="3" t="s">
        <v>26</v>
      </c>
      <c r="QOK47" s="3" t="s">
        <v>197</v>
      </c>
      <c r="QON47" s="3" t="s">
        <v>198</v>
      </c>
      <c r="QOO47" s="2" t="s">
        <v>195</v>
      </c>
      <c r="QOP47" s="3" t="s">
        <v>196</v>
      </c>
      <c r="QOQ47" s="3" t="s">
        <v>180</v>
      </c>
      <c r="QOR47" s="3" t="s">
        <v>26</v>
      </c>
      <c r="QOS47" s="3" t="s">
        <v>197</v>
      </c>
      <c r="QOV47" s="3" t="s">
        <v>198</v>
      </c>
      <c r="QOW47" s="2" t="s">
        <v>195</v>
      </c>
      <c r="QOX47" s="3" t="s">
        <v>196</v>
      </c>
      <c r="QOY47" s="3" t="s">
        <v>180</v>
      </c>
      <c r="QOZ47" s="3" t="s">
        <v>26</v>
      </c>
      <c r="QPA47" s="3" t="s">
        <v>197</v>
      </c>
      <c r="QPD47" s="3" t="s">
        <v>198</v>
      </c>
      <c r="QPE47" s="2" t="s">
        <v>195</v>
      </c>
      <c r="QPF47" s="3" t="s">
        <v>196</v>
      </c>
      <c r="QPG47" s="3" t="s">
        <v>180</v>
      </c>
      <c r="QPH47" s="3" t="s">
        <v>26</v>
      </c>
      <c r="QPI47" s="3" t="s">
        <v>197</v>
      </c>
      <c r="QPL47" s="3" t="s">
        <v>198</v>
      </c>
      <c r="QPM47" s="2" t="s">
        <v>195</v>
      </c>
      <c r="QPN47" s="3" t="s">
        <v>196</v>
      </c>
      <c r="QPO47" s="3" t="s">
        <v>180</v>
      </c>
      <c r="QPP47" s="3" t="s">
        <v>26</v>
      </c>
      <c r="QPQ47" s="3" t="s">
        <v>197</v>
      </c>
      <c r="QPT47" s="3" t="s">
        <v>198</v>
      </c>
      <c r="QPU47" s="2" t="s">
        <v>195</v>
      </c>
      <c r="QPV47" s="3" t="s">
        <v>196</v>
      </c>
      <c r="QPW47" s="3" t="s">
        <v>180</v>
      </c>
      <c r="QPX47" s="3" t="s">
        <v>26</v>
      </c>
      <c r="QPY47" s="3" t="s">
        <v>197</v>
      </c>
      <c r="QQB47" s="3" t="s">
        <v>198</v>
      </c>
      <c r="QQC47" s="2" t="s">
        <v>195</v>
      </c>
      <c r="QQD47" s="3" t="s">
        <v>196</v>
      </c>
      <c r="QQE47" s="3" t="s">
        <v>180</v>
      </c>
      <c r="QQF47" s="3" t="s">
        <v>26</v>
      </c>
      <c r="QQG47" s="3" t="s">
        <v>197</v>
      </c>
      <c r="QQJ47" s="3" t="s">
        <v>198</v>
      </c>
      <c r="QQK47" s="2" t="s">
        <v>195</v>
      </c>
      <c r="QQL47" s="3" t="s">
        <v>196</v>
      </c>
      <c r="QQM47" s="3" t="s">
        <v>180</v>
      </c>
      <c r="QQN47" s="3" t="s">
        <v>26</v>
      </c>
      <c r="QQO47" s="3" t="s">
        <v>197</v>
      </c>
      <c r="QQR47" s="3" t="s">
        <v>198</v>
      </c>
      <c r="QQS47" s="2" t="s">
        <v>195</v>
      </c>
      <c r="QQT47" s="3" t="s">
        <v>196</v>
      </c>
      <c r="QQU47" s="3" t="s">
        <v>180</v>
      </c>
      <c r="QQV47" s="3" t="s">
        <v>26</v>
      </c>
      <c r="QQW47" s="3" t="s">
        <v>197</v>
      </c>
      <c r="QQZ47" s="3" t="s">
        <v>198</v>
      </c>
      <c r="QRA47" s="2" t="s">
        <v>195</v>
      </c>
      <c r="QRB47" s="3" t="s">
        <v>196</v>
      </c>
      <c r="QRC47" s="3" t="s">
        <v>180</v>
      </c>
      <c r="QRD47" s="3" t="s">
        <v>26</v>
      </c>
      <c r="QRE47" s="3" t="s">
        <v>197</v>
      </c>
      <c r="QRH47" s="3" t="s">
        <v>198</v>
      </c>
      <c r="QRI47" s="2" t="s">
        <v>195</v>
      </c>
      <c r="QRJ47" s="3" t="s">
        <v>196</v>
      </c>
      <c r="QRK47" s="3" t="s">
        <v>180</v>
      </c>
      <c r="QRL47" s="3" t="s">
        <v>26</v>
      </c>
      <c r="QRM47" s="3" t="s">
        <v>197</v>
      </c>
      <c r="QRP47" s="3" t="s">
        <v>198</v>
      </c>
      <c r="QRQ47" s="2" t="s">
        <v>195</v>
      </c>
      <c r="QRR47" s="3" t="s">
        <v>196</v>
      </c>
      <c r="QRS47" s="3" t="s">
        <v>180</v>
      </c>
      <c r="QRT47" s="3" t="s">
        <v>26</v>
      </c>
      <c r="QRU47" s="3" t="s">
        <v>197</v>
      </c>
      <c r="QRX47" s="3" t="s">
        <v>198</v>
      </c>
      <c r="QRY47" s="2" t="s">
        <v>195</v>
      </c>
      <c r="QRZ47" s="3" t="s">
        <v>196</v>
      </c>
      <c r="QSA47" s="3" t="s">
        <v>180</v>
      </c>
      <c r="QSB47" s="3" t="s">
        <v>26</v>
      </c>
      <c r="QSC47" s="3" t="s">
        <v>197</v>
      </c>
      <c r="QSF47" s="3" t="s">
        <v>198</v>
      </c>
      <c r="QSG47" s="2" t="s">
        <v>195</v>
      </c>
      <c r="QSH47" s="3" t="s">
        <v>196</v>
      </c>
      <c r="QSI47" s="3" t="s">
        <v>180</v>
      </c>
      <c r="QSJ47" s="3" t="s">
        <v>26</v>
      </c>
      <c r="QSK47" s="3" t="s">
        <v>197</v>
      </c>
      <c r="QSN47" s="3" t="s">
        <v>198</v>
      </c>
      <c r="QSO47" s="2" t="s">
        <v>195</v>
      </c>
      <c r="QSP47" s="3" t="s">
        <v>196</v>
      </c>
      <c r="QSQ47" s="3" t="s">
        <v>180</v>
      </c>
      <c r="QSR47" s="3" t="s">
        <v>26</v>
      </c>
      <c r="QSS47" s="3" t="s">
        <v>197</v>
      </c>
      <c r="QSV47" s="3" t="s">
        <v>198</v>
      </c>
      <c r="QSW47" s="2" t="s">
        <v>195</v>
      </c>
      <c r="QSX47" s="3" t="s">
        <v>196</v>
      </c>
      <c r="QSY47" s="3" t="s">
        <v>180</v>
      </c>
      <c r="QSZ47" s="3" t="s">
        <v>26</v>
      </c>
      <c r="QTA47" s="3" t="s">
        <v>197</v>
      </c>
      <c r="QTD47" s="3" t="s">
        <v>198</v>
      </c>
      <c r="QTE47" s="2" t="s">
        <v>195</v>
      </c>
      <c r="QTF47" s="3" t="s">
        <v>196</v>
      </c>
      <c r="QTG47" s="3" t="s">
        <v>180</v>
      </c>
      <c r="QTH47" s="3" t="s">
        <v>26</v>
      </c>
      <c r="QTI47" s="3" t="s">
        <v>197</v>
      </c>
      <c r="QTL47" s="3" t="s">
        <v>198</v>
      </c>
      <c r="QTM47" s="2" t="s">
        <v>195</v>
      </c>
      <c r="QTN47" s="3" t="s">
        <v>196</v>
      </c>
      <c r="QTO47" s="3" t="s">
        <v>180</v>
      </c>
      <c r="QTP47" s="3" t="s">
        <v>26</v>
      </c>
      <c r="QTQ47" s="3" t="s">
        <v>197</v>
      </c>
      <c r="QTT47" s="3" t="s">
        <v>198</v>
      </c>
      <c r="QTU47" s="2" t="s">
        <v>195</v>
      </c>
      <c r="QTV47" s="3" t="s">
        <v>196</v>
      </c>
      <c r="QTW47" s="3" t="s">
        <v>180</v>
      </c>
      <c r="QTX47" s="3" t="s">
        <v>26</v>
      </c>
      <c r="QTY47" s="3" t="s">
        <v>197</v>
      </c>
      <c r="QUB47" s="3" t="s">
        <v>198</v>
      </c>
      <c r="QUC47" s="2" t="s">
        <v>195</v>
      </c>
      <c r="QUD47" s="3" t="s">
        <v>196</v>
      </c>
      <c r="QUE47" s="3" t="s">
        <v>180</v>
      </c>
      <c r="QUF47" s="3" t="s">
        <v>26</v>
      </c>
      <c r="QUG47" s="3" t="s">
        <v>197</v>
      </c>
      <c r="QUJ47" s="3" t="s">
        <v>198</v>
      </c>
      <c r="QUK47" s="2" t="s">
        <v>195</v>
      </c>
      <c r="QUL47" s="3" t="s">
        <v>196</v>
      </c>
      <c r="QUM47" s="3" t="s">
        <v>180</v>
      </c>
      <c r="QUN47" s="3" t="s">
        <v>26</v>
      </c>
      <c r="QUO47" s="3" t="s">
        <v>197</v>
      </c>
      <c r="QUR47" s="3" t="s">
        <v>198</v>
      </c>
      <c r="QUS47" s="2" t="s">
        <v>195</v>
      </c>
      <c r="QUT47" s="3" t="s">
        <v>196</v>
      </c>
      <c r="QUU47" s="3" t="s">
        <v>180</v>
      </c>
      <c r="QUV47" s="3" t="s">
        <v>26</v>
      </c>
      <c r="QUW47" s="3" t="s">
        <v>197</v>
      </c>
      <c r="QUZ47" s="3" t="s">
        <v>198</v>
      </c>
      <c r="QVA47" s="2" t="s">
        <v>195</v>
      </c>
      <c r="QVB47" s="3" t="s">
        <v>196</v>
      </c>
      <c r="QVC47" s="3" t="s">
        <v>180</v>
      </c>
      <c r="QVD47" s="3" t="s">
        <v>26</v>
      </c>
      <c r="QVE47" s="3" t="s">
        <v>197</v>
      </c>
      <c r="QVH47" s="3" t="s">
        <v>198</v>
      </c>
      <c r="QVI47" s="2" t="s">
        <v>195</v>
      </c>
      <c r="QVJ47" s="3" t="s">
        <v>196</v>
      </c>
      <c r="QVK47" s="3" t="s">
        <v>180</v>
      </c>
      <c r="QVL47" s="3" t="s">
        <v>26</v>
      </c>
      <c r="QVM47" s="3" t="s">
        <v>197</v>
      </c>
      <c r="QVP47" s="3" t="s">
        <v>198</v>
      </c>
      <c r="QVQ47" s="2" t="s">
        <v>195</v>
      </c>
      <c r="QVR47" s="3" t="s">
        <v>196</v>
      </c>
      <c r="QVS47" s="3" t="s">
        <v>180</v>
      </c>
      <c r="QVT47" s="3" t="s">
        <v>26</v>
      </c>
      <c r="QVU47" s="3" t="s">
        <v>197</v>
      </c>
      <c r="QVX47" s="3" t="s">
        <v>198</v>
      </c>
      <c r="QVY47" s="2" t="s">
        <v>195</v>
      </c>
      <c r="QVZ47" s="3" t="s">
        <v>196</v>
      </c>
      <c r="QWA47" s="3" t="s">
        <v>180</v>
      </c>
      <c r="QWB47" s="3" t="s">
        <v>26</v>
      </c>
      <c r="QWC47" s="3" t="s">
        <v>197</v>
      </c>
      <c r="QWF47" s="3" t="s">
        <v>198</v>
      </c>
      <c r="QWG47" s="2" t="s">
        <v>195</v>
      </c>
      <c r="QWH47" s="3" t="s">
        <v>196</v>
      </c>
      <c r="QWI47" s="3" t="s">
        <v>180</v>
      </c>
      <c r="QWJ47" s="3" t="s">
        <v>26</v>
      </c>
      <c r="QWK47" s="3" t="s">
        <v>197</v>
      </c>
      <c r="QWN47" s="3" t="s">
        <v>198</v>
      </c>
      <c r="QWO47" s="2" t="s">
        <v>195</v>
      </c>
      <c r="QWP47" s="3" t="s">
        <v>196</v>
      </c>
      <c r="QWQ47" s="3" t="s">
        <v>180</v>
      </c>
      <c r="QWR47" s="3" t="s">
        <v>26</v>
      </c>
      <c r="QWS47" s="3" t="s">
        <v>197</v>
      </c>
      <c r="QWV47" s="3" t="s">
        <v>198</v>
      </c>
      <c r="QWW47" s="2" t="s">
        <v>195</v>
      </c>
      <c r="QWX47" s="3" t="s">
        <v>196</v>
      </c>
      <c r="QWY47" s="3" t="s">
        <v>180</v>
      </c>
      <c r="QWZ47" s="3" t="s">
        <v>26</v>
      </c>
      <c r="QXA47" s="3" t="s">
        <v>197</v>
      </c>
      <c r="QXD47" s="3" t="s">
        <v>198</v>
      </c>
      <c r="QXE47" s="2" t="s">
        <v>195</v>
      </c>
      <c r="QXF47" s="3" t="s">
        <v>196</v>
      </c>
      <c r="QXG47" s="3" t="s">
        <v>180</v>
      </c>
      <c r="QXH47" s="3" t="s">
        <v>26</v>
      </c>
      <c r="QXI47" s="3" t="s">
        <v>197</v>
      </c>
      <c r="QXL47" s="3" t="s">
        <v>198</v>
      </c>
      <c r="QXM47" s="2" t="s">
        <v>195</v>
      </c>
      <c r="QXN47" s="3" t="s">
        <v>196</v>
      </c>
      <c r="QXO47" s="3" t="s">
        <v>180</v>
      </c>
      <c r="QXP47" s="3" t="s">
        <v>26</v>
      </c>
      <c r="QXQ47" s="3" t="s">
        <v>197</v>
      </c>
      <c r="QXT47" s="3" t="s">
        <v>198</v>
      </c>
      <c r="QXU47" s="2" t="s">
        <v>195</v>
      </c>
      <c r="QXV47" s="3" t="s">
        <v>196</v>
      </c>
      <c r="QXW47" s="3" t="s">
        <v>180</v>
      </c>
      <c r="QXX47" s="3" t="s">
        <v>26</v>
      </c>
      <c r="QXY47" s="3" t="s">
        <v>197</v>
      </c>
      <c r="QYB47" s="3" t="s">
        <v>198</v>
      </c>
      <c r="QYC47" s="2" t="s">
        <v>195</v>
      </c>
      <c r="QYD47" s="3" t="s">
        <v>196</v>
      </c>
      <c r="QYE47" s="3" t="s">
        <v>180</v>
      </c>
      <c r="QYF47" s="3" t="s">
        <v>26</v>
      </c>
      <c r="QYG47" s="3" t="s">
        <v>197</v>
      </c>
      <c r="QYJ47" s="3" t="s">
        <v>198</v>
      </c>
      <c r="QYK47" s="2" t="s">
        <v>195</v>
      </c>
      <c r="QYL47" s="3" t="s">
        <v>196</v>
      </c>
      <c r="QYM47" s="3" t="s">
        <v>180</v>
      </c>
      <c r="QYN47" s="3" t="s">
        <v>26</v>
      </c>
      <c r="QYO47" s="3" t="s">
        <v>197</v>
      </c>
      <c r="QYR47" s="3" t="s">
        <v>198</v>
      </c>
      <c r="QYS47" s="2" t="s">
        <v>195</v>
      </c>
      <c r="QYT47" s="3" t="s">
        <v>196</v>
      </c>
      <c r="QYU47" s="3" t="s">
        <v>180</v>
      </c>
      <c r="QYV47" s="3" t="s">
        <v>26</v>
      </c>
      <c r="QYW47" s="3" t="s">
        <v>197</v>
      </c>
      <c r="QYZ47" s="3" t="s">
        <v>198</v>
      </c>
      <c r="QZA47" s="2" t="s">
        <v>195</v>
      </c>
      <c r="QZB47" s="3" t="s">
        <v>196</v>
      </c>
      <c r="QZC47" s="3" t="s">
        <v>180</v>
      </c>
      <c r="QZD47" s="3" t="s">
        <v>26</v>
      </c>
      <c r="QZE47" s="3" t="s">
        <v>197</v>
      </c>
      <c r="QZH47" s="3" t="s">
        <v>198</v>
      </c>
      <c r="QZI47" s="2" t="s">
        <v>195</v>
      </c>
      <c r="QZJ47" s="3" t="s">
        <v>196</v>
      </c>
      <c r="QZK47" s="3" t="s">
        <v>180</v>
      </c>
      <c r="QZL47" s="3" t="s">
        <v>26</v>
      </c>
      <c r="QZM47" s="3" t="s">
        <v>197</v>
      </c>
      <c r="QZP47" s="3" t="s">
        <v>198</v>
      </c>
      <c r="QZQ47" s="2" t="s">
        <v>195</v>
      </c>
      <c r="QZR47" s="3" t="s">
        <v>196</v>
      </c>
      <c r="QZS47" s="3" t="s">
        <v>180</v>
      </c>
      <c r="QZT47" s="3" t="s">
        <v>26</v>
      </c>
      <c r="QZU47" s="3" t="s">
        <v>197</v>
      </c>
      <c r="QZX47" s="3" t="s">
        <v>198</v>
      </c>
      <c r="QZY47" s="2" t="s">
        <v>195</v>
      </c>
      <c r="QZZ47" s="3" t="s">
        <v>196</v>
      </c>
      <c r="RAA47" s="3" t="s">
        <v>180</v>
      </c>
      <c r="RAB47" s="3" t="s">
        <v>26</v>
      </c>
      <c r="RAC47" s="3" t="s">
        <v>197</v>
      </c>
      <c r="RAF47" s="3" t="s">
        <v>198</v>
      </c>
      <c r="RAG47" s="2" t="s">
        <v>195</v>
      </c>
      <c r="RAH47" s="3" t="s">
        <v>196</v>
      </c>
      <c r="RAI47" s="3" t="s">
        <v>180</v>
      </c>
      <c r="RAJ47" s="3" t="s">
        <v>26</v>
      </c>
      <c r="RAK47" s="3" t="s">
        <v>197</v>
      </c>
      <c r="RAN47" s="3" t="s">
        <v>198</v>
      </c>
      <c r="RAO47" s="2" t="s">
        <v>195</v>
      </c>
      <c r="RAP47" s="3" t="s">
        <v>196</v>
      </c>
      <c r="RAQ47" s="3" t="s">
        <v>180</v>
      </c>
      <c r="RAR47" s="3" t="s">
        <v>26</v>
      </c>
      <c r="RAS47" s="3" t="s">
        <v>197</v>
      </c>
      <c r="RAV47" s="3" t="s">
        <v>198</v>
      </c>
      <c r="RAW47" s="2" t="s">
        <v>195</v>
      </c>
      <c r="RAX47" s="3" t="s">
        <v>196</v>
      </c>
      <c r="RAY47" s="3" t="s">
        <v>180</v>
      </c>
      <c r="RAZ47" s="3" t="s">
        <v>26</v>
      </c>
      <c r="RBA47" s="3" t="s">
        <v>197</v>
      </c>
      <c r="RBD47" s="3" t="s">
        <v>198</v>
      </c>
      <c r="RBE47" s="2" t="s">
        <v>195</v>
      </c>
      <c r="RBF47" s="3" t="s">
        <v>196</v>
      </c>
      <c r="RBG47" s="3" t="s">
        <v>180</v>
      </c>
      <c r="RBH47" s="3" t="s">
        <v>26</v>
      </c>
      <c r="RBI47" s="3" t="s">
        <v>197</v>
      </c>
      <c r="RBL47" s="3" t="s">
        <v>198</v>
      </c>
      <c r="RBM47" s="2" t="s">
        <v>195</v>
      </c>
      <c r="RBN47" s="3" t="s">
        <v>196</v>
      </c>
      <c r="RBO47" s="3" t="s">
        <v>180</v>
      </c>
      <c r="RBP47" s="3" t="s">
        <v>26</v>
      </c>
      <c r="RBQ47" s="3" t="s">
        <v>197</v>
      </c>
      <c r="RBT47" s="3" t="s">
        <v>198</v>
      </c>
      <c r="RBU47" s="2" t="s">
        <v>195</v>
      </c>
      <c r="RBV47" s="3" t="s">
        <v>196</v>
      </c>
      <c r="RBW47" s="3" t="s">
        <v>180</v>
      </c>
      <c r="RBX47" s="3" t="s">
        <v>26</v>
      </c>
      <c r="RBY47" s="3" t="s">
        <v>197</v>
      </c>
      <c r="RCB47" s="3" t="s">
        <v>198</v>
      </c>
      <c r="RCC47" s="2" t="s">
        <v>195</v>
      </c>
      <c r="RCD47" s="3" t="s">
        <v>196</v>
      </c>
      <c r="RCE47" s="3" t="s">
        <v>180</v>
      </c>
      <c r="RCF47" s="3" t="s">
        <v>26</v>
      </c>
      <c r="RCG47" s="3" t="s">
        <v>197</v>
      </c>
      <c r="RCJ47" s="3" t="s">
        <v>198</v>
      </c>
      <c r="RCK47" s="2" t="s">
        <v>195</v>
      </c>
      <c r="RCL47" s="3" t="s">
        <v>196</v>
      </c>
      <c r="RCM47" s="3" t="s">
        <v>180</v>
      </c>
      <c r="RCN47" s="3" t="s">
        <v>26</v>
      </c>
      <c r="RCO47" s="3" t="s">
        <v>197</v>
      </c>
      <c r="RCR47" s="3" t="s">
        <v>198</v>
      </c>
      <c r="RCS47" s="2" t="s">
        <v>195</v>
      </c>
      <c r="RCT47" s="3" t="s">
        <v>196</v>
      </c>
      <c r="RCU47" s="3" t="s">
        <v>180</v>
      </c>
      <c r="RCV47" s="3" t="s">
        <v>26</v>
      </c>
      <c r="RCW47" s="3" t="s">
        <v>197</v>
      </c>
      <c r="RCZ47" s="3" t="s">
        <v>198</v>
      </c>
      <c r="RDA47" s="2" t="s">
        <v>195</v>
      </c>
      <c r="RDB47" s="3" t="s">
        <v>196</v>
      </c>
      <c r="RDC47" s="3" t="s">
        <v>180</v>
      </c>
      <c r="RDD47" s="3" t="s">
        <v>26</v>
      </c>
      <c r="RDE47" s="3" t="s">
        <v>197</v>
      </c>
      <c r="RDH47" s="3" t="s">
        <v>198</v>
      </c>
      <c r="RDI47" s="2" t="s">
        <v>195</v>
      </c>
      <c r="RDJ47" s="3" t="s">
        <v>196</v>
      </c>
      <c r="RDK47" s="3" t="s">
        <v>180</v>
      </c>
      <c r="RDL47" s="3" t="s">
        <v>26</v>
      </c>
      <c r="RDM47" s="3" t="s">
        <v>197</v>
      </c>
      <c r="RDP47" s="3" t="s">
        <v>198</v>
      </c>
      <c r="RDQ47" s="2" t="s">
        <v>195</v>
      </c>
      <c r="RDR47" s="3" t="s">
        <v>196</v>
      </c>
      <c r="RDS47" s="3" t="s">
        <v>180</v>
      </c>
      <c r="RDT47" s="3" t="s">
        <v>26</v>
      </c>
      <c r="RDU47" s="3" t="s">
        <v>197</v>
      </c>
      <c r="RDX47" s="3" t="s">
        <v>198</v>
      </c>
      <c r="RDY47" s="2" t="s">
        <v>195</v>
      </c>
      <c r="RDZ47" s="3" t="s">
        <v>196</v>
      </c>
      <c r="REA47" s="3" t="s">
        <v>180</v>
      </c>
      <c r="REB47" s="3" t="s">
        <v>26</v>
      </c>
      <c r="REC47" s="3" t="s">
        <v>197</v>
      </c>
      <c r="REF47" s="3" t="s">
        <v>198</v>
      </c>
      <c r="REG47" s="2" t="s">
        <v>195</v>
      </c>
      <c r="REH47" s="3" t="s">
        <v>196</v>
      </c>
      <c r="REI47" s="3" t="s">
        <v>180</v>
      </c>
      <c r="REJ47" s="3" t="s">
        <v>26</v>
      </c>
      <c r="REK47" s="3" t="s">
        <v>197</v>
      </c>
      <c r="REN47" s="3" t="s">
        <v>198</v>
      </c>
      <c r="REO47" s="2" t="s">
        <v>195</v>
      </c>
      <c r="REP47" s="3" t="s">
        <v>196</v>
      </c>
      <c r="REQ47" s="3" t="s">
        <v>180</v>
      </c>
      <c r="RER47" s="3" t="s">
        <v>26</v>
      </c>
      <c r="RES47" s="3" t="s">
        <v>197</v>
      </c>
      <c r="REV47" s="3" t="s">
        <v>198</v>
      </c>
      <c r="REW47" s="2" t="s">
        <v>195</v>
      </c>
      <c r="REX47" s="3" t="s">
        <v>196</v>
      </c>
      <c r="REY47" s="3" t="s">
        <v>180</v>
      </c>
      <c r="REZ47" s="3" t="s">
        <v>26</v>
      </c>
      <c r="RFA47" s="3" t="s">
        <v>197</v>
      </c>
      <c r="RFD47" s="3" t="s">
        <v>198</v>
      </c>
      <c r="RFE47" s="2" t="s">
        <v>195</v>
      </c>
      <c r="RFF47" s="3" t="s">
        <v>196</v>
      </c>
      <c r="RFG47" s="3" t="s">
        <v>180</v>
      </c>
      <c r="RFH47" s="3" t="s">
        <v>26</v>
      </c>
      <c r="RFI47" s="3" t="s">
        <v>197</v>
      </c>
      <c r="RFL47" s="3" t="s">
        <v>198</v>
      </c>
      <c r="RFM47" s="2" t="s">
        <v>195</v>
      </c>
      <c r="RFN47" s="3" t="s">
        <v>196</v>
      </c>
      <c r="RFO47" s="3" t="s">
        <v>180</v>
      </c>
      <c r="RFP47" s="3" t="s">
        <v>26</v>
      </c>
      <c r="RFQ47" s="3" t="s">
        <v>197</v>
      </c>
      <c r="RFT47" s="3" t="s">
        <v>198</v>
      </c>
      <c r="RFU47" s="2" t="s">
        <v>195</v>
      </c>
      <c r="RFV47" s="3" t="s">
        <v>196</v>
      </c>
      <c r="RFW47" s="3" t="s">
        <v>180</v>
      </c>
      <c r="RFX47" s="3" t="s">
        <v>26</v>
      </c>
      <c r="RFY47" s="3" t="s">
        <v>197</v>
      </c>
      <c r="RGB47" s="3" t="s">
        <v>198</v>
      </c>
      <c r="RGC47" s="2" t="s">
        <v>195</v>
      </c>
      <c r="RGD47" s="3" t="s">
        <v>196</v>
      </c>
      <c r="RGE47" s="3" t="s">
        <v>180</v>
      </c>
      <c r="RGF47" s="3" t="s">
        <v>26</v>
      </c>
      <c r="RGG47" s="3" t="s">
        <v>197</v>
      </c>
      <c r="RGJ47" s="3" t="s">
        <v>198</v>
      </c>
      <c r="RGK47" s="2" t="s">
        <v>195</v>
      </c>
      <c r="RGL47" s="3" t="s">
        <v>196</v>
      </c>
      <c r="RGM47" s="3" t="s">
        <v>180</v>
      </c>
      <c r="RGN47" s="3" t="s">
        <v>26</v>
      </c>
      <c r="RGO47" s="3" t="s">
        <v>197</v>
      </c>
      <c r="RGR47" s="3" t="s">
        <v>198</v>
      </c>
      <c r="RGS47" s="2" t="s">
        <v>195</v>
      </c>
      <c r="RGT47" s="3" t="s">
        <v>196</v>
      </c>
      <c r="RGU47" s="3" t="s">
        <v>180</v>
      </c>
      <c r="RGV47" s="3" t="s">
        <v>26</v>
      </c>
      <c r="RGW47" s="3" t="s">
        <v>197</v>
      </c>
      <c r="RGZ47" s="3" t="s">
        <v>198</v>
      </c>
      <c r="RHA47" s="2" t="s">
        <v>195</v>
      </c>
      <c r="RHB47" s="3" t="s">
        <v>196</v>
      </c>
      <c r="RHC47" s="3" t="s">
        <v>180</v>
      </c>
      <c r="RHD47" s="3" t="s">
        <v>26</v>
      </c>
      <c r="RHE47" s="3" t="s">
        <v>197</v>
      </c>
      <c r="RHH47" s="3" t="s">
        <v>198</v>
      </c>
      <c r="RHI47" s="2" t="s">
        <v>195</v>
      </c>
      <c r="RHJ47" s="3" t="s">
        <v>196</v>
      </c>
      <c r="RHK47" s="3" t="s">
        <v>180</v>
      </c>
      <c r="RHL47" s="3" t="s">
        <v>26</v>
      </c>
      <c r="RHM47" s="3" t="s">
        <v>197</v>
      </c>
      <c r="RHP47" s="3" t="s">
        <v>198</v>
      </c>
      <c r="RHQ47" s="2" t="s">
        <v>195</v>
      </c>
      <c r="RHR47" s="3" t="s">
        <v>196</v>
      </c>
      <c r="RHS47" s="3" t="s">
        <v>180</v>
      </c>
      <c r="RHT47" s="3" t="s">
        <v>26</v>
      </c>
      <c r="RHU47" s="3" t="s">
        <v>197</v>
      </c>
      <c r="RHX47" s="3" t="s">
        <v>198</v>
      </c>
      <c r="RHY47" s="2" t="s">
        <v>195</v>
      </c>
      <c r="RHZ47" s="3" t="s">
        <v>196</v>
      </c>
      <c r="RIA47" s="3" t="s">
        <v>180</v>
      </c>
      <c r="RIB47" s="3" t="s">
        <v>26</v>
      </c>
      <c r="RIC47" s="3" t="s">
        <v>197</v>
      </c>
      <c r="RIF47" s="3" t="s">
        <v>198</v>
      </c>
      <c r="RIG47" s="2" t="s">
        <v>195</v>
      </c>
      <c r="RIH47" s="3" t="s">
        <v>196</v>
      </c>
      <c r="RII47" s="3" t="s">
        <v>180</v>
      </c>
      <c r="RIJ47" s="3" t="s">
        <v>26</v>
      </c>
      <c r="RIK47" s="3" t="s">
        <v>197</v>
      </c>
      <c r="RIN47" s="3" t="s">
        <v>198</v>
      </c>
      <c r="RIO47" s="2" t="s">
        <v>195</v>
      </c>
      <c r="RIP47" s="3" t="s">
        <v>196</v>
      </c>
      <c r="RIQ47" s="3" t="s">
        <v>180</v>
      </c>
      <c r="RIR47" s="3" t="s">
        <v>26</v>
      </c>
      <c r="RIS47" s="3" t="s">
        <v>197</v>
      </c>
      <c r="RIV47" s="3" t="s">
        <v>198</v>
      </c>
      <c r="RIW47" s="2" t="s">
        <v>195</v>
      </c>
      <c r="RIX47" s="3" t="s">
        <v>196</v>
      </c>
      <c r="RIY47" s="3" t="s">
        <v>180</v>
      </c>
      <c r="RIZ47" s="3" t="s">
        <v>26</v>
      </c>
      <c r="RJA47" s="3" t="s">
        <v>197</v>
      </c>
      <c r="RJD47" s="3" t="s">
        <v>198</v>
      </c>
      <c r="RJE47" s="2" t="s">
        <v>195</v>
      </c>
      <c r="RJF47" s="3" t="s">
        <v>196</v>
      </c>
      <c r="RJG47" s="3" t="s">
        <v>180</v>
      </c>
      <c r="RJH47" s="3" t="s">
        <v>26</v>
      </c>
      <c r="RJI47" s="3" t="s">
        <v>197</v>
      </c>
      <c r="RJL47" s="3" t="s">
        <v>198</v>
      </c>
      <c r="RJM47" s="2" t="s">
        <v>195</v>
      </c>
      <c r="RJN47" s="3" t="s">
        <v>196</v>
      </c>
      <c r="RJO47" s="3" t="s">
        <v>180</v>
      </c>
      <c r="RJP47" s="3" t="s">
        <v>26</v>
      </c>
      <c r="RJQ47" s="3" t="s">
        <v>197</v>
      </c>
      <c r="RJT47" s="3" t="s">
        <v>198</v>
      </c>
      <c r="RJU47" s="2" t="s">
        <v>195</v>
      </c>
      <c r="RJV47" s="3" t="s">
        <v>196</v>
      </c>
      <c r="RJW47" s="3" t="s">
        <v>180</v>
      </c>
      <c r="RJX47" s="3" t="s">
        <v>26</v>
      </c>
      <c r="RJY47" s="3" t="s">
        <v>197</v>
      </c>
      <c r="RKB47" s="3" t="s">
        <v>198</v>
      </c>
      <c r="RKC47" s="2" t="s">
        <v>195</v>
      </c>
      <c r="RKD47" s="3" t="s">
        <v>196</v>
      </c>
      <c r="RKE47" s="3" t="s">
        <v>180</v>
      </c>
      <c r="RKF47" s="3" t="s">
        <v>26</v>
      </c>
      <c r="RKG47" s="3" t="s">
        <v>197</v>
      </c>
      <c r="RKJ47" s="3" t="s">
        <v>198</v>
      </c>
      <c r="RKK47" s="2" t="s">
        <v>195</v>
      </c>
      <c r="RKL47" s="3" t="s">
        <v>196</v>
      </c>
      <c r="RKM47" s="3" t="s">
        <v>180</v>
      </c>
      <c r="RKN47" s="3" t="s">
        <v>26</v>
      </c>
      <c r="RKO47" s="3" t="s">
        <v>197</v>
      </c>
      <c r="RKR47" s="3" t="s">
        <v>198</v>
      </c>
      <c r="RKS47" s="2" t="s">
        <v>195</v>
      </c>
      <c r="RKT47" s="3" t="s">
        <v>196</v>
      </c>
      <c r="RKU47" s="3" t="s">
        <v>180</v>
      </c>
      <c r="RKV47" s="3" t="s">
        <v>26</v>
      </c>
      <c r="RKW47" s="3" t="s">
        <v>197</v>
      </c>
      <c r="RKZ47" s="3" t="s">
        <v>198</v>
      </c>
      <c r="RLA47" s="2" t="s">
        <v>195</v>
      </c>
      <c r="RLB47" s="3" t="s">
        <v>196</v>
      </c>
      <c r="RLC47" s="3" t="s">
        <v>180</v>
      </c>
      <c r="RLD47" s="3" t="s">
        <v>26</v>
      </c>
      <c r="RLE47" s="3" t="s">
        <v>197</v>
      </c>
      <c r="RLH47" s="3" t="s">
        <v>198</v>
      </c>
      <c r="RLI47" s="2" t="s">
        <v>195</v>
      </c>
      <c r="RLJ47" s="3" t="s">
        <v>196</v>
      </c>
      <c r="RLK47" s="3" t="s">
        <v>180</v>
      </c>
      <c r="RLL47" s="3" t="s">
        <v>26</v>
      </c>
      <c r="RLM47" s="3" t="s">
        <v>197</v>
      </c>
      <c r="RLP47" s="3" t="s">
        <v>198</v>
      </c>
      <c r="RLQ47" s="2" t="s">
        <v>195</v>
      </c>
      <c r="RLR47" s="3" t="s">
        <v>196</v>
      </c>
      <c r="RLS47" s="3" t="s">
        <v>180</v>
      </c>
      <c r="RLT47" s="3" t="s">
        <v>26</v>
      </c>
      <c r="RLU47" s="3" t="s">
        <v>197</v>
      </c>
      <c r="RLX47" s="3" t="s">
        <v>198</v>
      </c>
      <c r="RLY47" s="2" t="s">
        <v>195</v>
      </c>
      <c r="RLZ47" s="3" t="s">
        <v>196</v>
      </c>
      <c r="RMA47" s="3" t="s">
        <v>180</v>
      </c>
      <c r="RMB47" s="3" t="s">
        <v>26</v>
      </c>
      <c r="RMC47" s="3" t="s">
        <v>197</v>
      </c>
      <c r="RMF47" s="3" t="s">
        <v>198</v>
      </c>
      <c r="RMG47" s="2" t="s">
        <v>195</v>
      </c>
      <c r="RMH47" s="3" t="s">
        <v>196</v>
      </c>
      <c r="RMI47" s="3" t="s">
        <v>180</v>
      </c>
      <c r="RMJ47" s="3" t="s">
        <v>26</v>
      </c>
      <c r="RMK47" s="3" t="s">
        <v>197</v>
      </c>
      <c r="RMN47" s="3" t="s">
        <v>198</v>
      </c>
      <c r="RMO47" s="2" t="s">
        <v>195</v>
      </c>
      <c r="RMP47" s="3" t="s">
        <v>196</v>
      </c>
      <c r="RMQ47" s="3" t="s">
        <v>180</v>
      </c>
      <c r="RMR47" s="3" t="s">
        <v>26</v>
      </c>
      <c r="RMS47" s="3" t="s">
        <v>197</v>
      </c>
      <c r="RMV47" s="3" t="s">
        <v>198</v>
      </c>
      <c r="RMW47" s="2" t="s">
        <v>195</v>
      </c>
      <c r="RMX47" s="3" t="s">
        <v>196</v>
      </c>
      <c r="RMY47" s="3" t="s">
        <v>180</v>
      </c>
      <c r="RMZ47" s="3" t="s">
        <v>26</v>
      </c>
      <c r="RNA47" s="3" t="s">
        <v>197</v>
      </c>
      <c r="RND47" s="3" t="s">
        <v>198</v>
      </c>
      <c r="RNE47" s="2" t="s">
        <v>195</v>
      </c>
      <c r="RNF47" s="3" t="s">
        <v>196</v>
      </c>
      <c r="RNG47" s="3" t="s">
        <v>180</v>
      </c>
      <c r="RNH47" s="3" t="s">
        <v>26</v>
      </c>
      <c r="RNI47" s="3" t="s">
        <v>197</v>
      </c>
      <c r="RNL47" s="3" t="s">
        <v>198</v>
      </c>
      <c r="RNM47" s="2" t="s">
        <v>195</v>
      </c>
      <c r="RNN47" s="3" t="s">
        <v>196</v>
      </c>
      <c r="RNO47" s="3" t="s">
        <v>180</v>
      </c>
      <c r="RNP47" s="3" t="s">
        <v>26</v>
      </c>
      <c r="RNQ47" s="3" t="s">
        <v>197</v>
      </c>
      <c r="RNT47" s="3" t="s">
        <v>198</v>
      </c>
      <c r="RNU47" s="2" t="s">
        <v>195</v>
      </c>
      <c r="RNV47" s="3" t="s">
        <v>196</v>
      </c>
      <c r="RNW47" s="3" t="s">
        <v>180</v>
      </c>
      <c r="RNX47" s="3" t="s">
        <v>26</v>
      </c>
      <c r="RNY47" s="3" t="s">
        <v>197</v>
      </c>
      <c r="ROB47" s="3" t="s">
        <v>198</v>
      </c>
      <c r="ROC47" s="2" t="s">
        <v>195</v>
      </c>
      <c r="ROD47" s="3" t="s">
        <v>196</v>
      </c>
      <c r="ROE47" s="3" t="s">
        <v>180</v>
      </c>
      <c r="ROF47" s="3" t="s">
        <v>26</v>
      </c>
      <c r="ROG47" s="3" t="s">
        <v>197</v>
      </c>
      <c r="ROJ47" s="3" t="s">
        <v>198</v>
      </c>
      <c r="ROK47" s="2" t="s">
        <v>195</v>
      </c>
      <c r="ROL47" s="3" t="s">
        <v>196</v>
      </c>
      <c r="ROM47" s="3" t="s">
        <v>180</v>
      </c>
      <c r="RON47" s="3" t="s">
        <v>26</v>
      </c>
      <c r="ROO47" s="3" t="s">
        <v>197</v>
      </c>
      <c r="ROR47" s="3" t="s">
        <v>198</v>
      </c>
      <c r="ROS47" s="2" t="s">
        <v>195</v>
      </c>
      <c r="ROT47" s="3" t="s">
        <v>196</v>
      </c>
      <c r="ROU47" s="3" t="s">
        <v>180</v>
      </c>
      <c r="ROV47" s="3" t="s">
        <v>26</v>
      </c>
      <c r="ROW47" s="3" t="s">
        <v>197</v>
      </c>
      <c r="ROZ47" s="3" t="s">
        <v>198</v>
      </c>
      <c r="RPA47" s="2" t="s">
        <v>195</v>
      </c>
      <c r="RPB47" s="3" t="s">
        <v>196</v>
      </c>
      <c r="RPC47" s="3" t="s">
        <v>180</v>
      </c>
      <c r="RPD47" s="3" t="s">
        <v>26</v>
      </c>
      <c r="RPE47" s="3" t="s">
        <v>197</v>
      </c>
      <c r="RPH47" s="3" t="s">
        <v>198</v>
      </c>
      <c r="RPI47" s="2" t="s">
        <v>195</v>
      </c>
      <c r="RPJ47" s="3" t="s">
        <v>196</v>
      </c>
      <c r="RPK47" s="3" t="s">
        <v>180</v>
      </c>
      <c r="RPL47" s="3" t="s">
        <v>26</v>
      </c>
      <c r="RPM47" s="3" t="s">
        <v>197</v>
      </c>
      <c r="RPP47" s="3" t="s">
        <v>198</v>
      </c>
      <c r="RPQ47" s="2" t="s">
        <v>195</v>
      </c>
      <c r="RPR47" s="3" t="s">
        <v>196</v>
      </c>
      <c r="RPS47" s="3" t="s">
        <v>180</v>
      </c>
      <c r="RPT47" s="3" t="s">
        <v>26</v>
      </c>
      <c r="RPU47" s="3" t="s">
        <v>197</v>
      </c>
      <c r="RPX47" s="3" t="s">
        <v>198</v>
      </c>
      <c r="RPY47" s="2" t="s">
        <v>195</v>
      </c>
      <c r="RPZ47" s="3" t="s">
        <v>196</v>
      </c>
      <c r="RQA47" s="3" t="s">
        <v>180</v>
      </c>
      <c r="RQB47" s="3" t="s">
        <v>26</v>
      </c>
      <c r="RQC47" s="3" t="s">
        <v>197</v>
      </c>
      <c r="RQF47" s="3" t="s">
        <v>198</v>
      </c>
      <c r="RQG47" s="2" t="s">
        <v>195</v>
      </c>
      <c r="RQH47" s="3" t="s">
        <v>196</v>
      </c>
      <c r="RQI47" s="3" t="s">
        <v>180</v>
      </c>
      <c r="RQJ47" s="3" t="s">
        <v>26</v>
      </c>
      <c r="RQK47" s="3" t="s">
        <v>197</v>
      </c>
      <c r="RQN47" s="3" t="s">
        <v>198</v>
      </c>
      <c r="RQO47" s="2" t="s">
        <v>195</v>
      </c>
      <c r="RQP47" s="3" t="s">
        <v>196</v>
      </c>
      <c r="RQQ47" s="3" t="s">
        <v>180</v>
      </c>
      <c r="RQR47" s="3" t="s">
        <v>26</v>
      </c>
      <c r="RQS47" s="3" t="s">
        <v>197</v>
      </c>
      <c r="RQV47" s="3" t="s">
        <v>198</v>
      </c>
      <c r="RQW47" s="2" t="s">
        <v>195</v>
      </c>
      <c r="RQX47" s="3" t="s">
        <v>196</v>
      </c>
      <c r="RQY47" s="3" t="s">
        <v>180</v>
      </c>
      <c r="RQZ47" s="3" t="s">
        <v>26</v>
      </c>
      <c r="RRA47" s="3" t="s">
        <v>197</v>
      </c>
      <c r="RRD47" s="3" t="s">
        <v>198</v>
      </c>
      <c r="RRE47" s="2" t="s">
        <v>195</v>
      </c>
      <c r="RRF47" s="3" t="s">
        <v>196</v>
      </c>
      <c r="RRG47" s="3" t="s">
        <v>180</v>
      </c>
      <c r="RRH47" s="3" t="s">
        <v>26</v>
      </c>
      <c r="RRI47" s="3" t="s">
        <v>197</v>
      </c>
      <c r="RRL47" s="3" t="s">
        <v>198</v>
      </c>
      <c r="RRM47" s="2" t="s">
        <v>195</v>
      </c>
      <c r="RRN47" s="3" t="s">
        <v>196</v>
      </c>
      <c r="RRO47" s="3" t="s">
        <v>180</v>
      </c>
      <c r="RRP47" s="3" t="s">
        <v>26</v>
      </c>
      <c r="RRQ47" s="3" t="s">
        <v>197</v>
      </c>
      <c r="RRT47" s="3" t="s">
        <v>198</v>
      </c>
      <c r="RRU47" s="2" t="s">
        <v>195</v>
      </c>
      <c r="RRV47" s="3" t="s">
        <v>196</v>
      </c>
      <c r="RRW47" s="3" t="s">
        <v>180</v>
      </c>
      <c r="RRX47" s="3" t="s">
        <v>26</v>
      </c>
      <c r="RRY47" s="3" t="s">
        <v>197</v>
      </c>
      <c r="RSB47" s="3" t="s">
        <v>198</v>
      </c>
      <c r="RSC47" s="2" t="s">
        <v>195</v>
      </c>
      <c r="RSD47" s="3" t="s">
        <v>196</v>
      </c>
      <c r="RSE47" s="3" t="s">
        <v>180</v>
      </c>
      <c r="RSF47" s="3" t="s">
        <v>26</v>
      </c>
      <c r="RSG47" s="3" t="s">
        <v>197</v>
      </c>
      <c r="RSJ47" s="3" t="s">
        <v>198</v>
      </c>
      <c r="RSK47" s="2" t="s">
        <v>195</v>
      </c>
      <c r="RSL47" s="3" t="s">
        <v>196</v>
      </c>
      <c r="RSM47" s="3" t="s">
        <v>180</v>
      </c>
      <c r="RSN47" s="3" t="s">
        <v>26</v>
      </c>
      <c r="RSO47" s="3" t="s">
        <v>197</v>
      </c>
      <c r="RSR47" s="3" t="s">
        <v>198</v>
      </c>
      <c r="RSS47" s="2" t="s">
        <v>195</v>
      </c>
      <c r="RST47" s="3" t="s">
        <v>196</v>
      </c>
      <c r="RSU47" s="3" t="s">
        <v>180</v>
      </c>
      <c r="RSV47" s="3" t="s">
        <v>26</v>
      </c>
      <c r="RSW47" s="3" t="s">
        <v>197</v>
      </c>
      <c r="RSZ47" s="3" t="s">
        <v>198</v>
      </c>
      <c r="RTA47" s="2" t="s">
        <v>195</v>
      </c>
      <c r="RTB47" s="3" t="s">
        <v>196</v>
      </c>
      <c r="RTC47" s="3" t="s">
        <v>180</v>
      </c>
      <c r="RTD47" s="3" t="s">
        <v>26</v>
      </c>
      <c r="RTE47" s="3" t="s">
        <v>197</v>
      </c>
      <c r="RTH47" s="3" t="s">
        <v>198</v>
      </c>
      <c r="RTI47" s="2" t="s">
        <v>195</v>
      </c>
      <c r="RTJ47" s="3" t="s">
        <v>196</v>
      </c>
      <c r="RTK47" s="3" t="s">
        <v>180</v>
      </c>
      <c r="RTL47" s="3" t="s">
        <v>26</v>
      </c>
      <c r="RTM47" s="3" t="s">
        <v>197</v>
      </c>
      <c r="RTP47" s="3" t="s">
        <v>198</v>
      </c>
      <c r="RTQ47" s="2" t="s">
        <v>195</v>
      </c>
      <c r="RTR47" s="3" t="s">
        <v>196</v>
      </c>
      <c r="RTS47" s="3" t="s">
        <v>180</v>
      </c>
      <c r="RTT47" s="3" t="s">
        <v>26</v>
      </c>
      <c r="RTU47" s="3" t="s">
        <v>197</v>
      </c>
      <c r="RTX47" s="3" t="s">
        <v>198</v>
      </c>
      <c r="RTY47" s="2" t="s">
        <v>195</v>
      </c>
      <c r="RTZ47" s="3" t="s">
        <v>196</v>
      </c>
      <c r="RUA47" s="3" t="s">
        <v>180</v>
      </c>
      <c r="RUB47" s="3" t="s">
        <v>26</v>
      </c>
      <c r="RUC47" s="3" t="s">
        <v>197</v>
      </c>
      <c r="RUF47" s="3" t="s">
        <v>198</v>
      </c>
      <c r="RUG47" s="2" t="s">
        <v>195</v>
      </c>
      <c r="RUH47" s="3" t="s">
        <v>196</v>
      </c>
      <c r="RUI47" s="3" t="s">
        <v>180</v>
      </c>
      <c r="RUJ47" s="3" t="s">
        <v>26</v>
      </c>
      <c r="RUK47" s="3" t="s">
        <v>197</v>
      </c>
      <c r="RUN47" s="3" t="s">
        <v>198</v>
      </c>
      <c r="RUO47" s="2" t="s">
        <v>195</v>
      </c>
      <c r="RUP47" s="3" t="s">
        <v>196</v>
      </c>
      <c r="RUQ47" s="3" t="s">
        <v>180</v>
      </c>
      <c r="RUR47" s="3" t="s">
        <v>26</v>
      </c>
      <c r="RUS47" s="3" t="s">
        <v>197</v>
      </c>
      <c r="RUV47" s="3" t="s">
        <v>198</v>
      </c>
      <c r="RUW47" s="2" t="s">
        <v>195</v>
      </c>
      <c r="RUX47" s="3" t="s">
        <v>196</v>
      </c>
      <c r="RUY47" s="3" t="s">
        <v>180</v>
      </c>
      <c r="RUZ47" s="3" t="s">
        <v>26</v>
      </c>
      <c r="RVA47" s="3" t="s">
        <v>197</v>
      </c>
      <c r="RVD47" s="3" t="s">
        <v>198</v>
      </c>
      <c r="RVE47" s="2" t="s">
        <v>195</v>
      </c>
      <c r="RVF47" s="3" t="s">
        <v>196</v>
      </c>
      <c r="RVG47" s="3" t="s">
        <v>180</v>
      </c>
      <c r="RVH47" s="3" t="s">
        <v>26</v>
      </c>
      <c r="RVI47" s="3" t="s">
        <v>197</v>
      </c>
      <c r="RVL47" s="3" t="s">
        <v>198</v>
      </c>
      <c r="RVM47" s="2" t="s">
        <v>195</v>
      </c>
      <c r="RVN47" s="3" t="s">
        <v>196</v>
      </c>
      <c r="RVO47" s="3" t="s">
        <v>180</v>
      </c>
      <c r="RVP47" s="3" t="s">
        <v>26</v>
      </c>
      <c r="RVQ47" s="3" t="s">
        <v>197</v>
      </c>
      <c r="RVT47" s="3" t="s">
        <v>198</v>
      </c>
      <c r="RVU47" s="2" t="s">
        <v>195</v>
      </c>
      <c r="RVV47" s="3" t="s">
        <v>196</v>
      </c>
      <c r="RVW47" s="3" t="s">
        <v>180</v>
      </c>
      <c r="RVX47" s="3" t="s">
        <v>26</v>
      </c>
      <c r="RVY47" s="3" t="s">
        <v>197</v>
      </c>
      <c r="RWB47" s="3" t="s">
        <v>198</v>
      </c>
      <c r="RWC47" s="2" t="s">
        <v>195</v>
      </c>
      <c r="RWD47" s="3" t="s">
        <v>196</v>
      </c>
      <c r="RWE47" s="3" t="s">
        <v>180</v>
      </c>
      <c r="RWF47" s="3" t="s">
        <v>26</v>
      </c>
      <c r="RWG47" s="3" t="s">
        <v>197</v>
      </c>
      <c r="RWJ47" s="3" t="s">
        <v>198</v>
      </c>
      <c r="RWK47" s="2" t="s">
        <v>195</v>
      </c>
      <c r="RWL47" s="3" t="s">
        <v>196</v>
      </c>
      <c r="RWM47" s="3" t="s">
        <v>180</v>
      </c>
      <c r="RWN47" s="3" t="s">
        <v>26</v>
      </c>
      <c r="RWO47" s="3" t="s">
        <v>197</v>
      </c>
      <c r="RWR47" s="3" t="s">
        <v>198</v>
      </c>
      <c r="RWS47" s="2" t="s">
        <v>195</v>
      </c>
      <c r="RWT47" s="3" t="s">
        <v>196</v>
      </c>
      <c r="RWU47" s="3" t="s">
        <v>180</v>
      </c>
      <c r="RWV47" s="3" t="s">
        <v>26</v>
      </c>
      <c r="RWW47" s="3" t="s">
        <v>197</v>
      </c>
      <c r="RWZ47" s="3" t="s">
        <v>198</v>
      </c>
      <c r="RXA47" s="2" t="s">
        <v>195</v>
      </c>
      <c r="RXB47" s="3" t="s">
        <v>196</v>
      </c>
      <c r="RXC47" s="3" t="s">
        <v>180</v>
      </c>
      <c r="RXD47" s="3" t="s">
        <v>26</v>
      </c>
      <c r="RXE47" s="3" t="s">
        <v>197</v>
      </c>
      <c r="RXH47" s="3" t="s">
        <v>198</v>
      </c>
      <c r="RXI47" s="2" t="s">
        <v>195</v>
      </c>
      <c r="RXJ47" s="3" t="s">
        <v>196</v>
      </c>
      <c r="RXK47" s="3" t="s">
        <v>180</v>
      </c>
      <c r="RXL47" s="3" t="s">
        <v>26</v>
      </c>
      <c r="RXM47" s="3" t="s">
        <v>197</v>
      </c>
      <c r="RXP47" s="3" t="s">
        <v>198</v>
      </c>
      <c r="RXQ47" s="2" t="s">
        <v>195</v>
      </c>
      <c r="RXR47" s="3" t="s">
        <v>196</v>
      </c>
      <c r="RXS47" s="3" t="s">
        <v>180</v>
      </c>
      <c r="RXT47" s="3" t="s">
        <v>26</v>
      </c>
      <c r="RXU47" s="3" t="s">
        <v>197</v>
      </c>
      <c r="RXX47" s="3" t="s">
        <v>198</v>
      </c>
      <c r="RXY47" s="2" t="s">
        <v>195</v>
      </c>
      <c r="RXZ47" s="3" t="s">
        <v>196</v>
      </c>
      <c r="RYA47" s="3" t="s">
        <v>180</v>
      </c>
      <c r="RYB47" s="3" t="s">
        <v>26</v>
      </c>
      <c r="RYC47" s="3" t="s">
        <v>197</v>
      </c>
      <c r="RYF47" s="3" t="s">
        <v>198</v>
      </c>
      <c r="RYG47" s="2" t="s">
        <v>195</v>
      </c>
      <c r="RYH47" s="3" t="s">
        <v>196</v>
      </c>
      <c r="RYI47" s="3" t="s">
        <v>180</v>
      </c>
      <c r="RYJ47" s="3" t="s">
        <v>26</v>
      </c>
      <c r="RYK47" s="3" t="s">
        <v>197</v>
      </c>
      <c r="RYN47" s="3" t="s">
        <v>198</v>
      </c>
      <c r="RYO47" s="2" t="s">
        <v>195</v>
      </c>
      <c r="RYP47" s="3" t="s">
        <v>196</v>
      </c>
      <c r="RYQ47" s="3" t="s">
        <v>180</v>
      </c>
      <c r="RYR47" s="3" t="s">
        <v>26</v>
      </c>
      <c r="RYS47" s="3" t="s">
        <v>197</v>
      </c>
      <c r="RYV47" s="3" t="s">
        <v>198</v>
      </c>
      <c r="RYW47" s="2" t="s">
        <v>195</v>
      </c>
      <c r="RYX47" s="3" t="s">
        <v>196</v>
      </c>
      <c r="RYY47" s="3" t="s">
        <v>180</v>
      </c>
      <c r="RYZ47" s="3" t="s">
        <v>26</v>
      </c>
      <c r="RZA47" s="3" t="s">
        <v>197</v>
      </c>
      <c r="RZD47" s="3" t="s">
        <v>198</v>
      </c>
      <c r="RZE47" s="2" t="s">
        <v>195</v>
      </c>
      <c r="RZF47" s="3" t="s">
        <v>196</v>
      </c>
      <c r="RZG47" s="3" t="s">
        <v>180</v>
      </c>
      <c r="RZH47" s="3" t="s">
        <v>26</v>
      </c>
      <c r="RZI47" s="3" t="s">
        <v>197</v>
      </c>
      <c r="RZL47" s="3" t="s">
        <v>198</v>
      </c>
      <c r="RZM47" s="2" t="s">
        <v>195</v>
      </c>
      <c r="RZN47" s="3" t="s">
        <v>196</v>
      </c>
      <c r="RZO47" s="3" t="s">
        <v>180</v>
      </c>
      <c r="RZP47" s="3" t="s">
        <v>26</v>
      </c>
      <c r="RZQ47" s="3" t="s">
        <v>197</v>
      </c>
      <c r="RZT47" s="3" t="s">
        <v>198</v>
      </c>
      <c r="RZU47" s="2" t="s">
        <v>195</v>
      </c>
      <c r="RZV47" s="3" t="s">
        <v>196</v>
      </c>
      <c r="RZW47" s="3" t="s">
        <v>180</v>
      </c>
      <c r="RZX47" s="3" t="s">
        <v>26</v>
      </c>
      <c r="RZY47" s="3" t="s">
        <v>197</v>
      </c>
      <c r="SAB47" s="3" t="s">
        <v>198</v>
      </c>
      <c r="SAC47" s="2" t="s">
        <v>195</v>
      </c>
      <c r="SAD47" s="3" t="s">
        <v>196</v>
      </c>
      <c r="SAE47" s="3" t="s">
        <v>180</v>
      </c>
      <c r="SAF47" s="3" t="s">
        <v>26</v>
      </c>
      <c r="SAG47" s="3" t="s">
        <v>197</v>
      </c>
      <c r="SAJ47" s="3" t="s">
        <v>198</v>
      </c>
      <c r="SAK47" s="2" t="s">
        <v>195</v>
      </c>
      <c r="SAL47" s="3" t="s">
        <v>196</v>
      </c>
      <c r="SAM47" s="3" t="s">
        <v>180</v>
      </c>
      <c r="SAN47" s="3" t="s">
        <v>26</v>
      </c>
      <c r="SAO47" s="3" t="s">
        <v>197</v>
      </c>
      <c r="SAR47" s="3" t="s">
        <v>198</v>
      </c>
      <c r="SAS47" s="2" t="s">
        <v>195</v>
      </c>
      <c r="SAT47" s="3" t="s">
        <v>196</v>
      </c>
      <c r="SAU47" s="3" t="s">
        <v>180</v>
      </c>
      <c r="SAV47" s="3" t="s">
        <v>26</v>
      </c>
      <c r="SAW47" s="3" t="s">
        <v>197</v>
      </c>
      <c r="SAZ47" s="3" t="s">
        <v>198</v>
      </c>
      <c r="SBA47" s="2" t="s">
        <v>195</v>
      </c>
      <c r="SBB47" s="3" t="s">
        <v>196</v>
      </c>
      <c r="SBC47" s="3" t="s">
        <v>180</v>
      </c>
      <c r="SBD47" s="3" t="s">
        <v>26</v>
      </c>
      <c r="SBE47" s="3" t="s">
        <v>197</v>
      </c>
      <c r="SBH47" s="3" t="s">
        <v>198</v>
      </c>
      <c r="SBI47" s="2" t="s">
        <v>195</v>
      </c>
      <c r="SBJ47" s="3" t="s">
        <v>196</v>
      </c>
      <c r="SBK47" s="3" t="s">
        <v>180</v>
      </c>
      <c r="SBL47" s="3" t="s">
        <v>26</v>
      </c>
      <c r="SBM47" s="3" t="s">
        <v>197</v>
      </c>
      <c r="SBP47" s="3" t="s">
        <v>198</v>
      </c>
      <c r="SBQ47" s="2" t="s">
        <v>195</v>
      </c>
      <c r="SBR47" s="3" t="s">
        <v>196</v>
      </c>
      <c r="SBS47" s="3" t="s">
        <v>180</v>
      </c>
      <c r="SBT47" s="3" t="s">
        <v>26</v>
      </c>
      <c r="SBU47" s="3" t="s">
        <v>197</v>
      </c>
      <c r="SBX47" s="3" t="s">
        <v>198</v>
      </c>
      <c r="SBY47" s="2" t="s">
        <v>195</v>
      </c>
      <c r="SBZ47" s="3" t="s">
        <v>196</v>
      </c>
      <c r="SCA47" s="3" t="s">
        <v>180</v>
      </c>
      <c r="SCB47" s="3" t="s">
        <v>26</v>
      </c>
      <c r="SCC47" s="3" t="s">
        <v>197</v>
      </c>
      <c r="SCF47" s="3" t="s">
        <v>198</v>
      </c>
      <c r="SCG47" s="2" t="s">
        <v>195</v>
      </c>
      <c r="SCH47" s="3" t="s">
        <v>196</v>
      </c>
      <c r="SCI47" s="3" t="s">
        <v>180</v>
      </c>
      <c r="SCJ47" s="3" t="s">
        <v>26</v>
      </c>
      <c r="SCK47" s="3" t="s">
        <v>197</v>
      </c>
      <c r="SCN47" s="3" t="s">
        <v>198</v>
      </c>
      <c r="SCO47" s="2" t="s">
        <v>195</v>
      </c>
      <c r="SCP47" s="3" t="s">
        <v>196</v>
      </c>
      <c r="SCQ47" s="3" t="s">
        <v>180</v>
      </c>
      <c r="SCR47" s="3" t="s">
        <v>26</v>
      </c>
      <c r="SCS47" s="3" t="s">
        <v>197</v>
      </c>
      <c r="SCV47" s="3" t="s">
        <v>198</v>
      </c>
      <c r="SCW47" s="2" t="s">
        <v>195</v>
      </c>
      <c r="SCX47" s="3" t="s">
        <v>196</v>
      </c>
      <c r="SCY47" s="3" t="s">
        <v>180</v>
      </c>
      <c r="SCZ47" s="3" t="s">
        <v>26</v>
      </c>
      <c r="SDA47" s="3" t="s">
        <v>197</v>
      </c>
      <c r="SDD47" s="3" t="s">
        <v>198</v>
      </c>
      <c r="SDE47" s="2" t="s">
        <v>195</v>
      </c>
      <c r="SDF47" s="3" t="s">
        <v>196</v>
      </c>
      <c r="SDG47" s="3" t="s">
        <v>180</v>
      </c>
      <c r="SDH47" s="3" t="s">
        <v>26</v>
      </c>
      <c r="SDI47" s="3" t="s">
        <v>197</v>
      </c>
      <c r="SDL47" s="3" t="s">
        <v>198</v>
      </c>
      <c r="SDM47" s="2" t="s">
        <v>195</v>
      </c>
      <c r="SDN47" s="3" t="s">
        <v>196</v>
      </c>
      <c r="SDO47" s="3" t="s">
        <v>180</v>
      </c>
      <c r="SDP47" s="3" t="s">
        <v>26</v>
      </c>
      <c r="SDQ47" s="3" t="s">
        <v>197</v>
      </c>
      <c r="SDT47" s="3" t="s">
        <v>198</v>
      </c>
      <c r="SDU47" s="2" t="s">
        <v>195</v>
      </c>
      <c r="SDV47" s="3" t="s">
        <v>196</v>
      </c>
      <c r="SDW47" s="3" t="s">
        <v>180</v>
      </c>
      <c r="SDX47" s="3" t="s">
        <v>26</v>
      </c>
      <c r="SDY47" s="3" t="s">
        <v>197</v>
      </c>
      <c r="SEB47" s="3" t="s">
        <v>198</v>
      </c>
      <c r="SEC47" s="2" t="s">
        <v>195</v>
      </c>
      <c r="SED47" s="3" t="s">
        <v>196</v>
      </c>
      <c r="SEE47" s="3" t="s">
        <v>180</v>
      </c>
      <c r="SEF47" s="3" t="s">
        <v>26</v>
      </c>
      <c r="SEG47" s="3" t="s">
        <v>197</v>
      </c>
      <c r="SEJ47" s="3" t="s">
        <v>198</v>
      </c>
      <c r="SEK47" s="2" t="s">
        <v>195</v>
      </c>
      <c r="SEL47" s="3" t="s">
        <v>196</v>
      </c>
      <c r="SEM47" s="3" t="s">
        <v>180</v>
      </c>
      <c r="SEN47" s="3" t="s">
        <v>26</v>
      </c>
      <c r="SEO47" s="3" t="s">
        <v>197</v>
      </c>
      <c r="SER47" s="3" t="s">
        <v>198</v>
      </c>
      <c r="SES47" s="2" t="s">
        <v>195</v>
      </c>
      <c r="SET47" s="3" t="s">
        <v>196</v>
      </c>
      <c r="SEU47" s="3" t="s">
        <v>180</v>
      </c>
      <c r="SEV47" s="3" t="s">
        <v>26</v>
      </c>
      <c r="SEW47" s="3" t="s">
        <v>197</v>
      </c>
      <c r="SEZ47" s="3" t="s">
        <v>198</v>
      </c>
      <c r="SFA47" s="2" t="s">
        <v>195</v>
      </c>
      <c r="SFB47" s="3" t="s">
        <v>196</v>
      </c>
      <c r="SFC47" s="3" t="s">
        <v>180</v>
      </c>
      <c r="SFD47" s="3" t="s">
        <v>26</v>
      </c>
      <c r="SFE47" s="3" t="s">
        <v>197</v>
      </c>
      <c r="SFH47" s="3" t="s">
        <v>198</v>
      </c>
      <c r="SFI47" s="2" t="s">
        <v>195</v>
      </c>
      <c r="SFJ47" s="3" t="s">
        <v>196</v>
      </c>
      <c r="SFK47" s="3" t="s">
        <v>180</v>
      </c>
      <c r="SFL47" s="3" t="s">
        <v>26</v>
      </c>
      <c r="SFM47" s="3" t="s">
        <v>197</v>
      </c>
      <c r="SFP47" s="3" t="s">
        <v>198</v>
      </c>
      <c r="SFQ47" s="2" t="s">
        <v>195</v>
      </c>
      <c r="SFR47" s="3" t="s">
        <v>196</v>
      </c>
      <c r="SFS47" s="3" t="s">
        <v>180</v>
      </c>
      <c r="SFT47" s="3" t="s">
        <v>26</v>
      </c>
      <c r="SFU47" s="3" t="s">
        <v>197</v>
      </c>
      <c r="SFX47" s="3" t="s">
        <v>198</v>
      </c>
      <c r="SFY47" s="2" t="s">
        <v>195</v>
      </c>
      <c r="SFZ47" s="3" t="s">
        <v>196</v>
      </c>
      <c r="SGA47" s="3" t="s">
        <v>180</v>
      </c>
      <c r="SGB47" s="3" t="s">
        <v>26</v>
      </c>
      <c r="SGC47" s="3" t="s">
        <v>197</v>
      </c>
      <c r="SGF47" s="3" t="s">
        <v>198</v>
      </c>
      <c r="SGG47" s="2" t="s">
        <v>195</v>
      </c>
      <c r="SGH47" s="3" t="s">
        <v>196</v>
      </c>
      <c r="SGI47" s="3" t="s">
        <v>180</v>
      </c>
      <c r="SGJ47" s="3" t="s">
        <v>26</v>
      </c>
      <c r="SGK47" s="3" t="s">
        <v>197</v>
      </c>
      <c r="SGN47" s="3" t="s">
        <v>198</v>
      </c>
      <c r="SGO47" s="2" t="s">
        <v>195</v>
      </c>
      <c r="SGP47" s="3" t="s">
        <v>196</v>
      </c>
      <c r="SGQ47" s="3" t="s">
        <v>180</v>
      </c>
      <c r="SGR47" s="3" t="s">
        <v>26</v>
      </c>
      <c r="SGS47" s="3" t="s">
        <v>197</v>
      </c>
      <c r="SGV47" s="3" t="s">
        <v>198</v>
      </c>
      <c r="SGW47" s="2" t="s">
        <v>195</v>
      </c>
      <c r="SGX47" s="3" t="s">
        <v>196</v>
      </c>
      <c r="SGY47" s="3" t="s">
        <v>180</v>
      </c>
      <c r="SGZ47" s="3" t="s">
        <v>26</v>
      </c>
      <c r="SHA47" s="3" t="s">
        <v>197</v>
      </c>
      <c r="SHD47" s="3" t="s">
        <v>198</v>
      </c>
      <c r="SHE47" s="2" t="s">
        <v>195</v>
      </c>
      <c r="SHF47" s="3" t="s">
        <v>196</v>
      </c>
      <c r="SHG47" s="3" t="s">
        <v>180</v>
      </c>
      <c r="SHH47" s="3" t="s">
        <v>26</v>
      </c>
      <c r="SHI47" s="3" t="s">
        <v>197</v>
      </c>
      <c r="SHL47" s="3" t="s">
        <v>198</v>
      </c>
      <c r="SHM47" s="2" t="s">
        <v>195</v>
      </c>
      <c r="SHN47" s="3" t="s">
        <v>196</v>
      </c>
      <c r="SHO47" s="3" t="s">
        <v>180</v>
      </c>
      <c r="SHP47" s="3" t="s">
        <v>26</v>
      </c>
      <c r="SHQ47" s="3" t="s">
        <v>197</v>
      </c>
      <c r="SHT47" s="3" t="s">
        <v>198</v>
      </c>
      <c r="SHU47" s="2" t="s">
        <v>195</v>
      </c>
      <c r="SHV47" s="3" t="s">
        <v>196</v>
      </c>
      <c r="SHW47" s="3" t="s">
        <v>180</v>
      </c>
      <c r="SHX47" s="3" t="s">
        <v>26</v>
      </c>
      <c r="SHY47" s="3" t="s">
        <v>197</v>
      </c>
      <c r="SIB47" s="3" t="s">
        <v>198</v>
      </c>
      <c r="SIC47" s="2" t="s">
        <v>195</v>
      </c>
      <c r="SID47" s="3" t="s">
        <v>196</v>
      </c>
      <c r="SIE47" s="3" t="s">
        <v>180</v>
      </c>
      <c r="SIF47" s="3" t="s">
        <v>26</v>
      </c>
      <c r="SIG47" s="3" t="s">
        <v>197</v>
      </c>
      <c r="SIJ47" s="3" t="s">
        <v>198</v>
      </c>
      <c r="SIK47" s="2" t="s">
        <v>195</v>
      </c>
      <c r="SIL47" s="3" t="s">
        <v>196</v>
      </c>
      <c r="SIM47" s="3" t="s">
        <v>180</v>
      </c>
      <c r="SIN47" s="3" t="s">
        <v>26</v>
      </c>
      <c r="SIO47" s="3" t="s">
        <v>197</v>
      </c>
      <c r="SIR47" s="3" t="s">
        <v>198</v>
      </c>
      <c r="SIS47" s="2" t="s">
        <v>195</v>
      </c>
      <c r="SIT47" s="3" t="s">
        <v>196</v>
      </c>
      <c r="SIU47" s="3" t="s">
        <v>180</v>
      </c>
      <c r="SIV47" s="3" t="s">
        <v>26</v>
      </c>
      <c r="SIW47" s="3" t="s">
        <v>197</v>
      </c>
      <c r="SIZ47" s="3" t="s">
        <v>198</v>
      </c>
      <c r="SJA47" s="2" t="s">
        <v>195</v>
      </c>
      <c r="SJB47" s="3" t="s">
        <v>196</v>
      </c>
      <c r="SJC47" s="3" t="s">
        <v>180</v>
      </c>
      <c r="SJD47" s="3" t="s">
        <v>26</v>
      </c>
      <c r="SJE47" s="3" t="s">
        <v>197</v>
      </c>
      <c r="SJH47" s="3" t="s">
        <v>198</v>
      </c>
      <c r="SJI47" s="2" t="s">
        <v>195</v>
      </c>
      <c r="SJJ47" s="3" t="s">
        <v>196</v>
      </c>
      <c r="SJK47" s="3" t="s">
        <v>180</v>
      </c>
      <c r="SJL47" s="3" t="s">
        <v>26</v>
      </c>
      <c r="SJM47" s="3" t="s">
        <v>197</v>
      </c>
      <c r="SJP47" s="3" t="s">
        <v>198</v>
      </c>
      <c r="SJQ47" s="2" t="s">
        <v>195</v>
      </c>
      <c r="SJR47" s="3" t="s">
        <v>196</v>
      </c>
      <c r="SJS47" s="3" t="s">
        <v>180</v>
      </c>
      <c r="SJT47" s="3" t="s">
        <v>26</v>
      </c>
      <c r="SJU47" s="3" t="s">
        <v>197</v>
      </c>
      <c r="SJX47" s="3" t="s">
        <v>198</v>
      </c>
      <c r="SJY47" s="2" t="s">
        <v>195</v>
      </c>
      <c r="SJZ47" s="3" t="s">
        <v>196</v>
      </c>
      <c r="SKA47" s="3" t="s">
        <v>180</v>
      </c>
      <c r="SKB47" s="3" t="s">
        <v>26</v>
      </c>
      <c r="SKC47" s="3" t="s">
        <v>197</v>
      </c>
      <c r="SKF47" s="3" t="s">
        <v>198</v>
      </c>
      <c r="SKG47" s="2" t="s">
        <v>195</v>
      </c>
      <c r="SKH47" s="3" t="s">
        <v>196</v>
      </c>
      <c r="SKI47" s="3" t="s">
        <v>180</v>
      </c>
      <c r="SKJ47" s="3" t="s">
        <v>26</v>
      </c>
      <c r="SKK47" s="3" t="s">
        <v>197</v>
      </c>
      <c r="SKN47" s="3" t="s">
        <v>198</v>
      </c>
      <c r="SKO47" s="2" t="s">
        <v>195</v>
      </c>
      <c r="SKP47" s="3" t="s">
        <v>196</v>
      </c>
      <c r="SKQ47" s="3" t="s">
        <v>180</v>
      </c>
      <c r="SKR47" s="3" t="s">
        <v>26</v>
      </c>
      <c r="SKS47" s="3" t="s">
        <v>197</v>
      </c>
      <c r="SKV47" s="3" t="s">
        <v>198</v>
      </c>
      <c r="SKW47" s="2" t="s">
        <v>195</v>
      </c>
      <c r="SKX47" s="3" t="s">
        <v>196</v>
      </c>
      <c r="SKY47" s="3" t="s">
        <v>180</v>
      </c>
      <c r="SKZ47" s="3" t="s">
        <v>26</v>
      </c>
      <c r="SLA47" s="3" t="s">
        <v>197</v>
      </c>
      <c r="SLD47" s="3" t="s">
        <v>198</v>
      </c>
      <c r="SLE47" s="2" t="s">
        <v>195</v>
      </c>
      <c r="SLF47" s="3" t="s">
        <v>196</v>
      </c>
      <c r="SLG47" s="3" t="s">
        <v>180</v>
      </c>
      <c r="SLH47" s="3" t="s">
        <v>26</v>
      </c>
      <c r="SLI47" s="3" t="s">
        <v>197</v>
      </c>
      <c r="SLL47" s="3" t="s">
        <v>198</v>
      </c>
      <c r="SLM47" s="2" t="s">
        <v>195</v>
      </c>
      <c r="SLN47" s="3" t="s">
        <v>196</v>
      </c>
      <c r="SLO47" s="3" t="s">
        <v>180</v>
      </c>
      <c r="SLP47" s="3" t="s">
        <v>26</v>
      </c>
      <c r="SLQ47" s="3" t="s">
        <v>197</v>
      </c>
      <c r="SLT47" s="3" t="s">
        <v>198</v>
      </c>
      <c r="SLU47" s="2" t="s">
        <v>195</v>
      </c>
      <c r="SLV47" s="3" t="s">
        <v>196</v>
      </c>
      <c r="SLW47" s="3" t="s">
        <v>180</v>
      </c>
      <c r="SLX47" s="3" t="s">
        <v>26</v>
      </c>
      <c r="SLY47" s="3" t="s">
        <v>197</v>
      </c>
      <c r="SMB47" s="3" t="s">
        <v>198</v>
      </c>
      <c r="SMC47" s="2" t="s">
        <v>195</v>
      </c>
      <c r="SMD47" s="3" t="s">
        <v>196</v>
      </c>
      <c r="SME47" s="3" t="s">
        <v>180</v>
      </c>
      <c r="SMF47" s="3" t="s">
        <v>26</v>
      </c>
      <c r="SMG47" s="3" t="s">
        <v>197</v>
      </c>
      <c r="SMJ47" s="3" t="s">
        <v>198</v>
      </c>
      <c r="SMK47" s="2" t="s">
        <v>195</v>
      </c>
      <c r="SML47" s="3" t="s">
        <v>196</v>
      </c>
      <c r="SMM47" s="3" t="s">
        <v>180</v>
      </c>
      <c r="SMN47" s="3" t="s">
        <v>26</v>
      </c>
      <c r="SMO47" s="3" t="s">
        <v>197</v>
      </c>
      <c r="SMR47" s="3" t="s">
        <v>198</v>
      </c>
      <c r="SMS47" s="2" t="s">
        <v>195</v>
      </c>
      <c r="SMT47" s="3" t="s">
        <v>196</v>
      </c>
      <c r="SMU47" s="3" t="s">
        <v>180</v>
      </c>
      <c r="SMV47" s="3" t="s">
        <v>26</v>
      </c>
      <c r="SMW47" s="3" t="s">
        <v>197</v>
      </c>
      <c r="SMZ47" s="3" t="s">
        <v>198</v>
      </c>
      <c r="SNA47" s="2" t="s">
        <v>195</v>
      </c>
      <c r="SNB47" s="3" t="s">
        <v>196</v>
      </c>
      <c r="SNC47" s="3" t="s">
        <v>180</v>
      </c>
      <c r="SND47" s="3" t="s">
        <v>26</v>
      </c>
      <c r="SNE47" s="3" t="s">
        <v>197</v>
      </c>
      <c r="SNH47" s="3" t="s">
        <v>198</v>
      </c>
      <c r="SNI47" s="2" t="s">
        <v>195</v>
      </c>
      <c r="SNJ47" s="3" t="s">
        <v>196</v>
      </c>
      <c r="SNK47" s="3" t="s">
        <v>180</v>
      </c>
      <c r="SNL47" s="3" t="s">
        <v>26</v>
      </c>
      <c r="SNM47" s="3" t="s">
        <v>197</v>
      </c>
      <c r="SNP47" s="3" t="s">
        <v>198</v>
      </c>
      <c r="SNQ47" s="2" t="s">
        <v>195</v>
      </c>
      <c r="SNR47" s="3" t="s">
        <v>196</v>
      </c>
      <c r="SNS47" s="3" t="s">
        <v>180</v>
      </c>
      <c r="SNT47" s="3" t="s">
        <v>26</v>
      </c>
      <c r="SNU47" s="3" t="s">
        <v>197</v>
      </c>
      <c r="SNX47" s="3" t="s">
        <v>198</v>
      </c>
      <c r="SNY47" s="2" t="s">
        <v>195</v>
      </c>
      <c r="SNZ47" s="3" t="s">
        <v>196</v>
      </c>
      <c r="SOA47" s="3" t="s">
        <v>180</v>
      </c>
      <c r="SOB47" s="3" t="s">
        <v>26</v>
      </c>
      <c r="SOC47" s="3" t="s">
        <v>197</v>
      </c>
      <c r="SOF47" s="3" t="s">
        <v>198</v>
      </c>
      <c r="SOG47" s="2" t="s">
        <v>195</v>
      </c>
      <c r="SOH47" s="3" t="s">
        <v>196</v>
      </c>
      <c r="SOI47" s="3" t="s">
        <v>180</v>
      </c>
      <c r="SOJ47" s="3" t="s">
        <v>26</v>
      </c>
      <c r="SOK47" s="3" t="s">
        <v>197</v>
      </c>
      <c r="SON47" s="3" t="s">
        <v>198</v>
      </c>
      <c r="SOO47" s="2" t="s">
        <v>195</v>
      </c>
      <c r="SOP47" s="3" t="s">
        <v>196</v>
      </c>
      <c r="SOQ47" s="3" t="s">
        <v>180</v>
      </c>
      <c r="SOR47" s="3" t="s">
        <v>26</v>
      </c>
      <c r="SOS47" s="3" t="s">
        <v>197</v>
      </c>
      <c r="SOV47" s="3" t="s">
        <v>198</v>
      </c>
      <c r="SOW47" s="2" t="s">
        <v>195</v>
      </c>
      <c r="SOX47" s="3" t="s">
        <v>196</v>
      </c>
      <c r="SOY47" s="3" t="s">
        <v>180</v>
      </c>
      <c r="SOZ47" s="3" t="s">
        <v>26</v>
      </c>
      <c r="SPA47" s="3" t="s">
        <v>197</v>
      </c>
      <c r="SPD47" s="3" t="s">
        <v>198</v>
      </c>
      <c r="SPE47" s="2" t="s">
        <v>195</v>
      </c>
      <c r="SPF47" s="3" t="s">
        <v>196</v>
      </c>
      <c r="SPG47" s="3" t="s">
        <v>180</v>
      </c>
      <c r="SPH47" s="3" t="s">
        <v>26</v>
      </c>
      <c r="SPI47" s="3" t="s">
        <v>197</v>
      </c>
      <c r="SPL47" s="3" t="s">
        <v>198</v>
      </c>
      <c r="SPM47" s="2" t="s">
        <v>195</v>
      </c>
      <c r="SPN47" s="3" t="s">
        <v>196</v>
      </c>
      <c r="SPO47" s="3" t="s">
        <v>180</v>
      </c>
      <c r="SPP47" s="3" t="s">
        <v>26</v>
      </c>
      <c r="SPQ47" s="3" t="s">
        <v>197</v>
      </c>
      <c r="SPT47" s="3" t="s">
        <v>198</v>
      </c>
      <c r="SPU47" s="2" t="s">
        <v>195</v>
      </c>
      <c r="SPV47" s="3" t="s">
        <v>196</v>
      </c>
      <c r="SPW47" s="3" t="s">
        <v>180</v>
      </c>
      <c r="SPX47" s="3" t="s">
        <v>26</v>
      </c>
      <c r="SPY47" s="3" t="s">
        <v>197</v>
      </c>
      <c r="SQB47" s="3" t="s">
        <v>198</v>
      </c>
      <c r="SQC47" s="2" t="s">
        <v>195</v>
      </c>
      <c r="SQD47" s="3" t="s">
        <v>196</v>
      </c>
      <c r="SQE47" s="3" t="s">
        <v>180</v>
      </c>
      <c r="SQF47" s="3" t="s">
        <v>26</v>
      </c>
      <c r="SQG47" s="3" t="s">
        <v>197</v>
      </c>
      <c r="SQJ47" s="3" t="s">
        <v>198</v>
      </c>
      <c r="SQK47" s="2" t="s">
        <v>195</v>
      </c>
      <c r="SQL47" s="3" t="s">
        <v>196</v>
      </c>
      <c r="SQM47" s="3" t="s">
        <v>180</v>
      </c>
      <c r="SQN47" s="3" t="s">
        <v>26</v>
      </c>
      <c r="SQO47" s="3" t="s">
        <v>197</v>
      </c>
      <c r="SQR47" s="3" t="s">
        <v>198</v>
      </c>
      <c r="SQS47" s="2" t="s">
        <v>195</v>
      </c>
      <c r="SQT47" s="3" t="s">
        <v>196</v>
      </c>
      <c r="SQU47" s="3" t="s">
        <v>180</v>
      </c>
      <c r="SQV47" s="3" t="s">
        <v>26</v>
      </c>
      <c r="SQW47" s="3" t="s">
        <v>197</v>
      </c>
      <c r="SQZ47" s="3" t="s">
        <v>198</v>
      </c>
      <c r="SRA47" s="2" t="s">
        <v>195</v>
      </c>
      <c r="SRB47" s="3" t="s">
        <v>196</v>
      </c>
      <c r="SRC47" s="3" t="s">
        <v>180</v>
      </c>
      <c r="SRD47" s="3" t="s">
        <v>26</v>
      </c>
      <c r="SRE47" s="3" t="s">
        <v>197</v>
      </c>
      <c r="SRH47" s="3" t="s">
        <v>198</v>
      </c>
      <c r="SRI47" s="2" t="s">
        <v>195</v>
      </c>
      <c r="SRJ47" s="3" t="s">
        <v>196</v>
      </c>
      <c r="SRK47" s="3" t="s">
        <v>180</v>
      </c>
      <c r="SRL47" s="3" t="s">
        <v>26</v>
      </c>
      <c r="SRM47" s="3" t="s">
        <v>197</v>
      </c>
      <c r="SRP47" s="3" t="s">
        <v>198</v>
      </c>
      <c r="SRQ47" s="2" t="s">
        <v>195</v>
      </c>
      <c r="SRR47" s="3" t="s">
        <v>196</v>
      </c>
      <c r="SRS47" s="3" t="s">
        <v>180</v>
      </c>
      <c r="SRT47" s="3" t="s">
        <v>26</v>
      </c>
      <c r="SRU47" s="3" t="s">
        <v>197</v>
      </c>
      <c r="SRX47" s="3" t="s">
        <v>198</v>
      </c>
      <c r="SRY47" s="2" t="s">
        <v>195</v>
      </c>
      <c r="SRZ47" s="3" t="s">
        <v>196</v>
      </c>
      <c r="SSA47" s="3" t="s">
        <v>180</v>
      </c>
      <c r="SSB47" s="3" t="s">
        <v>26</v>
      </c>
      <c r="SSC47" s="3" t="s">
        <v>197</v>
      </c>
      <c r="SSF47" s="3" t="s">
        <v>198</v>
      </c>
      <c r="SSG47" s="2" t="s">
        <v>195</v>
      </c>
      <c r="SSH47" s="3" t="s">
        <v>196</v>
      </c>
      <c r="SSI47" s="3" t="s">
        <v>180</v>
      </c>
      <c r="SSJ47" s="3" t="s">
        <v>26</v>
      </c>
      <c r="SSK47" s="3" t="s">
        <v>197</v>
      </c>
      <c r="SSN47" s="3" t="s">
        <v>198</v>
      </c>
      <c r="SSO47" s="2" t="s">
        <v>195</v>
      </c>
      <c r="SSP47" s="3" t="s">
        <v>196</v>
      </c>
      <c r="SSQ47" s="3" t="s">
        <v>180</v>
      </c>
      <c r="SSR47" s="3" t="s">
        <v>26</v>
      </c>
      <c r="SSS47" s="3" t="s">
        <v>197</v>
      </c>
      <c r="SSV47" s="3" t="s">
        <v>198</v>
      </c>
      <c r="SSW47" s="2" t="s">
        <v>195</v>
      </c>
      <c r="SSX47" s="3" t="s">
        <v>196</v>
      </c>
      <c r="SSY47" s="3" t="s">
        <v>180</v>
      </c>
      <c r="SSZ47" s="3" t="s">
        <v>26</v>
      </c>
      <c r="STA47" s="3" t="s">
        <v>197</v>
      </c>
      <c r="STD47" s="3" t="s">
        <v>198</v>
      </c>
      <c r="STE47" s="2" t="s">
        <v>195</v>
      </c>
      <c r="STF47" s="3" t="s">
        <v>196</v>
      </c>
      <c r="STG47" s="3" t="s">
        <v>180</v>
      </c>
      <c r="STH47" s="3" t="s">
        <v>26</v>
      </c>
      <c r="STI47" s="3" t="s">
        <v>197</v>
      </c>
      <c r="STL47" s="3" t="s">
        <v>198</v>
      </c>
      <c r="STM47" s="2" t="s">
        <v>195</v>
      </c>
      <c r="STN47" s="3" t="s">
        <v>196</v>
      </c>
      <c r="STO47" s="3" t="s">
        <v>180</v>
      </c>
      <c r="STP47" s="3" t="s">
        <v>26</v>
      </c>
      <c r="STQ47" s="3" t="s">
        <v>197</v>
      </c>
      <c r="STT47" s="3" t="s">
        <v>198</v>
      </c>
      <c r="STU47" s="2" t="s">
        <v>195</v>
      </c>
      <c r="STV47" s="3" t="s">
        <v>196</v>
      </c>
      <c r="STW47" s="3" t="s">
        <v>180</v>
      </c>
      <c r="STX47" s="3" t="s">
        <v>26</v>
      </c>
      <c r="STY47" s="3" t="s">
        <v>197</v>
      </c>
      <c r="SUB47" s="3" t="s">
        <v>198</v>
      </c>
      <c r="SUC47" s="2" t="s">
        <v>195</v>
      </c>
      <c r="SUD47" s="3" t="s">
        <v>196</v>
      </c>
      <c r="SUE47" s="3" t="s">
        <v>180</v>
      </c>
      <c r="SUF47" s="3" t="s">
        <v>26</v>
      </c>
      <c r="SUG47" s="3" t="s">
        <v>197</v>
      </c>
      <c r="SUJ47" s="3" t="s">
        <v>198</v>
      </c>
      <c r="SUK47" s="2" t="s">
        <v>195</v>
      </c>
      <c r="SUL47" s="3" t="s">
        <v>196</v>
      </c>
      <c r="SUM47" s="3" t="s">
        <v>180</v>
      </c>
      <c r="SUN47" s="3" t="s">
        <v>26</v>
      </c>
      <c r="SUO47" s="3" t="s">
        <v>197</v>
      </c>
      <c r="SUR47" s="3" t="s">
        <v>198</v>
      </c>
      <c r="SUS47" s="2" t="s">
        <v>195</v>
      </c>
      <c r="SUT47" s="3" t="s">
        <v>196</v>
      </c>
      <c r="SUU47" s="3" t="s">
        <v>180</v>
      </c>
      <c r="SUV47" s="3" t="s">
        <v>26</v>
      </c>
      <c r="SUW47" s="3" t="s">
        <v>197</v>
      </c>
      <c r="SUZ47" s="3" t="s">
        <v>198</v>
      </c>
      <c r="SVA47" s="2" t="s">
        <v>195</v>
      </c>
      <c r="SVB47" s="3" t="s">
        <v>196</v>
      </c>
      <c r="SVC47" s="3" t="s">
        <v>180</v>
      </c>
      <c r="SVD47" s="3" t="s">
        <v>26</v>
      </c>
      <c r="SVE47" s="3" t="s">
        <v>197</v>
      </c>
      <c r="SVH47" s="3" t="s">
        <v>198</v>
      </c>
      <c r="SVI47" s="2" t="s">
        <v>195</v>
      </c>
      <c r="SVJ47" s="3" t="s">
        <v>196</v>
      </c>
      <c r="SVK47" s="3" t="s">
        <v>180</v>
      </c>
      <c r="SVL47" s="3" t="s">
        <v>26</v>
      </c>
      <c r="SVM47" s="3" t="s">
        <v>197</v>
      </c>
      <c r="SVP47" s="3" t="s">
        <v>198</v>
      </c>
      <c r="SVQ47" s="2" t="s">
        <v>195</v>
      </c>
      <c r="SVR47" s="3" t="s">
        <v>196</v>
      </c>
      <c r="SVS47" s="3" t="s">
        <v>180</v>
      </c>
      <c r="SVT47" s="3" t="s">
        <v>26</v>
      </c>
      <c r="SVU47" s="3" t="s">
        <v>197</v>
      </c>
      <c r="SVX47" s="3" t="s">
        <v>198</v>
      </c>
      <c r="SVY47" s="2" t="s">
        <v>195</v>
      </c>
      <c r="SVZ47" s="3" t="s">
        <v>196</v>
      </c>
      <c r="SWA47" s="3" t="s">
        <v>180</v>
      </c>
      <c r="SWB47" s="3" t="s">
        <v>26</v>
      </c>
      <c r="SWC47" s="3" t="s">
        <v>197</v>
      </c>
      <c r="SWF47" s="3" t="s">
        <v>198</v>
      </c>
      <c r="SWG47" s="2" t="s">
        <v>195</v>
      </c>
      <c r="SWH47" s="3" t="s">
        <v>196</v>
      </c>
      <c r="SWI47" s="3" t="s">
        <v>180</v>
      </c>
      <c r="SWJ47" s="3" t="s">
        <v>26</v>
      </c>
      <c r="SWK47" s="3" t="s">
        <v>197</v>
      </c>
      <c r="SWN47" s="3" t="s">
        <v>198</v>
      </c>
      <c r="SWO47" s="2" t="s">
        <v>195</v>
      </c>
      <c r="SWP47" s="3" t="s">
        <v>196</v>
      </c>
      <c r="SWQ47" s="3" t="s">
        <v>180</v>
      </c>
      <c r="SWR47" s="3" t="s">
        <v>26</v>
      </c>
      <c r="SWS47" s="3" t="s">
        <v>197</v>
      </c>
      <c r="SWV47" s="3" t="s">
        <v>198</v>
      </c>
      <c r="SWW47" s="2" t="s">
        <v>195</v>
      </c>
      <c r="SWX47" s="3" t="s">
        <v>196</v>
      </c>
      <c r="SWY47" s="3" t="s">
        <v>180</v>
      </c>
      <c r="SWZ47" s="3" t="s">
        <v>26</v>
      </c>
      <c r="SXA47" s="3" t="s">
        <v>197</v>
      </c>
      <c r="SXD47" s="3" t="s">
        <v>198</v>
      </c>
      <c r="SXE47" s="2" t="s">
        <v>195</v>
      </c>
      <c r="SXF47" s="3" t="s">
        <v>196</v>
      </c>
      <c r="SXG47" s="3" t="s">
        <v>180</v>
      </c>
      <c r="SXH47" s="3" t="s">
        <v>26</v>
      </c>
      <c r="SXI47" s="3" t="s">
        <v>197</v>
      </c>
      <c r="SXL47" s="3" t="s">
        <v>198</v>
      </c>
      <c r="SXM47" s="2" t="s">
        <v>195</v>
      </c>
      <c r="SXN47" s="3" t="s">
        <v>196</v>
      </c>
      <c r="SXO47" s="3" t="s">
        <v>180</v>
      </c>
      <c r="SXP47" s="3" t="s">
        <v>26</v>
      </c>
      <c r="SXQ47" s="3" t="s">
        <v>197</v>
      </c>
      <c r="SXT47" s="3" t="s">
        <v>198</v>
      </c>
      <c r="SXU47" s="2" t="s">
        <v>195</v>
      </c>
      <c r="SXV47" s="3" t="s">
        <v>196</v>
      </c>
      <c r="SXW47" s="3" t="s">
        <v>180</v>
      </c>
      <c r="SXX47" s="3" t="s">
        <v>26</v>
      </c>
      <c r="SXY47" s="3" t="s">
        <v>197</v>
      </c>
      <c r="SYB47" s="3" t="s">
        <v>198</v>
      </c>
      <c r="SYC47" s="2" t="s">
        <v>195</v>
      </c>
      <c r="SYD47" s="3" t="s">
        <v>196</v>
      </c>
      <c r="SYE47" s="3" t="s">
        <v>180</v>
      </c>
      <c r="SYF47" s="3" t="s">
        <v>26</v>
      </c>
      <c r="SYG47" s="3" t="s">
        <v>197</v>
      </c>
      <c r="SYJ47" s="3" t="s">
        <v>198</v>
      </c>
      <c r="SYK47" s="2" t="s">
        <v>195</v>
      </c>
      <c r="SYL47" s="3" t="s">
        <v>196</v>
      </c>
      <c r="SYM47" s="3" t="s">
        <v>180</v>
      </c>
      <c r="SYN47" s="3" t="s">
        <v>26</v>
      </c>
      <c r="SYO47" s="3" t="s">
        <v>197</v>
      </c>
      <c r="SYR47" s="3" t="s">
        <v>198</v>
      </c>
      <c r="SYS47" s="2" t="s">
        <v>195</v>
      </c>
      <c r="SYT47" s="3" t="s">
        <v>196</v>
      </c>
      <c r="SYU47" s="3" t="s">
        <v>180</v>
      </c>
      <c r="SYV47" s="3" t="s">
        <v>26</v>
      </c>
      <c r="SYW47" s="3" t="s">
        <v>197</v>
      </c>
      <c r="SYZ47" s="3" t="s">
        <v>198</v>
      </c>
      <c r="SZA47" s="2" t="s">
        <v>195</v>
      </c>
      <c r="SZB47" s="3" t="s">
        <v>196</v>
      </c>
      <c r="SZC47" s="3" t="s">
        <v>180</v>
      </c>
      <c r="SZD47" s="3" t="s">
        <v>26</v>
      </c>
      <c r="SZE47" s="3" t="s">
        <v>197</v>
      </c>
      <c r="SZH47" s="3" t="s">
        <v>198</v>
      </c>
      <c r="SZI47" s="2" t="s">
        <v>195</v>
      </c>
      <c r="SZJ47" s="3" t="s">
        <v>196</v>
      </c>
      <c r="SZK47" s="3" t="s">
        <v>180</v>
      </c>
      <c r="SZL47" s="3" t="s">
        <v>26</v>
      </c>
      <c r="SZM47" s="3" t="s">
        <v>197</v>
      </c>
      <c r="SZP47" s="3" t="s">
        <v>198</v>
      </c>
      <c r="SZQ47" s="2" t="s">
        <v>195</v>
      </c>
      <c r="SZR47" s="3" t="s">
        <v>196</v>
      </c>
      <c r="SZS47" s="3" t="s">
        <v>180</v>
      </c>
      <c r="SZT47" s="3" t="s">
        <v>26</v>
      </c>
      <c r="SZU47" s="3" t="s">
        <v>197</v>
      </c>
      <c r="SZX47" s="3" t="s">
        <v>198</v>
      </c>
      <c r="SZY47" s="2" t="s">
        <v>195</v>
      </c>
      <c r="SZZ47" s="3" t="s">
        <v>196</v>
      </c>
      <c r="TAA47" s="3" t="s">
        <v>180</v>
      </c>
      <c r="TAB47" s="3" t="s">
        <v>26</v>
      </c>
      <c r="TAC47" s="3" t="s">
        <v>197</v>
      </c>
      <c r="TAF47" s="3" t="s">
        <v>198</v>
      </c>
      <c r="TAG47" s="2" t="s">
        <v>195</v>
      </c>
      <c r="TAH47" s="3" t="s">
        <v>196</v>
      </c>
      <c r="TAI47" s="3" t="s">
        <v>180</v>
      </c>
      <c r="TAJ47" s="3" t="s">
        <v>26</v>
      </c>
      <c r="TAK47" s="3" t="s">
        <v>197</v>
      </c>
      <c r="TAN47" s="3" t="s">
        <v>198</v>
      </c>
      <c r="TAO47" s="2" t="s">
        <v>195</v>
      </c>
      <c r="TAP47" s="3" t="s">
        <v>196</v>
      </c>
      <c r="TAQ47" s="3" t="s">
        <v>180</v>
      </c>
      <c r="TAR47" s="3" t="s">
        <v>26</v>
      </c>
      <c r="TAS47" s="3" t="s">
        <v>197</v>
      </c>
      <c r="TAV47" s="3" t="s">
        <v>198</v>
      </c>
      <c r="TAW47" s="2" t="s">
        <v>195</v>
      </c>
      <c r="TAX47" s="3" t="s">
        <v>196</v>
      </c>
      <c r="TAY47" s="3" t="s">
        <v>180</v>
      </c>
      <c r="TAZ47" s="3" t="s">
        <v>26</v>
      </c>
      <c r="TBA47" s="3" t="s">
        <v>197</v>
      </c>
      <c r="TBD47" s="3" t="s">
        <v>198</v>
      </c>
      <c r="TBE47" s="2" t="s">
        <v>195</v>
      </c>
      <c r="TBF47" s="3" t="s">
        <v>196</v>
      </c>
      <c r="TBG47" s="3" t="s">
        <v>180</v>
      </c>
      <c r="TBH47" s="3" t="s">
        <v>26</v>
      </c>
      <c r="TBI47" s="3" t="s">
        <v>197</v>
      </c>
      <c r="TBL47" s="3" t="s">
        <v>198</v>
      </c>
      <c r="TBM47" s="2" t="s">
        <v>195</v>
      </c>
      <c r="TBN47" s="3" t="s">
        <v>196</v>
      </c>
      <c r="TBO47" s="3" t="s">
        <v>180</v>
      </c>
      <c r="TBP47" s="3" t="s">
        <v>26</v>
      </c>
      <c r="TBQ47" s="3" t="s">
        <v>197</v>
      </c>
      <c r="TBT47" s="3" t="s">
        <v>198</v>
      </c>
      <c r="TBU47" s="2" t="s">
        <v>195</v>
      </c>
      <c r="TBV47" s="3" t="s">
        <v>196</v>
      </c>
      <c r="TBW47" s="3" t="s">
        <v>180</v>
      </c>
      <c r="TBX47" s="3" t="s">
        <v>26</v>
      </c>
      <c r="TBY47" s="3" t="s">
        <v>197</v>
      </c>
      <c r="TCB47" s="3" t="s">
        <v>198</v>
      </c>
      <c r="TCC47" s="2" t="s">
        <v>195</v>
      </c>
      <c r="TCD47" s="3" t="s">
        <v>196</v>
      </c>
      <c r="TCE47" s="3" t="s">
        <v>180</v>
      </c>
      <c r="TCF47" s="3" t="s">
        <v>26</v>
      </c>
      <c r="TCG47" s="3" t="s">
        <v>197</v>
      </c>
      <c r="TCJ47" s="3" t="s">
        <v>198</v>
      </c>
      <c r="TCK47" s="2" t="s">
        <v>195</v>
      </c>
      <c r="TCL47" s="3" t="s">
        <v>196</v>
      </c>
      <c r="TCM47" s="3" t="s">
        <v>180</v>
      </c>
      <c r="TCN47" s="3" t="s">
        <v>26</v>
      </c>
      <c r="TCO47" s="3" t="s">
        <v>197</v>
      </c>
      <c r="TCR47" s="3" t="s">
        <v>198</v>
      </c>
      <c r="TCS47" s="2" t="s">
        <v>195</v>
      </c>
      <c r="TCT47" s="3" t="s">
        <v>196</v>
      </c>
      <c r="TCU47" s="3" t="s">
        <v>180</v>
      </c>
      <c r="TCV47" s="3" t="s">
        <v>26</v>
      </c>
      <c r="TCW47" s="3" t="s">
        <v>197</v>
      </c>
      <c r="TCZ47" s="3" t="s">
        <v>198</v>
      </c>
      <c r="TDA47" s="2" t="s">
        <v>195</v>
      </c>
      <c r="TDB47" s="3" t="s">
        <v>196</v>
      </c>
      <c r="TDC47" s="3" t="s">
        <v>180</v>
      </c>
      <c r="TDD47" s="3" t="s">
        <v>26</v>
      </c>
      <c r="TDE47" s="3" t="s">
        <v>197</v>
      </c>
      <c r="TDH47" s="3" t="s">
        <v>198</v>
      </c>
      <c r="TDI47" s="2" t="s">
        <v>195</v>
      </c>
      <c r="TDJ47" s="3" t="s">
        <v>196</v>
      </c>
      <c r="TDK47" s="3" t="s">
        <v>180</v>
      </c>
      <c r="TDL47" s="3" t="s">
        <v>26</v>
      </c>
      <c r="TDM47" s="3" t="s">
        <v>197</v>
      </c>
      <c r="TDP47" s="3" t="s">
        <v>198</v>
      </c>
      <c r="TDQ47" s="2" t="s">
        <v>195</v>
      </c>
      <c r="TDR47" s="3" t="s">
        <v>196</v>
      </c>
      <c r="TDS47" s="3" t="s">
        <v>180</v>
      </c>
      <c r="TDT47" s="3" t="s">
        <v>26</v>
      </c>
      <c r="TDU47" s="3" t="s">
        <v>197</v>
      </c>
      <c r="TDX47" s="3" t="s">
        <v>198</v>
      </c>
      <c r="TDY47" s="2" t="s">
        <v>195</v>
      </c>
      <c r="TDZ47" s="3" t="s">
        <v>196</v>
      </c>
      <c r="TEA47" s="3" t="s">
        <v>180</v>
      </c>
      <c r="TEB47" s="3" t="s">
        <v>26</v>
      </c>
      <c r="TEC47" s="3" t="s">
        <v>197</v>
      </c>
      <c r="TEF47" s="3" t="s">
        <v>198</v>
      </c>
      <c r="TEG47" s="2" t="s">
        <v>195</v>
      </c>
      <c r="TEH47" s="3" t="s">
        <v>196</v>
      </c>
      <c r="TEI47" s="3" t="s">
        <v>180</v>
      </c>
      <c r="TEJ47" s="3" t="s">
        <v>26</v>
      </c>
      <c r="TEK47" s="3" t="s">
        <v>197</v>
      </c>
      <c r="TEN47" s="3" t="s">
        <v>198</v>
      </c>
      <c r="TEO47" s="2" t="s">
        <v>195</v>
      </c>
      <c r="TEP47" s="3" t="s">
        <v>196</v>
      </c>
      <c r="TEQ47" s="3" t="s">
        <v>180</v>
      </c>
      <c r="TER47" s="3" t="s">
        <v>26</v>
      </c>
      <c r="TES47" s="3" t="s">
        <v>197</v>
      </c>
      <c r="TEV47" s="3" t="s">
        <v>198</v>
      </c>
      <c r="TEW47" s="2" t="s">
        <v>195</v>
      </c>
      <c r="TEX47" s="3" t="s">
        <v>196</v>
      </c>
      <c r="TEY47" s="3" t="s">
        <v>180</v>
      </c>
      <c r="TEZ47" s="3" t="s">
        <v>26</v>
      </c>
      <c r="TFA47" s="3" t="s">
        <v>197</v>
      </c>
      <c r="TFD47" s="3" t="s">
        <v>198</v>
      </c>
      <c r="TFE47" s="2" t="s">
        <v>195</v>
      </c>
      <c r="TFF47" s="3" t="s">
        <v>196</v>
      </c>
      <c r="TFG47" s="3" t="s">
        <v>180</v>
      </c>
      <c r="TFH47" s="3" t="s">
        <v>26</v>
      </c>
      <c r="TFI47" s="3" t="s">
        <v>197</v>
      </c>
      <c r="TFL47" s="3" t="s">
        <v>198</v>
      </c>
      <c r="TFM47" s="2" t="s">
        <v>195</v>
      </c>
      <c r="TFN47" s="3" t="s">
        <v>196</v>
      </c>
      <c r="TFO47" s="3" t="s">
        <v>180</v>
      </c>
      <c r="TFP47" s="3" t="s">
        <v>26</v>
      </c>
      <c r="TFQ47" s="3" t="s">
        <v>197</v>
      </c>
      <c r="TFT47" s="3" t="s">
        <v>198</v>
      </c>
      <c r="TFU47" s="2" t="s">
        <v>195</v>
      </c>
      <c r="TFV47" s="3" t="s">
        <v>196</v>
      </c>
      <c r="TFW47" s="3" t="s">
        <v>180</v>
      </c>
      <c r="TFX47" s="3" t="s">
        <v>26</v>
      </c>
      <c r="TFY47" s="3" t="s">
        <v>197</v>
      </c>
      <c r="TGB47" s="3" t="s">
        <v>198</v>
      </c>
      <c r="TGC47" s="2" t="s">
        <v>195</v>
      </c>
      <c r="TGD47" s="3" t="s">
        <v>196</v>
      </c>
      <c r="TGE47" s="3" t="s">
        <v>180</v>
      </c>
      <c r="TGF47" s="3" t="s">
        <v>26</v>
      </c>
      <c r="TGG47" s="3" t="s">
        <v>197</v>
      </c>
      <c r="TGJ47" s="3" t="s">
        <v>198</v>
      </c>
      <c r="TGK47" s="2" t="s">
        <v>195</v>
      </c>
      <c r="TGL47" s="3" t="s">
        <v>196</v>
      </c>
      <c r="TGM47" s="3" t="s">
        <v>180</v>
      </c>
      <c r="TGN47" s="3" t="s">
        <v>26</v>
      </c>
      <c r="TGO47" s="3" t="s">
        <v>197</v>
      </c>
      <c r="TGR47" s="3" t="s">
        <v>198</v>
      </c>
      <c r="TGS47" s="2" t="s">
        <v>195</v>
      </c>
      <c r="TGT47" s="3" t="s">
        <v>196</v>
      </c>
      <c r="TGU47" s="3" t="s">
        <v>180</v>
      </c>
      <c r="TGV47" s="3" t="s">
        <v>26</v>
      </c>
      <c r="TGW47" s="3" t="s">
        <v>197</v>
      </c>
      <c r="TGZ47" s="3" t="s">
        <v>198</v>
      </c>
      <c r="THA47" s="2" t="s">
        <v>195</v>
      </c>
      <c r="THB47" s="3" t="s">
        <v>196</v>
      </c>
      <c r="THC47" s="3" t="s">
        <v>180</v>
      </c>
      <c r="THD47" s="3" t="s">
        <v>26</v>
      </c>
      <c r="THE47" s="3" t="s">
        <v>197</v>
      </c>
      <c r="THH47" s="3" t="s">
        <v>198</v>
      </c>
      <c r="THI47" s="2" t="s">
        <v>195</v>
      </c>
      <c r="THJ47" s="3" t="s">
        <v>196</v>
      </c>
      <c r="THK47" s="3" t="s">
        <v>180</v>
      </c>
      <c r="THL47" s="3" t="s">
        <v>26</v>
      </c>
      <c r="THM47" s="3" t="s">
        <v>197</v>
      </c>
      <c r="THP47" s="3" t="s">
        <v>198</v>
      </c>
      <c r="THQ47" s="2" t="s">
        <v>195</v>
      </c>
      <c r="THR47" s="3" t="s">
        <v>196</v>
      </c>
      <c r="THS47" s="3" t="s">
        <v>180</v>
      </c>
      <c r="THT47" s="3" t="s">
        <v>26</v>
      </c>
      <c r="THU47" s="3" t="s">
        <v>197</v>
      </c>
      <c r="THX47" s="3" t="s">
        <v>198</v>
      </c>
      <c r="THY47" s="2" t="s">
        <v>195</v>
      </c>
      <c r="THZ47" s="3" t="s">
        <v>196</v>
      </c>
      <c r="TIA47" s="3" t="s">
        <v>180</v>
      </c>
      <c r="TIB47" s="3" t="s">
        <v>26</v>
      </c>
      <c r="TIC47" s="3" t="s">
        <v>197</v>
      </c>
      <c r="TIF47" s="3" t="s">
        <v>198</v>
      </c>
      <c r="TIG47" s="2" t="s">
        <v>195</v>
      </c>
      <c r="TIH47" s="3" t="s">
        <v>196</v>
      </c>
      <c r="TII47" s="3" t="s">
        <v>180</v>
      </c>
      <c r="TIJ47" s="3" t="s">
        <v>26</v>
      </c>
      <c r="TIK47" s="3" t="s">
        <v>197</v>
      </c>
      <c r="TIN47" s="3" t="s">
        <v>198</v>
      </c>
      <c r="TIO47" s="2" t="s">
        <v>195</v>
      </c>
      <c r="TIP47" s="3" t="s">
        <v>196</v>
      </c>
      <c r="TIQ47" s="3" t="s">
        <v>180</v>
      </c>
      <c r="TIR47" s="3" t="s">
        <v>26</v>
      </c>
      <c r="TIS47" s="3" t="s">
        <v>197</v>
      </c>
      <c r="TIV47" s="3" t="s">
        <v>198</v>
      </c>
      <c r="TIW47" s="2" t="s">
        <v>195</v>
      </c>
      <c r="TIX47" s="3" t="s">
        <v>196</v>
      </c>
      <c r="TIY47" s="3" t="s">
        <v>180</v>
      </c>
      <c r="TIZ47" s="3" t="s">
        <v>26</v>
      </c>
      <c r="TJA47" s="3" t="s">
        <v>197</v>
      </c>
      <c r="TJD47" s="3" t="s">
        <v>198</v>
      </c>
      <c r="TJE47" s="2" t="s">
        <v>195</v>
      </c>
      <c r="TJF47" s="3" t="s">
        <v>196</v>
      </c>
      <c r="TJG47" s="3" t="s">
        <v>180</v>
      </c>
      <c r="TJH47" s="3" t="s">
        <v>26</v>
      </c>
      <c r="TJI47" s="3" t="s">
        <v>197</v>
      </c>
      <c r="TJL47" s="3" t="s">
        <v>198</v>
      </c>
      <c r="TJM47" s="2" t="s">
        <v>195</v>
      </c>
      <c r="TJN47" s="3" t="s">
        <v>196</v>
      </c>
      <c r="TJO47" s="3" t="s">
        <v>180</v>
      </c>
      <c r="TJP47" s="3" t="s">
        <v>26</v>
      </c>
      <c r="TJQ47" s="3" t="s">
        <v>197</v>
      </c>
      <c r="TJT47" s="3" t="s">
        <v>198</v>
      </c>
      <c r="TJU47" s="2" t="s">
        <v>195</v>
      </c>
      <c r="TJV47" s="3" t="s">
        <v>196</v>
      </c>
      <c r="TJW47" s="3" t="s">
        <v>180</v>
      </c>
      <c r="TJX47" s="3" t="s">
        <v>26</v>
      </c>
      <c r="TJY47" s="3" t="s">
        <v>197</v>
      </c>
      <c r="TKB47" s="3" t="s">
        <v>198</v>
      </c>
      <c r="TKC47" s="2" t="s">
        <v>195</v>
      </c>
      <c r="TKD47" s="3" t="s">
        <v>196</v>
      </c>
      <c r="TKE47" s="3" t="s">
        <v>180</v>
      </c>
      <c r="TKF47" s="3" t="s">
        <v>26</v>
      </c>
      <c r="TKG47" s="3" t="s">
        <v>197</v>
      </c>
      <c r="TKJ47" s="3" t="s">
        <v>198</v>
      </c>
      <c r="TKK47" s="2" t="s">
        <v>195</v>
      </c>
      <c r="TKL47" s="3" t="s">
        <v>196</v>
      </c>
      <c r="TKM47" s="3" t="s">
        <v>180</v>
      </c>
      <c r="TKN47" s="3" t="s">
        <v>26</v>
      </c>
      <c r="TKO47" s="3" t="s">
        <v>197</v>
      </c>
      <c r="TKR47" s="3" t="s">
        <v>198</v>
      </c>
      <c r="TKS47" s="2" t="s">
        <v>195</v>
      </c>
      <c r="TKT47" s="3" t="s">
        <v>196</v>
      </c>
      <c r="TKU47" s="3" t="s">
        <v>180</v>
      </c>
      <c r="TKV47" s="3" t="s">
        <v>26</v>
      </c>
      <c r="TKW47" s="3" t="s">
        <v>197</v>
      </c>
      <c r="TKZ47" s="3" t="s">
        <v>198</v>
      </c>
      <c r="TLA47" s="2" t="s">
        <v>195</v>
      </c>
      <c r="TLB47" s="3" t="s">
        <v>196</v>
      </c>
      <c r="TLC47" s="3" t="s">
        <v>180</v>
      </c>
      <c r="TLD47" s="3" t="s">
        <v>26</v>
      </c>
      <c r="TLE47" s="3" t="s">
        <v>197</v>
      </c>
      <c r="TLH47" s="3" t="s">
        <v>198</v>
      </c>
      <c r="TLI47" s="2" t="s">
        <v>195</v>
      </c>
      <c r="TLJ47" s="3" t="s">
        <v>196</v>
      </c>
      <c r="TLK47" s="3" t="s">
        <v>180</v>
      </c>
      <c r="TLL47" s="3" t="s">
        <v>26</v>
      </c>
      <c r="TLM47" s="3" t="s">
        <v>197</v>
      </c>
      <c r="TLP47" s="3" t="s">
        <v>198</v>
      </c>
      <c r="TLQ47" s="2" t="s">
        <v>195</v>
      </c>
      <c r="TLR47" s="3" t="s">
        <v>196</v>
      </c>
      <c r="TLS47" s="3" t="s">
        <v>180</v>
      </c>
      <c r="TLT47" s="3" t="s">
        <v>26</v>
      </c>
      <c r="TLU47" s="3" t="s">
        <v>197</v>
      </c>
      <c r="TLX47" s="3" t="s">
        <v>198</v>
      </c>
      <c r="TLY47" s="2" t="s">
        <v>195</v>
      </c>
      <c r="TLZ47" s="3" t="s">
        <v>196</v>
      </c>
      <c r="TMA47" s="3" t="s">
        <v>180</v>
      </c>
      <c r="TMB47" s="3" t="s">
        <v>26</v>
      </c>
      <c r="TMC47" s="3" t="s">
        <v>197</v>
      </c>
      <c r="TMF47" s="3" t="s">
        <v>198</v>
      </c>
      <c r="TMG47" s="2" t="s">
        <v>195</v>
      </c>
      <c r="TMH47" s="3" t="s">
        <v>196</v>
      </c>
      <c r="TMI47" s="3" t="s">
        <v>180</v>
      </c>
      <c r="TMJ47" s="3" t="s">
        <v>26</v>
      </c>
      <c r="TMK47" s="3" t="s">
        <v>197</v>
      </c>
      <c r="TMN47" s="3" t="s">
        <v>198</v>
      </c>
      <c r="TMO47" s="2" t="s">
        <v>195</v>
      </c>
      <c r="TMP47" s="3" t="s">
        <v>196</v>
      </c>
      <c r="TMQ47" s="3" t="s">
        <v>180</v>
      </c>
      <c r="TMR47" s="3" t="s">
        <v>26</v>
      </c>
      <c r="TMS47" s="3" t="s">
        <v>197</v>
      </c>
      <c r="TMV47" s="3" t="s">
        <v>198</v>
      </c>
      <c r="TMW47" s="2" t="s">
        <v>195</v>
      </c>
      <c r="TMX47" s="3" t="s">
        <v>196</v>
      </c>
      <c r="TMY47" s="3" t="s">
        <v>180</v>
      </c>
      <c r="TMZ47" s="3" t="s">
        <v>26</v>
      </c>
      <c r="TNA47" s="3" t="s">
        <v>197</v>
      </c>
      <c r="TND47" s="3" t="s">
        <v>198</v>
      </c>
      <c r="TNE47" s="2" t="s">
        <v>195</v>
      </c>
      <c r="TNF47" s="3" t="s">
        <v>196</v>
      </c>
      <c r="TNG47" s="3" t="s">
        <v>180</v>
      </c>
      <c r="TNH47" s="3" t="s">
        <v>26</v>
      </c>
      <c r="TNI47" s="3" t="s">
        <v>197</v>
      </c>
      <c r="TNL47" s="3" t="s">
        <v>198</v>
      </c>
      <c r="TNM47" s="2" t="s">
        <v>195</v>
      </c>
      <c r="TNN47" s="3" t="s">
        <v>196</v>
      </c>
      <c r="TNO47" s="3" t="s">
        <v>180</v>
      </c>
      <c r="TNP47" s="3" t="s">
        <v>26</v>
      </c>
      <c r="TNQ47" s="3" t="s">
        <v>197</v>
      </c>
      <c r="TNT47" s="3" t="s">
        <v>198</v>
      </c>
      <c r="TNU47" s="2" t="s">
        <v>195</v>
      </c>
      <c r="TNV47" s="3" t="s">
        <v>196</v>
      </c>
      <c r="TNW47" s="3" t="s">
        <v>180</v>
      </c>
      <c r="TNX47" s="3" t="s">
        <v>26</v>
      </c>
      <c r="TNY47" s="3" t="s">
        <v>197</v>
      </c>
      <c r="TOB47" s="3" t="s">
        <v>198</v>
      </c>
      <c r="TOC47" s="2" t="s">
        <v>195</v>
      </c>
      <c r="TOD47" s="3" t="s">
        <v>196</v>
      </c>
      <c r="TOE47" s="3" t="s">
        <v>180</v>
      </c>
      <c r="TOF47" s="3" t="s">
        <v>26</v>
      </c>
      <c r="TOG47" s="3" t="s">
        <v>197</v>
      </c>
      <c r="TOJ47" s="3" t="s">
        <v>198</v>
      </c>
      <c r="TOK47" s="2" t="s">
        <v>195</v>
      </c>
      <c r="TOL47" s="3" t="s">
        <v>196</v>
      </c>
      <c r="TOM47" s="3" t="s">
        <v>180</v>
      </c>
      <c r="TON47" s="3" t="s">
        <v>26</v>
      </c>
      <c r="TOO47" s="3" t="s">
        <v>197</v>
      </c>
      <c r="TOR47" s="3" t="s">
        <v>198</v>
      </c>
      <c r="TOS47" s="2" t="s">
        <v>195</v>
      </c>
      <c r="TOT47" s="3" t="s">
        <v>196</v>
      </c>
      <c r="TOU47" s="3" t="s">
        <v>180</v>
      </c>
      <c r="TOV47" s="3" t="s">
        <v>26</v>
      </c>
      <c r="TOW47" s="3" t="s">
        <v>197</v>
      </c>
      <c r="TOZ47" s="3" t="s">
        <v>198</v>
      </c>
      <c r="TPA47" s="2" t="s">
        <v>195</v>
      </c>
      <c r="TPB47" s="3" t="s">
        <v>196</v>
      </c>
      <c r="TPC47" s="3" t="s">
        <v>180</v>
      </c>
      <c r="TPD47" s="3" t="s">
        <v>26</v>
      </c>
      <c r="TPE47" s="3" t="s">
        <v>197</v>
      </c>
      <c r="TPH47" s="3" t="s">
        <v>198</v>
      </c>
      <c r="TPI47" s="2" t="s">
        <v>195</v>
      </c>
      <c r="TPJ47" s="3" t="s">
        <v>196</v>
      </c>
      <c r="TPK47" s="3" t="s">
        <v>180</v>
      </c>
      <c r="TPL47" s="3" t="s">
        <v>26</v>
      </c>
      <c r="TPM47" s="3" t="s">
        <v>197</v>
      </c>
      <c r="TPP47" s="3" t="s">
        <v>198</v>
      </c>
      <c r="TPQ47" s="2" t="s">
        <v>195</v>
      </c>
      <c r="TPR47" s="3" t="s">
        <v>196</v>
      </c>
      <c r="TPS47" s="3" t="s">
        <v>180</v>
      </c>
      <c r="TPT47" s="3" t="s">
        <v>26</v>
      </c>
      <c r="TPU47" s="3" t="s">
        <v>197</v>
      </c>
      <c r="TPX47" s="3" t="s">
        <v>198</v>
      </c>
      <c r="TPY47" s="2" t="s">
        <v>195</v>
      </c>
      <c r="TPZ47" s="3" t="s">
        <v>196</v>
      </c>
      <c r="TQA47" s="3" t="s">
        <v>180</v>
      </c>
      <c r="TQB47" s="3" t="s">
        <v>26</v>
      </c>
      <c r="TQC47" s="3" t="s">
        <v>197</v>
      </c>
      <c r="TQF47" s="3" t="s">
        <v>198</v>
      </c>
      <c r="TQG47" s="2" t="s">
        <v>195</v>
      </c>
      <c r="TQH47" s="3" t="s">
        <v>196</v>
      </c>
      <c r="TQI47" s="3" t="s">
        <v>180</v>
      </c>
      <c r="TQJ47" s="3" t="s">
        <v>26</v>
      </c>
      <c r="TQK47" s="3" t="s">
        <v>197</v>
      </c>
      <c r="TQN47" s="3" t="s">
        <v>198</v>
      </c>
      <c r="TQO47" s="2" t="s">
        <v>195</v>
      </c>
      <c r="TQP47" s="3" t="s">
        <v>196</v>
      </c>
      <c r="TQQ47" s="3" t="s">
        <v>180</v>
      </c>
      <c r="TQR47" s="3" t="s">
        <v>26</v>
      </c>
      <c r="TQS47" s="3" t="s">
        <v>197</v>
      </c>
      <c r="TQV47" s="3" t="s">
        <v>198</v>
      </c>
      <c r="TQW47" s="2" t="s">
        <v>195</v>
      </c>
      <c r="TQX47" s="3" t="s">
        <v>196</v>
      </c>
      <c r="TQY47" s="3" t="s">
        <v>180</v>
      </c>
      <c r="TQZ47" s="3" t="s">
        <v>26</v>
      </c>
      <c r="TRA47" s="3" t="s">
        <v>197</v>
      </c>
      <c r="TRD47" s="3" t="s">
        <v>198</v>
      </c>
      <c r="TRE47" s="2" t="s">
        <v>195</v>
      </c>
      <c r="TRF47" s="3" t="s">
        <v>196</v>
      </c>
      <c r="TRG47" s="3" t="s">
        <v>180</v>
      </c>
      <c r="TRH47" s="3" t="s">
        <v>26</v>
      </c>
      <c r="TRI47" s="3" t="s">
        <v>197</v>
      </c>
      <c r="TRL47" s="3" t="s">
        <v>198</v>
      </c>
      <c r="TRM47" s="2" t="s">
        <v>195</v>
      </c>
      <c r="TRN47" s="3" t="s">
        <v>196</v>
      </c>
      <c r="TRO47" s="3" t="s">
        <v>180</v>
      </c>
      <c r="TRP47" s="3" t="s">
        <v>26</v>
      </c>
      <c r="TRQ47" s="3" t="s">
        <v>197</v>
      </c>
      <c r="TRT47" s="3" t="s">
        <v>198</v>
      </c>
      <c r="TRU47" s="2" t="s">
        <v>195</v>
      </c>
      <c r="TRV47" s="3" t="s">
        <v>196</v>
      </c>
      <c r="TRW47" s="3" t="s">
        <v>180</v>
      </c>
      <c r="TRX47" s="3" t="s">
        <v>26</v>
      </c>
      <c r="TRY47" s="3" t="s">
        <v>197</v>
      </c>
      <c r="TSB47" s="3" t="s">
        <v>198</v>
      </c>
      <c r="TSC47" s="2" t="s">
        <v>195</v>
      </c>
      <c r="TSD47" s="3" t="s">
        <v>196</v>
      </c>
      <c r="TSE47" s="3" t="s">
        <v>180</v>
      </c>
      <c r="TSF47" s="3" t="s">
        <v>26</v>
      </c>
      <c r="TSG47" s="3" t="s">
        <v>197</v>
      </c>
      <c r="TSJ47" s="3" t="s">
        <v>198</v>
      </c>
      <c r="TSK47" s="2" t="s">
        <v>195</v>
      </c>
      <c r="TSL47" s="3" t="s">
        <v>196</v>
      </c>
      <c r="TSM47" s="3" t="s">
        <v>180</v>
      </c>
      <c r="TSN47" s="3" t="s">
        <v>26</v>
      </c>
      <c r="TSO47" s="3" t="s">
        <v>197</v>
      </c>
      <c r="TSR47" s="3" t="s">
        <v>198</v>
      </c>
      <c r="TSS47" s="2" t="s">
        <v>195</v>
      </c>
      <c r="TST47" s="3" t="s">
        <v>196</v>
      </c>
      <c r="TSU47" s="3" t="s">
        <v>180</v>
      </c>
      <c r="TSV47" s="3" t="s">
        <v>26</v>
      </c>
      <c r="TSW47" s="3" t="s">
        <v>197</v>
      </c>
      <c r="TSZ47" s="3" t="s">
        <v>198</v>
      </c>
      <c r="TTA47" s="2" t="s">
        <v>195</v>
      </c>
      <c r="TTB47" s="3" t="s">
        <v>196</v>
      </c>
      <c r="TTC47" s="3" t="s">
        <v>180</v>
      </c>
      <c r="TTD47" s="3" t="s">
        <v>26</v>
      </c>
      <c r="TTE47" s="3" t="s">
        <v>197</v>
      </c>
      <c r="TTH47" s="3" t="s">
        <v>198</v>
      </c>
      <c r="TTI47" s="2" t="s">
        <v>195</v>
      </c>
      <c r="TTJ47" s="3" t="s">
        <v>196</v>
      </c>
      <c r="TTK47" s="3" t="s">
        <v>180</v>
      </c>
      <c r="TTL47" s="3" t="s">
        <v>26</v>
      </c>
      <c r="TTM47" s="3" t="s">
        <v>197</v>
      </c>
      <c r="TTP47" s="3" t="s">
        <v>198</v>
      </c>
      <c r="TTQ47" s="2" t="s">
        <v>195</v>
      </c>
      <c r="TTR47" s="3" t="s">
        <v>196</v>
      </c>
      <c r="TTS47" s="3" t="s">
        <v>180</v>
      </c>
      <c r="TTT47" s="3" t="s">
        <v>26</v>
      </c>
      <c r="TTU47" s="3" t="s">
        <v>197</v>
      </c>
      <c r="TTX47" s="3" t="s">
        <v>198</v>
      </c>
      <c r="TTY47" s="2" t="s">
        <v>195</v>
      </c>
      <c r="TTZ47" s="3" t="s">
        <v>196</v>
      </c>
      <c r="TUA47" s="3" t="s">
        <v>180</v>
      </c>
      <c r="TUB47" s="3" t="s">
        <v>26</v>
      </c>
      <c r="TUC47" s="3" t="s">
        <v>197</v>
      </c>
      <c r="TUF47" s="3" t="s">
        <v>198</v>
      </c>
      <c r="TUG47" s="2" t="s">
        <v>195</v>
      </c>
      <c r="TUH47" s="3" t="s">
        <v>196</v>
      </c>
      <c r="TUI47" s="3" t="s">
        <v>180</v>
      </c>
      <c r="TUJ47" s="3" t="s">
        <v>26</v>
      </c>
      <c r="TUK47" s="3" t="s">
        <v>197</v>
      </c>
      <c r="TUN47" s="3" t="s">
        <v>198</v>
      </c>
      <c r="TUO47" s="2" t="s">
        <v>195</v>
      </c>
      <c r="TUP47" s="3" t="s">
        <v>196</v>
      </c>
      <c r="TUQ47" s="3" t="s">
        <v>180</v>
      </c>
      <c r="TUR47" s="3" t="s">
        <v>26</v>
      </c>
      <c r="TUS47" s="3" t="s">
        <v>197</v>
      </c>
      <c r="TUV47" s="3" t="s">
        <v>198</v>
      </c>
      <c r="TUW47" s="2" t="s">
        <v>195</v>
      </c>
      <c r="TUX47" s="3" t="s">
        <v>196</v>
      </c>
      <c r="TUY47" s="3" t="s">
        <v>180</v>
      </c>
      <c r="TUZ47" s="3" t="s">
        <v>26</v>
      </c>
      <c r="TVA47" s="3" t="s">
        <v>197</v>
      </c>
      <c r="TVD47" s="3" t="s">
        <v>198</v>
      </c>
      <c r="TVE47" s="2" t="s">
        <v>195</v>
      </c>
      <c r="TVF47" s="3" t="s">
        <v>196</v>
      </c>
      <c r="TVG47" s="3" t="s">
        <v>180</v>
      </c>
      <c r="TVH47" s="3" t="s">
        <v>26</v>
      </c>
      <c r="TVI47" s="3" t="s">
        <v>197</v>
      </c>
      <c r="TVL47" s="3" t="s">
        <v>198</v>
      </c>
      <c r="TVM47" s="2" t="s">
        <v>195</v>
      </c>
      <c r="TVN47" s="3" t="s">
        <v>196</v>
      </c>
      <c r="TVO47" s="3" t="s">
        <v>180</v>
      </c>
      <c r="TVP47" s="3" t="s">
        <v>26</v>
      </c>
      <c r="TVQ47" s="3" t="s">
        <v>197</v>
      </c>
      <c r="TVT47" s="3" t="s">
        <v>198</v>
      </c>
      <c r="TVU47" s="2" t="s">
        <v>195</v>
      </c>
      <c r="TVV47" s="3" t="s">
        <v>196</v>
      </c>
      <c r="TVW47" s="3" t="s">
        <v>180</v>
      </c>
      <c r="TVX47" s="3" t="s">
        <v>26</v>
      </c>
      <c r="TVY47" s="3" t="s">
        <v>197</v>
      </c>
      <c r="TWB47" s="3" t="s">
        <v>198</v>
      </c>
      <c r="TWC47" s="2" t="s">
        <v>195</v>
      </c>
      <c r="TWD47" s="3" t="s">
        <v>196</v>
      </c>
      <c r="TWE47" s="3" t="s">
        <v>180</v>
      </c>
      <c r="TWF47" s="3" t="s">
        <v>26</v>
      </c>
      <c r="TWG47" s="3" t="s">
        <v>197</v>
      </c>
      <c r="TWJ47" s="3" t="s">
        <v>198</v>
      </c>
      <c r="TWK47" s="2" t="s">
        <v>195</v>
      </c>
      <c r="TWL47" s="3" t="s">
        <v>196</v>
      </c>
      <c r="TWM47" s="3" t="s">
        <v>180</v>
      </c>
      <c r="TWN47" s="3" t="s">
        <v>26</v>
      </c>
      <c r="TWO47" s="3" t="s">
        <v>197</v>
      </c>
      <c r="TWR47" s="3" t="s">
        <v>198</v>
      </c>
      <c r="TWS47" s="2" t="s">
        <v>195</v>
      </c>
      <c r="TWT47" s="3" t="s">
        <v>196</v>
      </c>
      <c r="TWU47" s="3" t="s">
        <v>180</v>
      </c>
      <c r="TWV47" s="3" t="s">
        <v>26</v>
      </c>
      <c r="TWW47" s="3" t="s">
        <v>197</v>
      </c>
      <c r="TWZ47" s="3" t="s">
        <v>198</v>
      </c>
      <c r="TXA47" s="2" t="s">
        <v>195</v>
      </c>
      <c r="TXB47" s="3" t="s">
        <v>196</v>
      </c>
      <c r="TXC47" s="3" t="s">
        <v>180</v>
      </c>
      <c r="TXD47" s="3" t="s">
        <v>26</v>
      </c>
      <c r="TXE47" s="3" t="s">
        <v>197</v>
      </c>
      <c r="TXH47" s="3" t="s">
        <v>198</v>
      </c>
      <c r="TXI47" s="2" t="s">
        <v>195</v>
      </c>
      <c r="TXJ47" s="3" t="s">
        <v>196</v>
      </c>
      <c r="TXK47" s="3" t="s">
        <v>180</v>
      </c>
      <c r="TXL47" s="3" t="s">
        <v>26</v>
      </c>
      <c r="TXM47" s="3" t="s">
        <v>197</v>
      </c>
      <c r="TXP47" s="3" t="s">
        <v>198</v>
      </c>
      <c r="TXQ47" s="2" t="s">
        <v>195</v>
      </c>
      <c r="TXR47" s="3" t="s">
        <v>196</v>
      </c>
      <c r="TXS47" s="3" t="s">
        <v>180</v>
      </c>
      <c r="TXT47" s="3" t="s">
        <v>26</v>
      </c>
      <c r="TXU47" s="3" t="s">
        <v>197</v>
      </c>
      <c r="TXX47" s="3" t="s">
        <v>198</v>
      </c>
      <c r="TXY47" s="2" t="s">
        <v>195</v>
      </c>
      <c r="TXZ47" s="3" t="s">
        <v>196</v>
      </c>
      <c r="TYA47" s="3" t="s">
        <v>180</v>
      </c>
      <c r="TYB47" s="3" t="s">
        <v>26</v>
      </c>
      <c r="TYC47" s="3" t="s">
        <v>197</v>
      </c>
      <c r="TYF47" s="3" t="s">
        <v>198</v>
      </c>
      <c r="TYG47" s="2" t="s">
        <v>195</v>
      </c>
      <c r="TYH47" s="3" t="s">
        <v>196</v>
      </c>
      <c r="TYI47" s="3" t="s">
        <v>180</v>
      </c>
      <c r="TYJ47" s="3" t="s">
        <v>26</v>
      </c>
      <c r="TYK47" s="3" t="s">
        <v>197</v>
      </c>
      <c r="TYN47" s="3" t="s">
        <v>198</v>
      </c>
      <c r="TYO47" s="2" t="s">
        <v>195</v>
      </c>
      <c r="TYP47" s="3" t="s">
        <v>196</v>
      </c>
      <c r="TYQ47" s="3" t="s">
        <v>180</v>
      </c>
      <c r="TYR47" s="3" t="s">
        <v>26</v>
      </c>
      <c r="TYS47" s="3" t="s">
        <v>197</v>
      </c>
      <c r="TYV47" s="3" t="s">
        <v>198</v>
      </c>
      <c r="TYW47" s="2" t="s">
        <v>195</v>
      </c>
      <c r="TYX47" s="3" t="s">
        <v>196</v>
      </c>
      <c r="TYY47" s="3" t="s">
        <v>180</v>
      </c>
      <c r="TYZ47" s="3" t="s">
        <v>26</v>
      </c>
      <c r="TZA47" s="3" t="s">
        <v>197</v>
      </c>
      <c r="TZD47" s="3" t="s">
        <v>198</v>
      </c>
      <c r="TZE47" s="2" t="s">
        <v>195</v>
      </c>
      <c r="TZF47" s="3" t="s">
        <v>196</v>
      </c>
      <c r="TZG47" s="3" t="s">
        <v>180</v>
      </c>
      <c r="TZH47" s="3" t="s">
        <v>26</v>
      </c>
      <c r="TZI47" s="3" t="s">
        <v>197</v>
      </c>
      <c r="TZL47" s="3" t="s">
        <v>198</v>
      </c>
      <c r="TZM47" s="2" t="s">
        <v>195</v>
      </c>
      <c r="TZN47" s="3" t="s">
        <v>196</v>
      </c>
      <c r="TZO47" s="3" t="s">
        <v>180</v>
      </c>
      <c r="TZP47" s="3" t="s">
        <v>26</v>
      </c>
      <c r="TZQ47" s="3" t="s">
        <v>197</v>
      </c>
      <c r="TZT47" s="3" t="s">
        <v>198</v>
      </c>
      <c r="TZU47" s="2" t="s">
        <v>195</v>
      </c>
      <c r="TZV47" s="3" t="s">
        <v>196</v>
      </c>
      <c r="TZW47" s="3" t="s">
        <v>180</v>
      </c>
      <c r="TZX47" s="3" t="s">
        <v>26</v>
      </c>
      <c r="TZY47" s="3" t="s">
        <v>197</v>
      </c>
      <c r="UAB47" s="3" t="s">
        <v>198</v>
      </c>
      <c r="UAC47" s="2" t="s">
        <v>195</v>
      </c>
      <c r="UAD47" s="3" t="s">
        <v>196</v>
      </c>
      <c r="UAE47" s="3" t="s">
        <v>180</v>
      </c>
      <c r="UAF47" s="3" t="s">
        <v>26</v>
      </c>
      <c r="UAG47" s="3" t="s">
        <v>197</v>
      </c>
      <c r="UAJ47" s="3" t="s">
        <v>198</v>
      </c>
      <c r="UAK47" s="2" t="s">
        <v>195</v>
      </c>
      <c r="UAL47" s="3" t="s">
        <v>196</v>
      </c>
      <c r="UAM47" s="3" t="s">
        <v>180</v>
      </c>
      <c r="UAN47" s="3" t="s">
        <v>26</v>
      </c>
      <c r="UAO47" s="3" t="s">
        <v>197</v>
      </c>
      <c r="UAR47" s="3" t="s">
        <v>198</v>
      </c>
      <c r="UAS47" s="2" t="s">
        <v>195</v>
      </c>
      <c r="UAT47" s="3" t="s">
        <v>196</v>
      </c>
      <c r="UAU47" s="3" t="s">
        <v>180</v>
      </c>
      <c r="UAV47" s="3" t="s">
        <v>26</v>
      </c>
      <c r="UAW47" s="3" t="s">
        <v>197</v>
      </c>
      <c r="UAZ47" s="3" t="s">
        <v>198</v>
      </c>
      <c r="UBA47" s="2" t="s">
        <v>195</v>
      </c>
      <c r="UBB47" s="3" t="s">
        <v>196</v>
      </c>
      <c r="UBC47" s="3" t="s">
        <v>180</v>
      </c>
      <c r="UBD47" s="3" t="s">
        <v>26</v>
      </c>
      <c r="UBE47" s="3" t="s">
        <v>197</v>
      </c>
      <c r="UBH47" s="3" t="s">
        <v>198</v>
      </c>
      <c r="UBI47" s="2" t="s">
        <v>195</v>
      </c>
      <c r="UBJ47" s="3" t="s">
        <v>196</v>
      </c>
      <c r="UBK47" s="3" t="s">
        <v>180</v>
      </c>
      <c r="UBL47" s="3" t="s">
        <v>26</v>
      </c>
      <c r="UBM47" s="3" t="s">
        <v>197</v>
      </c>
      <c r="UBP47" s="3" t="s">
        <v>198</v>
      </c>
      <c r="UBQ47" s="2" t="s">
        <v>195</v>
      </c>
      <c r="UBR47" s="3" t="s">
        <v>196</v>
      </c>
      <c r="UBS47" s="3" t="s">
        <v>180</v>
      </c>
      <c r="UBT47" s="3" t="s">
        <v>26</v>
      </c>
      <c r="UBU47" s="3" t="s">
        <v>197</v>
      </c>
      <c r="UBX47" s="3" t="s">
        <v>198</v>
      </c>
      <c r="UBY47" s="2" t="s">
        <v>195</v>
      </c>
      <c r="UBZ47" s="3" t="s">
        <v>196</v>
      </c>
      <c r="UCA47" s="3" t="s">
        <v>180</v>
      </c>
      <c r="UCB47" s="3" t="s">
        <v>26</v>
      </c>
      <c r="UCC47" s="3" t="s">
        <v>197</v>
      </c>
      <c r="UCF47" s="3" t="s">
        <v>198</v>
      </c>
      <c r="UCG47" s="2" t="s">
        <v>195</v>
      </c>
      <c r="UCH47" s="3" t="s">
        <v>196</v>
      </c>
      <c r="UCI47" s="3" t="s">
        <v>180</v>
      </c>
      <c r="UCJ47" s="3" t="s">
        <v>26</v>
      </c>
      <c r="UCK47" s="3" t="s">
        <v>197</v>
      </c>
      <c r="UCN47" s="3" t="s">
        <v>198</v>
      </c>
      <c r="UCO47" s="2" t="s">
        <v>195</v>
      </c>
      <c r="UCP47" s="3" t="s">
        <v>196</v>
      </c>
      <c r="UCQ47" s="3" t="s">
        <v>180</v>
      </c>
      <c r="UCR47" s="3" t="s">
        <v>26</v>
      </c>
      <c r="UCS47" s="3" t="s">
        <v>197</v>
      </c>
      <c r="UCV47" s="3" t="s">
        <v>198</v>
      </c>
      <c r="UCW47" s="2" t="s">
        <v>195</v>
      </c>
      <c r="UCX47" s="3" t="s">
        <v>196</v>
      </c>
      <c r="UCY47" s="3" t="s">
        <v>180</v>
      </c>
      <c r="UCZ47" s="3" t="s">
        <v>26</v>
      </c>
      <c r="UDA47" s="3" t="s">
        <v>197</v>
      </c>
      <c r="UDD47" s="3" t="s">
        <v>198</v>
      </c>
      <c r="UDE47" s="2" t="s">
        <v>195</v>
      </c>
      <c r="UDF47" s="3" t="s">
        <v>196</v>
      </c>
      <c r="UDG47" s="3" t="s">
        <v>180</v>
      </c>
      <c r="UDH47" s="3" t="s">
        <v>26</v>
      </c>
      <c r="UDI47" s="3" t="s">
        <v>197</v>
      </c>
      <c r="UDL47" s="3" t="s">
        <v>198</v>
      </c>
      <c r="UDM47" s="2" t="s">
        <v>195</v>
      </c>
      <c r="UDN47" s="3" t="s">
        <v>196</v>
      </c>
      <c r="UDO47" s="3" t="s">
        <v>180</v>
      </c>
      <c r="UDP47" s="3" t="s">
        <v>26</v>
      </c>
      <c r="UDQ47" s="3" t="s">
        <v>197</v>
      </c>
      <c r="UDT47" s="3" t="s">
        <v>198</v>
      </c>
      <c r="UDU47" s="2" t="s">
        <v>195</v>
      </c>
      <c r="UDV47" s="3" t="s">
        <v>196</v>
      </c>
      <c r="UDW47" s="3" t="s">
        <v>180</v>
      </c>
      <c r="UDX47" s="3" t="s">
        <v>26</v>
      </c>
      <c r="UDY47" s="3" t="s">
        <v>197</v>
      </c>
      <c r="UEB47" s="3" t="s">
        <v>198</v>
      </c>
      <c r="UEC47" s="2" t="s">
        <v>195</v>
      </c>
      <c r="UED47" s="3" t="s">
        <v>196</v>
      </c>
      <c r="UEE47" s="3" t="s">
        <v>180</v>
      </c>
      <c r="UEF47" s="3" t="s">
        <v>26</v>
      </c>
      <c r="UEG47" s="3" t="s">
        <v>197</v>
      </c>
      <c r="UEJ47" s="3" t="s">
        <v>198</v>
      </c>
      <c r="UEK47" s="2" t="s">
        <v>195</v>
      </c>
      <c r="UEL47" s="3" t="s">
        <v>196</v>
      </c>
      <c r="UEM47" s="3" t="s">
        <v>180</v>
      </c>
      <c r="UEN47" s="3" t="s">
        <v>26</v>
      </c>
      <c r="UEO47" s="3" t="s">
        <v>197</v>
      </c>
      <c r="UER47" s="3" t="s">
        <v>198</v>
      </c>
      <c r="UES47" s="2" t="s">
        <v>195</v>
      </c>
      <c r="UET47" s="3" t="s">
        <v>196</v>
      </c>
      <c r="UEU47" s="3" t="s">
        <v>180</v>
      </c>
      <c r="UEV47" s="3" t="s">
        <v>26</v>
      </c>
      <c r="UEW47" s="3" t="s">
        <v>197</v>
      </c>
      <c r="UEZ47" s="3" t="s">
        <v>198</v>
      </c>
      <c r="UFA47" s="2" t="s">
        <v>195</v>
      </c>
      <c r="UFB47" s="3" t="s">
        <v>196</v>
      </c>
      <c r="UFC47" s="3" t="s">
        <v>180</v>
      </c>
      <c r="UFD47" s="3" t="s">
        <v>26</v>
      </c>
      <c r="UFE47" s="3" t="s">
        <v>197</v>
      </c>
      <c r="UFH47" s="3" t="s">
        <v>198</v>
      </c>
      <c r="UFI47" s="2" t="s">
        <v>195</v>
      </c>
      <c r="UFJ47" s="3" t="s">
        <v>196</v>
      </c>
      <c r="UFK47" s="3" t="s">
        <v>180</v>
      </c>
      <c r="UFL47" s="3" t="s">
        <v>26</v>
      </c>
      <c r="UFM47" s="3" t="s">
        <v>197</v>
      </c>
      <c r="UFP47" s="3" t="s">
        <v>198</v>
      </c>
      <c r="UFQ47" s="2" t="s">
        <v>195</v>
      </c>
      <c r="UFR47" s="3" t="s">
        <v>196</v>
      </c>
      <c r="UFS47" s="3" t="s">
        <v>180</v>
      </c>
      <c r="UFT47" s="3" t="s">
        <v>26</v>
      </c>
      <c r="UFU47" s="3" t="s">
        <v>197</v>
      </c>
      <c r="UFX47" s="3" t="s">
        <v>198</v>
      </c>
      <c r="UFY47" s="2" t="s">
        <v>195</v>
      </c>
      <c r="UFZ47" s="3" t="s">
        <v>196</v>
      </c>
      <c r="UGA47" s="3" t="s">
        <v>180</v>
      </c>
      <c r="UGB47" s="3" t="s">
        <v>26</v>
      </c>
      <c r="UGC47" s="3" t="s">
        <v>197</v>
      </c>
      <c r="UGF47" s="3" t="s">
        <v>198</v>
      </c>
      <c r="UGG47" s="2" t="s">
        <v>195</v>
      </c>
      <c r="UGH47" s="3" t="s">
        <v>196</v>
      </c>
      <c r="UGI47" s="3" t="s">
        <v>180</v>
      </c>
      <c r="UGJ47" s="3" t="s">
        <v>26</v>
      </c>
      <c r="UGK47" s="3" t="s">
        <v>197</v>
      </c>
      <c r="UGN47" s="3" t="s">
        <v>198</v>
      </c>
      <c r="UGO47" s="2" t="s">
        <v>195</v>
      </c>
      <c r="UGP47" s="3" t="s">
        <v>196</v>
      </c>
      <c r="UGQ47" s="3" t="s">
        <v>180</v>
      </c>
      <c r="UGR47" s="3" t="s">
        <v>26</v>
      </c>
      <c r="UGS47" s="3" t="s">
        <v>197</v>
      </c>
      <c r="UGV47" s="3" t="s">
        <v>198</v>
      </c>
      <c r="UGW47" s="2" t="s">
        <v>195</v>
      </c>
      <c r="UGX47" s="3" t="s">
        <v>196</v>
      </c>
      <c r="UGY47" s="3" t="s">
        <v>180</v>
      </c>
      <c r="UGZ47" s="3" t="s">
        <v>26</v>
      </c>
      <c r="UHA47" s="3" t="s">
        <v>197</v>
      </c>
      <c r="UHD47" s="3" t="s">
        <v>198</v>
      </c>
      <c r="UHE47" s="2" t="s">
        <v>195</v>
      </c>
      <c r="UHF47" s="3" t="s">
        <v>196</v>
      </c>
      <c r="UHG47" s="3" t="s">
        <v>180</v>
      </c>
      <c r="UHH47" s="3" t="s">
        <v>26</v>
      </c>
      <c r="UHI47" s="3" t="s">
        <v>197</v>
      </c>
      <c r="UHL47" s="3" t="s">
        <v>198</v>
      </c>
      <c r="UHM47" s="2" t="s">
        <v>195</v>
      </c>
      <c r="UHN47" s="3" t="s">
        <v>196</v>
      </c>
      <c r="UHO47" s="3" t="s">
        <v>180</v>
      </c>
      <c r="UHP47" s="3" t="s">
        <v>26</v>
      </c>
      <c r="UHQ47" s="3" t="s">
        <v>197</v>
      </c>
      <c r="UHT47" s="3" t="s">
        <v>198</v>
      </c>
      <c r="UHU47" s="2" t="s">
        <v>195</v>
      </c>
      <c r="UHV47" s="3" t="s">
        <v>196</v>
      </c>
      <c r="UHW47" s="3" t="s">
        <v>180</v>
      </c>
      <c r="UHX47" s="3" t="s">
        <v>26</v>
      </c>
      <c r="UHY47" s="3" t="s">
        <v>197</v>
      </c>
      <c r="UIB47" s="3" t="s">
        <v>198</v>
      </c>
      <c r="UIC47" s="2" t="s">
        <v>195</v>
      </c>
      <c r="UID47" s="3" t="s">
        <v>196</v>
      </c>
      <c r="UIE47" s="3" t="s">
        <v>180</v>
      </c>
      <c r="UIF47" s="3" t="s">
        <v>26</v>
      </c>
      <c r="UIG47" s="3" t="s">
        <v>197</v>
      </c>
      <c r="UIJ47" s="3" t="s">
        <v>198</v>
      </c>
      <c r="UIK47" s="2" t="s">
        <v>195</v>
      </c>
      <c r="UIL47" s="3" t="s">
        <v>196</v>
      </c>
      <c r="UIM47" s="3" t="s">
        <v>180</v>
      </c>
      <c r="UIN47" s="3" t="s">
        <v>26</v>
      </c>
      <c r="UIO47" s="3" t="s">
        <v>197</v>
      </c>
      <c r="UIR47" s="3" t="s">
        <v>198</v>
      </c>
      <c r="UIS47" s="2" t="s">
        <v>195</v>
      </c>
      <c r="UIT47" s="3" t="s">
        <v>196</v>
      </c>
      <c r="UIU47" s="3" t="s">
        <v>180</v>
      </c>
      <c r="UIV47" s="3" t="s">
        <v>26</v>
      </c>
      <c r="UIW47" s="3" t="s">
        <v>197</v>
      </c>
      <c r="UIZ47" s="3" t="s">
        <v>198</v>
      </c>
      <c r="UJA47" s="2" t="s">
        <v>195</v>
      </c>
      <c r="UJB47" s="3" t="s">
        <v>196</v>
      </c>
      <c r="UJC47" s="3" t="s">
        <v>180</v>
      </c>
      <c r="UJD47" s="3" t="s">
        <v>26</v>
      </c>
      <c r="UJE47" s="3" t="s">
        <v>197</v>
      </c>
      <c r="UJH47" s="3" t="s">
        <v>198</v>
      </c>
      <c r="UJI47" s="2" t="s">
        <v>195</v>
      </c>
      <c r="UJJ47" s="3" t="s">
        <v>196</v>
      </c>
      <c r="UJK47" s="3" t="s">
        <v>180</v>
      </c>
      <c r="UJL47" s="3" t="s">
        <v>26</v>
      </c>
      <c r="UJM47" s="3" t="s">
        <v>197</v>
      </c>
      <c r="UJP47" s="3" t="s">
        <v>198</v>
      </c>
      <c r="UJQ47" s="2" t="s">
        <v>195</v>
      </c>
      <c r="UJR47" s="3" t="s">
        <v>196</v>
      </c>
      <c r="UJS47" s="3" t="s">
        <v>180</v>
      </c>
      <c r="UJT47" s="3" t="s">
        <v>26</v>
      </c>
      <c r="UJU47" s="3" t="s">
        <v>197</v>
      </c>
      <c r="UJX47" s="3" t="s">
        <v>198</v>
      </c>
      <c r="UJY47" s="2" t="s">
        <v>195</v>
      </c>
      <c r="UJZ47" s="3" t="s">
        <v>196</v>
      </c>
      <c r="UKA47" s="3" t="s">
        <v>180</v>
      </c>
      <c r="UKB47" s="3" t="s">
        <v>26</v>
      </c>
      <c r="UKC47" s="3" t="s">
        <v>197</v>
      </c>
      <c r="UKF47" s="3" t="s">
        <v>198</v>
      </c>
      <c r="UKG47" s="2" t="s">
        <v>195</v>
      </c>
      <c r="UKH47" s="3" t="s">
        <v>196</v>
      </c>
      <c r="UKI47" s="3" t="s">
        <v>180</v>
      </c>
      <c r="UKJ47" s="3" t="s">
        <v>26</v>
      </c>
      <c r="UKK47" s="3" t="s">
        <v>197</v>
      </c>
      <c r="UKN47" s="3" t="s">
        <v>198</v>
      </c>
      <c r="UKO47" s="2" t="s">
        <v>195</v>
      </c>
      <c r="UKP47" s="3" t="s">
        <v>196</v>
      </c>
      <c r="UKQ47" s="3" t="s">
        <v>180</v>
      </c>
      <c r="UKR47" s="3" t="s">
        <v>26</v>
      </c>
      <c r="UKS47" s="3" t="s">
        <v>197</v>
      </c>
      <c r="UKV47" s="3" t="s">
        <v>198</v>
      </c>
      <c r="UKW47" s="2" t="s">
        <v>195</v>
      </c>
      <c r="UKX47" s="3" t="s">
        <v>196</v>
      </c>
      <c r="UKY47" s="3" t="s">
        <v>180</v>
      </c>
      <c r="UKZ47" s="3" t="s">
        <v>26</v>
      </c>
      <c r="ULA47" s="3" t="s">
        <v>197</v>
      </c>
      <c r="ULD47" s="3" t="s">
        <v>198</v>
      </c>
      <c r="ULE47" s="2" t="s">
        <v>195</v>
      </c>
      <c r="ULF47" s="3" t="s">
        <v>196</v>
      </c>
      <c r="ULG47" s="3" t="s">
        <v>180</v>
      </c>
      <c r="ULH47" s="3" t="s">
        <v>26</v>
      </c>
      <c r="ULI47" s="3" t="s">
        <v>197</v>
      </c>
      <c r="ULL47" s="3" t="s">
        <v>198</v>
      </c>
      <c r="ULM47" s="2" t="s">
        <v>195</v>
      </c>
      <c r="ULN47" s="3" t="s">
        <v>196</v>
      </c>
      <c r="ULO47" s="3" t="s">
        <v>180</v>
      </c>
      <c r="ULP47" s="3" t="s">
        <v>26</v>
      </c>
      <c r="ULQ47" s="3" t="s">
        <v>197</v>
      </c>
      <c r="ULT47" s="3" t="s">
        <v>198</v>
      </c>
      <c r="ULU47" s="2" t="s">
        <v>195</v>
      </c>
      <c r="ULV47" s="3" t="s">
        <v>196</v>
      </c>
      <c r="ULW47" s="3" t="s">
        <v>180</v>
      </c>
      <c r="ULX47" s="3" t="s">
        <v>26</v>
      </c>
      <c r="ULY47" s="3" t="s">
        <v>197</v>
      </c>
      <c r="UMB47" s="3" t="s">
        <v>198</v>
      </c>
      <c r="UMC47" s="2" t="s">
        <v>195</v>
      </c>
      <c r="UMD47" s="3" t="s">
        <v>196</v>
      </c>
      <c r="UME47" s="3" t="s">
        <v>180</v>
      </c>
      <c r="UMF47" s="3" t="s">
        <v>26</v>
      </c>
      <c r="UMG47" s="3" t="s">
        <v>197</v>
      </c>
      <c r="UMJ47" s="3" t="s">
        <v>198</v>
      </c>
      <c r="UMK47" s="2" t="s">
        <v>195</v>
      </c>
      <c r="UML47" s="3" t="s">
        <v>196</v>
      </c>
      <c r="UMM47" s="3" t="s">
        <v>180</v>
      </c>
      <c r="UMN47" s="3" t="s">
        <v>26</v>
      </c>
      <c r="UMO47" s="3" t="s">
        <v>197</v>
      </c>
      <c r="UMR47" s="3" t="s">
        <v>198</v>
      </c>
      <c r="UMS47" s="2" t="s">
        <v>195</v>
      </c>
      <c r="UMT47" s="3" t="s">
        <v>196</v>
      </c>
      <c r="UMU47" s="3" t="s">
        <v>180</v>
      </c>
      <c r="UMV47" s="3" t="s">
        <v>26</v>
      </c>
      <c r="UMW47" s="3" t="s">
        <v>197</v>
      </c>
      <c r="UMZ47" s="3" t="s">
        <v>198</v>
      </c>
      <c r="UNA47" s="2" t="s">
        <v>195</v>
      </c>
      <c r="UNB47" s="3" t="s">
        <v>196</v>
      </c>
      <c r="UNC47" s="3" t="s">
        <v>180</v>
      </c>
      <c r="UND47" s="3" t="s">
        <v>26</v>
      </c>
      <c r="UNE47" s="3" t="s">
        <v>197</v>
      </c>
      <c r="UNH47" s="3" t="s">
        <v>198</v>
      </c>
      <c r="UNI47" s="2" t="s">
        <v>195</v>
      </c>
      <c r="UNJ47" s="3" t="s">
        <v>196</v>
      </c>
      <c r="UNK47" s="3" t="s">
        <v>180</v>
      </c>
      <c r="UNL47" s="3" t="s">
        <v>26</v>
      </c>
      <c r="UNM47" s="3" t="s">
        <v>197</v>
      </c>
      <c r="UNP47" s="3" t="s">
        <v>198</v>
      </c>
      <c r="UNQ47" s="2" t="s">
        <v>195</v>
      </c>
      <c r="UNR47" s="3" t="s">
        <v>196</v>
      </c>
      <c r="UNS47" s="3" t="s">
        <v>180</v>
      </c>
      <c r="UNT47" s="3" t="s">
        <v>26</v>
      </c>
      <c r="UNU47" s="3" t="s">
        <v>197</v>
      </c>
      <c r="UNX47" s="3" t="s">
        <v>198</v>
      </c>
      <c r="UNY47" s="2" t="s">
        <v>195</v>
      </c>
      <c r="UNZ47" s="3" t="s">
        <v>196</v>
      </c>
      <c r="UOA47" s="3" t="s">
        <v>180</v>
      </c>
      <c r="UOB47" s="3" t="s">
        <v>26</v>
      </c>
      <c r="UOC47" s="3" t="s">
        <v>197</v>
      </c>
      <c r="UOF47" s="3" t="s">
        <v>198</v>
      </c>
      <c r="UOG47" s="2" t="s">
        <v>195</v>
      </c>
      <c r="UOH47" s="3" t="s">
        <v>196</v>
      </c>
      <c r="UOI47" s="3" t="s">
        <v>180</v>
      </c>
      <c r="UOJ47" s="3" t="s">
        <v>26</v>
      </c>
      <c r="UOK47" s="3" t="s">
        <v>197</v>
      </c>
      <c r="UON47" s="3" t="s">
        <v>198</v>
      </c>
      <c r="UOO47" s="2" t="s">
        <v>195</v>
      </c>
      <c r="UOP47" s="3" t="s">
        <v>196</v>
      </c>
      <c r="UOQ47" s="3" t="s">
        <v>180</v>
      </c>
      <c r="UOR47" s="3" t="s">
        <v>26</v>
      </c>
      <c r="UOS47" s="3" t="s">
        <v>197</v>
      </c>
      <c r="UOV47" s="3" t="s">
        <v>198</v>
      </c>
      <c r="UOW47" s="2" t="s">
        <v>195</v>
      </c>
      <c r="UOX47" s="3" t="s">
        <v>196</v>
      </c>
      <c r="UOY47" s="3" t="s">
        <v>180</v>
      </c>
      <c r="UOZ47" s="3" t="s">
        <v>26</v>
      </c>
      <c r="UPA47" s="3" t="s">
        <v>197</v>
      </c>
      <c r="UPD47" s="3" t="s">
        <v>198</v>
      </c>
      <c r="UPE47" s="2" t="s">
        <v>195</v>
      </c>
      <c r="UPF47" s="3" t="s">
        <v>196</v>
      </c>
      <c r="UPG47" s="3" t="s">
        <v>180</v>
      </c>
      <c r="UPH47" s="3" t="s">
        <v>26</v>
      </c>
      <c r="UPI47" s="3" t="s">
        <v>197</v>
      </c>
      <c r="UPL47" s="3" t="s">
        <v>198</v>
      </c>
      <c r="UPM47" s="2" t="s">
        <v>195</v>
      </c>
      <c r="UPN47" s="3" t="s">
        <v>196</v>
      </c>
      <c r="UPO47" s="3" t="s">
        <v>180</v>
      </c>
      <c r="UPP47" s="3" t="s">
        <v>26</v>
      </c>
      <c r="UPQ47" s="3" t="s">
        <v>197</v>
      </c>
      <c r="UPT47" s="3" t="s">
        <v>198</v>
      </c>
      <c r="UPU47" s="2" t="s">
        <v>195</v>
      </c>
      <c r="UPV47" s="3" t="s">
        <v>196</v>
      </c>
      <c r="UPW47" s="3" t="s">
        <v>180</v>
      </c>
      <c r="UPX47" s="3" t="s">
        <v>26</v>
      </c>
      <c r="UPY47" s="3" t="s">
        <v>197</v>
      </c>
      <c r="UQB47" s="3" t="s">
        <v>198</v>
      </c>
      <c r="UQC47" s="2" t="s">
        <v>195</v>
      </c>
      <c r="UQD47" s="3" t="s">
        <v>196</v>
      </c>
      <c r="UQE47" s="3" t="s">
        <v>180</v>
      </c>
      <c r="UQF47" s="3" t="s">
        <v>26</v>
      </c>
      <c r="UQG47" s="3" t="s">
        <v>197</v>
      </c>
      <c r="UQJ47" s="3" t="s">
        <v>198</v>
      </c>
      <c r="UQK47" s="2" t="s">
        <v>195</v>
      </c>
      <c r="UQL47" s="3" t="s">
        <v>196</v>
      </c>
      <c r="UQM47" s="3" t="s">
        <v>180</v>
      </c>
      <c r="UQN47" s="3" t="s">
        <v>26</v>
      </c>
      <c r="UQO47" s="3" t="s">
        <v>197</v>
      </c>
      <c r="UQR47" s="3" t="s">
        <v>198</v>
      </c>
      <c r="UQS47" s="2" t="s">
        <v>195</v>
      </c>
      <c r="UQT47" s="3" t="s">
        <v>196</v>
      </c>
      <c r="UQU47" s="3" t="s">
        <v>180</v>
      </c>
      <c r="UQV47" s="3" t="s">
        <v>26</v>
      </c>
      <c r="UQW47" s="3" t="s">
        <v>197</v>
      </c>
      <c r="UQZ47" s="3" t="s">
        <v>198</v>
      </c>
      <c r="URA47" s="2" t="s">
        <v>195</v>
      </c>
      <c r="URB47" s="3" t="s">
        <v>196</v>
      </c>
      <c r="URC47" s="3" t="s">
        <v>180</v>
      </c>
      <c r="URD47" s="3" t="s">
        <v>26</v>
      </c>
      <c r="URE47" s="3" t="s">
        <v>197</v>
      </c>
      <c r="URH47" s="3" t="s">
        <v>198</v>
      </c>
      <c r="URI47" s="2" t="s">
        <v>195</v>
      </c>
      <c r="URJ47" s="3" t="s">
        <v>196</v>
      </c>
      <c r="URK47" s="3" t="s">
        <v>180</v>
      </c>
      <c r="URL47" s="3" t="s">
        <v>26</v>
      </c>
      <c r="URM47" s="3" t="s">
        <v>197</v>
      </c>
      <c r="URP47" s="3" t="s">
        <v>198</v>
      </c>
      <c r="URQ47" s="2" t="s">
        <v>195</v>
      </c>
      <c r="URR47" s="3" t="s">
        <v>196</v>
      </c>
      <c r="URS47" s="3" t="s">
        <v>180</v>
      </c>
      <c r="URT47" s="3" t="s">
        <v>26</v>
      </c>
      <c r="URU47" s="3" t="s">
        <v>197</v>
      </c>
      <c r="URX47" s="3" t="s">
        <v>198</v>
      </c>
      <c r="URY47" s="2" t="s">
        <v>195</v>
      </c>
      <c r="URZ47" s="3" t="s">
        <v>196</v>
      </c>
      <c r="USA47" s="3" t="s">
        <v>180</v>
      </c>
      <c r="USB47" s="3" t="s">
        <v>26</v>
      </c>
      <c r="USC47" s="3" t="s">
        <v>197</v>
      </c>
      <c r="USF47" s="3" t="s">
        <v>198</v>
      </c>
      <c r="USG47" s="2" t="s">
        <v>195</v>
      </c>
      <c r="USH47" s="3" t="s">
        <v>196</v>
      </c>
      <c r="USI47" s="3" t="s">
        <v>180</v>
      </c>
      <c r="USJ47" s="3" t="s">
        <v>26</v>
      </c>
      <c r="USK47" s="3" t="s">
        <v>197</v>
      </c>
      <c r="USN47" s="3" t="s">
        <v>198</v>
      </c>
      <c r="USO47" s="2" t="s">
        <v>195</v>
      </c>
      <c r="USP47" s="3" t="s">
        <v>196</v>
      </c>
      <c r="USQ47" s="3" t="s">
        <v>180</v>
      </c>
      <c r="USR47" s="3" t="s">
        <v>26</v>
      </c>
      <c r="USS47" s="3" t="s">
        <v>197</v>
      </c>
      <c r="USV47" s="3" t="s">
        <v>198</v>
      </c>
      <c r="USW47" s="2" t="s">
        <v>195</v>
      </c>
      <c r="USX47" s="3" t="s">
        <v>196</v>
      </c>
      <c r="USY47" s="3" t="s">
        <v>180</v>
      </c>
      <c r="USZ47" s="3" t="s">
        <v>26</v>
      </c>
      <c r="UTA47" s="3" t="s">
        <v>197</v>
      </c>
      <c r="UTD47" s="3" t="s">
        <v>198</v>
      </c>
      <c r="UTE47" s="2" t="s">
        <v>195</v>
      </c>
      <c r="UTF47" s="3" t="s">
        <v>196</v>
      </c>
      <c r="UTG47" s="3" t="s">
        <v>180</v>
      </c>
      <c r="UTH47" s="3" t="s">
        <v>26</v>
      </c>
      <c r="UTI47" s="3" t="s">
        <v>197</v>
      </c>
      <c r="UTL47" s="3" t="s">
        <v>198</v>
      </c>
      <c r="UTM47" s="2" t="s">
        <v>195</v>
      </c>
      <c r="UTN47" s="3" t="s">
        <v>196</v>
      </c>
      <c r="UTO47" s="3" t="s">
        <v>180</v>
      </c>
      <c r="UTP47" s="3" t="s">
        <v>26</v>
      </c>
      <c r="UTQ47" s="3" t="s">
        <v>197</v>
      </c>
      <c r="UTT47" s="3" t="s">
        <v>198</v>
      </c>
      <c r="UTU47" s="2" t="s">
        <v>195</v>
      </c>
      <c r="UTV47" s="3" t="s">
        <v>196</v>
      </c>
      <c r="UTW47" s="3" t="s">
        <v>180</v>
      </c>
      <c r="UTX47" s="3" t="s">
        <v>26</v>
      </c>
      <c r="UTY47" s="3" t="s">
        <v>197</v>
      </c>
      <c r="UUB47" s="3" t="s">
        <v>198</v>
      </c>
      <c r="UUC47" s="2" t="s">
        <v>195</v>
      </c>
      <c r="UUD47" s="3" t="s">
        <v>196</v>
      </c>
      <c r="UUE47" s="3" t="s">
        <v>180</v>
      </c>
      <c r="UUF47" s="3" t="s">
        <v>26</v>
      </c>
      <c r="UUG47" s="3" t="s">
        <v>197</v>
      </c>
      <c r="UUJ47" s="3" t="s">
        <v>198</v>
      </c>
      <c r="UUK47" s="2" t="s">
        <v>195</v>
      </c>
      <c r="UUL47" s="3" t="s">
        <v>196</v>
      </c>
      <c r="UUM47" s="3" t="s">
        <v>180</v>
      </c>
      <c r="UUN47" s="3" t="s">
        <v>26</v>
      </c>
      <c r="UUO47" s="3" t="s">
        <v>197</v>
      </c>
      <c r="UUR47" s="3" t="s">
        <v>198</v>
      </c>
      <c r="UUS47" s="2" t="s">
        <v>195</v>
      </c>
      <c r="UUT47" s="3" t="s">
        <v>196</v>
      </c>
      <c r="UUU47" s="3" t="s">
        <v>180</v>
      </c>
      <c r="UUV47" s="3" t="s">
        <v>26</v>
      </c>
      <c r="UUW47" s="3" t="s">
        <v>197</v>
      </c>
      <c r="UUZ47" s="3" t="s">
        <v>198</v>
      </c>
      <c r="UVA47" s="2" t="s">
        <v>195</v>
      </c>
      <c r="UVB47" s="3" t="s">
        <v>196</v>
      </c>
      <c r="UVC47" s="3" t="s">
        <v>180</v>
      </c>
      <c r="UVD47" s="3" t="s">
        <v>26</v>
      </c>
      <c r="UVE47" s="3" t="s">
        <v>197</v>
      </c>
      <c r="UVH47" s="3" t="s">
        <v>198</v>
      </c>
      <c r="UVI47" s="2" t="s">
        <v>195</v>
      </c>
      <c r="UVJ47" s="3" t="s">
        <v>196</v>
      </c>
      <c r="UVK47" s="3" t="s">
        <v>180</v>
      </c>
      <c r="UVL47" s="3" t="s">
        <v>26</v>
      </c>
      <c r="UVM47" s="3" t="s">
        <v>197</v>
      </c>
      <c r="UVP47" s="3" t="s">
        <v>198</v>
      </c>
      <c r="UVQ47" s="2" t="s">
        <v>195</v>
      </c>
      <c r="UVR47" s="3" t="s">
        <v>196</v>
      </c>
      <c r="UVS47" s="3" t="s">
        <v>180</v>
      </c>
      <c r="UVT47" s="3" t="s">
        <v>26</v>
      </c>
      <c r="UVU47" s="3" t="s">
        <v>197</v>
      </c>
      <c r="UVX47" s="3" t="s">
        <v>198</v>
      </c>
      <c r="UVY47" s="2" t="s">
        <v>195</v>
      </c>
      <c r="UVZ47" s="3" t="s">
        <v>196</v>
      </c>
      <c r="UWA47" s="3" t="s">
        <v>180</v>
      </c>
      <c r="UWB47" s="3" t="s">
        <v>26</v>
      </c>
      <c r="UWC47" s="3" t="s">
        <v>197</v>
      </c>
      <c r="UWF47" s="3" t="s">
        <v>198</v>
      </c>
      <c r="UWG47" s="2" t="s">
        <v>195</v>
      </c>
      <c r="UWH47" s="3" t="s">
        <v>196</v>
      </c>
      <c r="UWI47" s="3" t="s">
        <v>180</v>
      </c>
      <c r="UWJ47" s="3" t="s">
        <v>26</v>
      </c>
      <c r="UWK47" s="3" t="s">
        <v>197</v>
      </c>
      <c r="UWN47" s="3" t="s">
        <v>198</v>
      </c>
      <c r="UWO47" s="2" t="s">
        <v>195</v>
      </c>
      <c r="UWP47" s="3" t="s">
        <v>196</v>
      </c>
      <c r="UWQ47" s="3" t="s">
        <v>180</v>
      </c>
      <c r="UWR47" s="3" t="s">
        <v>26</v>
      </c>
      <c r="UWS47" s="3" t="s">
        <v>197</v>
      </c>
      <c r="UWV47" s="3" t="s">
        <v>198</v>
      </c>
      <c r="UWW47" s="2" t="s">
        <v>195</v>
      </c>
      <c r="UWX47" s="3" t="s">
        <v>196</v>
      </c>
      <c r="UWY47" s="3" t="s">
        <v>180</v>
      </c>
      <c r="UWZ47" s="3" t="s">
        <v>26</v>
      </c>
      <c r="UXA47" s="3" t="s">
        <v>197</v>
      </c>
      <c r="UXD47" s="3" t="s">
        <v>198</v>
      </c>
      <c r="UXE47" s="2" t="s">
        <v>195</v>
      </c>
      <c r="UXF47" s="3" t="s">
        <v>196</v>
      </c>
      <c r="UXG47" s="3" t="s">
        <v>180</v>
      </c>
      <c r="UXH47" s="3" t="s">
        <v>26</v>
      </c>
      <c r="UXI47" s="3" t="s">
        <v>197</v>
      </c>
      <c r="UXL47" s="3" t="s">
        <v>198</v>
      </c>
      <c r="UXM47" s="2" t="s">
        <v>195</v>
      </c>
      <c r="UXN47" s="3" t="s">
        <v>196</v>
      </c>
      <c r="UXO47" s="3" t="s">
        <v>180</v>
      </c>
      <c r="UXP47" s="3" t="s">
        <v>26</v>
      </c>
      <c r="UXQ47" s="3" t="s">
        <v>197</v>
      </c>
      <c r="UXT47" s="3" t="s">
        <v>198</v>
      </c>
      <c r="UXU47" s="2" t="s">
        <v>195</v>
      </c>
      <c r="UXV47" s="3" t="s">
        <v>196</v>
      </c>
      <c r="UXW47" s="3" t="s">
        <v>180</v>
      </c>
      <c r="UXX47" s="3" t="s">
        <v>26</v>
      </c>
      <c r="UXY47" s="3" t="s">
        <v>197</v>
      </c>
      <c r="UYB47" s="3" t="s">
        <v>198</v>
      </c>
      <c r="UYC47" s="2" t="s">
        <v>195</v>
      </c>
      <c r="UYD47" s="3" t="s">
        <v>196</v>
      </c>
      <c r="UYE47" s="3" t="s">
        <v>180</v>
      </c>
      <c r="UYF47" s="3" t="s">
        <v>26</v>
      </c>
      <c r="UYG47" s="3" t="s">
        <v>197</v>
      </c>
      <c r="UYJ47" s="3" t="s">
        <v>198</v>
      </c>
      <c r="UYK47" s="2" t="s">
        <v>195</v>
      </c>
      <c r="UYL47" s="3" t="s">
        <v>196</v>
      </c>
      <c r="UYM47" s="3" t="s">
        <v>180</v>
      </c>
      <c r="UYN47" s="3" t="s">
        <v>26</v>
      </c>
      <c r="UYO47" s="3" t="s">
        <v>197</v>
      </c>
      <c r="UYR47" s="3" t="s">
        <v>198</v>
      </c>
      <c r="UYS47" s="2" t="s">
        <v>195</v>
      </c>
      <c r="UYT47" s="3" t="s">
        <v>196</v>
      </c>
      <c r="UYU47" s="3" t="s">
        <v>180</v>
      </c>
      <c r="UYV47" s="3" t="s">
        <v>26</v>
      </c>
      <c r="UYW47" s="3" t="s">
        <v>197</v>
      </c>
      <c r="UYZ47" s="3" t="s">
        <v>198</v>
      </c>
      <c r="UZA47" s="2" t="s">
        <v>195</v>
      </c>
      <c r="UZB47" s="3" t="s">
        <v>196</v>
      </c>
      <c r="UZC47" s="3" t="s">
        <v>180</v>
      </c>
      <c r="UZD47" s="3" t="s">
        <v>26</v>
      </c>
      <c r="UZE47" s="3" t="s">
        <v>197</v>
      </c>
      <c r="UZH47" s="3" t="s">
        <v>198</v>
      </c>
      <c r="UZI47" s="2" t="s">
        <v>195</v>
      </c>
      <c r="UZJ47" s="3" t="s">
        <v>196</v>
      </c>
      <c r="UZK47" s="3" t="s">
        <v>180</v>
      </c>
      <c r="UZL47" s="3" t="s">
        <v>26</v>
      </c>
      <c r="UZM47" s="3" t="s">
        <v>197</v>
      </c>
      <c r="UZP47" s="3" t="s">
        <v>198</v>
      </c>
      <c r="UZQ47" s="2" t="s">
        <v>195</v>
      </c>
      <c r="UZR47" s="3" t="s">
        <v>196</v>
      </c>
      <c r="UZS47" s="3" t="s">
        <v>180</v>
      </c>
      <c r="UZT47" s="3" t="s">
        <v>26</v>
      </c>
      <c r="UZU47" s="3" t="s">
        <v>197</v>
      </c>
      <c r="UZX47" s="3" t="s">
        <v>198</v>
      </c>
      <c r="UZY47" s="2" t="s">
        <v>195</v>
      </c>
      <c r="UZZ47" s="3" t="s">
        <v>196</v>
      </c>
      <c r="VAA47" s="3" t="s">
        <v>180</v>
      </c>
      <c r="VAB47" s="3" t="s">
        <v>26</v>
      </c>
      <c r="VAC47" s="3" t="s">
        <v>197</v>
      </c>
      <c r="VAF47" s="3" t="s">
        <v>198</v>
      </c>
      <c r="VAG47" s="2" t="s">
        <v>195</v>
      </c>
      <c r="VAH47" s="3" t="s">
        <v>196</v>
      </c>
      <c r="VAI47" s="3" t="s">
        <v>180</v>
      </c>
      <c r="VAJ47" s="3" t="s">
        <v>26</v>
      </c>
      <c r="VAK47" s="3" t="s">
        <v>197</v>
      </c>
      <c r="VAN47" s="3" t="s">
        <v>198</v>
      </c>
      <c r="VAO47" s="2" t="s">
        <v>195</v>
      </c>
      <c r="VAP47" s="3" t="s">
        <v>196</v>
      </c>
      <c r="VAQ47" s="3" t="s">
        <v>180</v>
      </c>
      <c r="VAR47" s="3" t="s">
        <v>26</v>
      </c>
      <c r="VAS47" s="3" t="s">
        <v>197</v>
      </c>
      <c r="VAV47" s="3" t="s">
        <v>198</v>
      </c>
      <c r="VAW47" s="2" t="s">
        <v>195</v>
      </c>
      <c r="VAX47" s="3" t="s">
        <v>196</v>
      </c>
      <c r="VAY47" s="3" t="s">
        <v>180</v>
      </c>
      <c r="VAZ47" s="3" t="s">
        <v>26</v>
      </c>
      <c r="VBA47" s="3" t="s">
        <v>197</v>
      </c>
      <c r="VBD47" s="3" t="s">
        <v>198</v>
      </c>
      <c r="VBE47" s="2" t="s">
        <v>195</v>
      </c>
      <c r="VBF47" s="3" t="s">
        <v>196</v>
      </c>
      <c r="VBG47" s="3" t="s">
        <v>180</v>
      </c>
      <c r="VBH47" s="3" t="s">
        <v>26</v>
      </c>
      <c r="VBI47" s="3" t="s">
        <v>197</v>
      </c>
      <c r="VBL47" s="3" t="s">
        <v>198</v>
      </c>
      <c r="VBM47" s="2" t="s">
        <v>195</v>
      </c>
      <c r="VBN47" s="3" t="s">
        <v>196</v>
      </c>
      <c r="VBO47" s="3" t="s">
        <v>180</v>
      </c>
      <c r="VBP47" s="3" t="s">
        <v>26</v>
      </c>
      <c r="VBQ47" s="3" t="s">
        <v>197</v>
      </c>
      <c r="VBT47" s="3" t="s">
        <v>198</v>
      </c>
      <c r="VBU47" s="2" t="s">
        <v>195</v>
      </c>
      <c r="VBV47" s="3" t="s">
        <v>196</v>
      </c>
      <c r="VBW47" s="3" t="s">
        <v>180</v>
      </c>
      <c r="VBX47" s="3" t="s">
        <v>26</v>
      </c>
      <c r="VBY47" s="3" t="s">
        <v>197</v>
      </c>
      <c r="VCB47" s="3" t="s">
        <v>198</v>
      </c>
      <c r="VCC47" s="2" t="s">
        <v>195</v>
      </c>
      <c r="VCD47" s="3" t="s">
        <v>196</v>
      </c>
      <c r="VCE47" s="3" t="s">
        <v>180</v>
      </c>
      <c r="VCF47" s="3" t="s">
        <v>26</v>
      </c>
      <c r="VCG47" s="3" t="s">
        <v>197</v>
      </c>
      <c r="VCJ47" s="3" t="s">
        <v>198</v>
      </c>
      <c r="VCK47" s="2" t="s">
        <v>195</v>
      </c>
      <c r="VCL47" s="3" t="s">
        <v>196</v>
      </c>
      <c r="VCM47" s="3" t="s">
        <v>180</v>
      </c>
      <c r="VCN47" s="3" t="s">
        <v>26</v>
      </c>
      <c r="VCO47" s="3" t="s">
        <v>197</v>
      </c>
      <c r="VCR47" s="3" t="s">
        <v>198</v>
      </c>
      <c r="VCS47" s="2" t="s">
        <v>195</v>
      </c>
      <c r="VCT47" s="3" t="s">
        <v>196</v>
      </c>
      <c r="VCU47" s="3" t="s">
        <v>180</v>
      </c>
      <c r="VCV47" s="3" t="s">
        <v>26</v>
      </c>
      <c r="VCW47" s="3" t="s">
        <v>197</v>
      </c>
      <c r="VCZ47" s="3" t="s">
        <v>198</v>
      </c>
      <c r="VDA47" s="2" t="s">
        <v>195</v>
      </c>
      <c r="VDB47" s="3" t="s">
        <v>196</v>
      </c>
      <c r="VDC47" s="3" t="s">
        <v>180</v>
      </c>
      <c r="VDD47" s="3" t="s">
        <v>26</v>
      </c>
      <c r="VDE47" s="3" t="s">
        <v>197</v>
      </c>
      <c r="VDH47" s="3" t="s">
        <v>198</v>
      </c>
      <c r="VDI47" s="2" t="s">
        <v>195</v>
      </c>
      <c r="VDJ47" s="3" t="s">
        <v>196</v>
      </c>
      <c r="VDK47" s="3" t="s">
        <v>180</v>
      </c>
      <c r="VDL47" s="3" t="s">
        <v>26</v>
      </c>
      <c r="VDM47" s="3" t="s">
        <v>197</v>
      </c>
      <c r="VDP47" s="3" t="s">
        <v>198</v>
      </c>
      <c r="VDQ47" s="2" t="s">
        <v>195</v>
      </c>
      <c r="VDR47" s="3" t="s">
        <v>196</v>
      </c>
      <c r="VDS47" s="3" t="s">
        <v>180</v>
      </c>
      <c r="VDT47" s="3" t="s">
        <v>26</v>
      </c>
      <c r="VDU47" s="3" t="s">
        <v>197</v>
      </c>
      <c r="VDX47" s="3" t="s">
        <v>198</v>
      </c>
      <c r="VDY47" s="2" t="s">
        <v>195</v>
      </c>
      <c r="VDZ47" s="3" t="s">
        <v>196</v>
      </c>
      <c r="VEA47" s="3" t="s">
        <v>180</v>
      </c>
      <c r="VEB47" s="3" t="s">
        <v>26</v>
      </c>
      <c r="VEC47" s="3" t="s">
        <v>197</v>
      </c>
      <c r="VEF47" s="3" t="s">
        <v>198</v>
      </c>
      <c r="VEG47" s="2" t="s">
        <v>195</v>
      </c>
      <c r="VEH47" s="3" t="s">
        <v>196</v>
      </c>
      <c r="VEI47" s="3" t="s">
        <v>180</v>
      </c>
      <c r="VEJ47" s="3" t="s">
        <v>26</v>
      </c>
      <c r="VEK47" s="3" t="s">
        <v>197</v>
      </c>
      <c r="VEN47" s="3" t="s">
        <v>198</v>
      </c>
      <c r="VEO47" s="2" t="s">
        <v>195</v>
      </c>
      <c r="VEP47" s="3" t="s">
        <v>196</v>
      </c>
      <c r="VEQ47" s="3" t="s">
        <v>180</v>
      </c>
      <c r="VER47" s="3" t="s">
        <v>26</v>
      </c>
      <c r="VES47" s="3" t="s">
        <v>197</v>
      </c>
      <c r="VEV47" s="3" t="s">
        <v>198</v>
      </c>
      <c r="VEW47" s="2" t="s">
        <v>195</v>
      </c>
      <c r="VEX47" s="3" t="s">
        <v>196</v>
      </c>
      <c r="VEY47" s="3" t="s">
        <v>180</v>
      </c>
      <c r="VEZ47" s="3" t="s">
        <v>26</v>
      </c>
      <c r="VFA47" s="3" t="s">
        <v>197</v>
      </c>
      <c r="VFD47" s="3" t="s">
        <v>198</v>
      </c>
      <c r="VFE47" s="2" t="s">
        <v>195</v>
      </c>
      <c r="VFF47" s="3" t="s">
        <v>196</v>
      </c>
      <c r="VFG47" s="3" t="s">
        <v>180</v>
      </c>
      <c r="VFH47" s="3" t="s">
        <v>26</v>
      </c>
      <c r="VFI47" s="3" t="s">
        <v>197</v>
      </c>
      <c r="VFL47" s="3" t="s">
        <v>198</v>
      </c>
      <c r="VFM47" s="2" t="s">
        <v>195</v>
      </c>
      <c r="VFN47" s="3" t="s">
        <v>196</v>
      </c>
      <c r="VFO47" s="3" t="s">
        <v>180</v>
      </c>
      <c r="VFP47" s="3" t="s">
        <v>26</v>
      </c>
      <c r="VFQ47" s="3" t="s">
        <v>197</v>
      </c>
      <c r="VFT47" s="3" t="s">
        <v>198</v>
      </c>
      <c r="VFU47" s="2" t="s">
        <v>195</v>
      </c>
      <c r="VFV47" s="3" t="s">
        <v>196</v>
      </c>
      <c r="VFW47" s="3" t="s">
        <v>180</v>
      </c>
      <c r="VFX47" s="3" t="s">
        <v>26</v>
      </c>
      <c r="VFY47" s="3" t="s">
        <v>197</v>
      </c>
      <c r="VGB47" s="3" t="s">
        <v>198</v>
      </c>
      <c r="VGC47" s="2" t="s">
        <v>195</v>
      </c>
      <c r="VGD47" s="3" t="s">
        <v>196</v>
      </c>
      <c r="VGE47" s="3" t="s">
        <v>180</v>
      </c>
      <c r="VGF47" s="3" t="s">
        <v>26</v>
      </c>
      <c r="VGG47" s="3" t="s">
        <v>197</v>
      </c>
      <c r="VGJ47" s="3" t="s">
        <v>198</v>
      </c>
      <c r="VGK47" s="2" t="s">
        <v>195</v>
      </c>
      <c r="VGL47" s="3" t="s">
        <v>196</v>
      </c>
      <c r="VGM47" s="3" t="s">
        <v>180</v>
      </c>
      <c r="VGN47" s="3" t="s">
        <v>26</v>
      </c>
      <c r="VGO47" s="3" t="s">
        <v>197</v>
      </c>
      <c r="VGR47" s="3" t="s">
        <v>198</v>
      </c>
      <c r="VGS47" s="2" t="s">
        <v>195</v>
      </c>
      <c r="VGT47" s="3" t="s">
        <v>196</v>
      </c>
      <c r="VGU47" s="3" t="s">
        <v>180</v>
      </c>
      <c r="VGV47" s="3" t="s">
        <v>26</v>
      </c>
      <c r="VGW47" s="3" t="s">
        <v>197</v>
      </c>
      <c r="VGZ47" s="3" t="s">
        <v>198</v>
      </c>
      <c r="VHA47" s="2" t="s">
        <v>195</v>
      </c>
      <c r="VHB47" s="3" t="s">
        <v>196</v>
      </c>
      <c r="VHC47" s="3" t="s">
        <v>180</v>
      </c>
      <c r="VHD47" s="3" t="s">
        <v>26</v>
      </c>
      <c r="VHE47" s="3" t="s">
        <v>197</v>
      </c>
      <c r="VHH47" s="3" t="s">
        <v>198</v>
      </c>
      <c r="VHI47" s="2" t="s">
        <v>195</v>
      </c>
      <c r="VHJ47" s="3" t="s">
        <v>196</v>
      </c>
      <c r="VHK47" s="3" t="s">
        <v>180</v>
      </c>
      <c r="VHL47" s="3" t="s">
        <v>26</v>
      </c>
      <c r="VHM47" s="3" t="s">
        <v>197</v>
      </c>
      <c r="VHP47" s="3" t="s">
        <v>198</v>
      </c>
      <c r="VHQ47" s="2" t="s">
        <v>195</v>
      </c>
      <c r="VHR47" s="3" t="s">
        <v>196</v>
      </c>
      <c r="VHS47" s="3" t="s">
        <v>180</v>
      </c>
      <c r="VHT47" s="3" t="s">
        <v>26</v>
      </c>
      <c r="VHU47" s="3" t="s">
        <v>197</v>
      </c>
      <c r="VHX47" s="3" t="s">
        <v>198</v>
      </c>
      <c r="VHY47" s="2" t="s">
        <v>195</v>
      </c>
      <c r="VHZ47" s="3" t="s">
        <v>196</v>
      </c>
      <c r="VIA47" s="3" t="s">
        <v>180</v>
      </c>
      <c r="VIB47" s="3" t="s">
        <v>26</v>
      </c>
      <c r="VIC47" s="3" t="s">
        <v>197</v>
      </c>
      <c r="VIF47" s="3" t="s">
        <v>198</v>
      </c>
      <c r="VIG47" s="2" t="s">
        <v>195</v>
      </c>
      <c r="VIH47" s="3" t="s">
        <v>196</v>
      </c>
      <c r="VII47" s="3" t="s">
        <v>180</v>
      </c>
      <c r="VIJ47" s="3" t="s">
        <v>26</v>
      </c>
      <c r="VIK47" s="3" t="s">
        <v>197</v>
      </c>
      <c r="VIN47" s="3" t="s">
        <v>198</v>
      </c>
      <c r="VIO47" s="2" t="s">
        <v>195</v>
      </c>
      <c r="VIP47" s="3" t="s">
        <v>196</v>
      </c>
      <c r="VIQ47" s="3" t="s">
        <v>180</v>
      </c>
      <c r="VIR47" s="3" t="s">
        <v>26</v>
      </c>
      <c r="VIS47" s="3" t="s">
        <v>197</v>
      </c>
      <c r="VIV47" s="3" t="s">
        <v>198</v>
      </c>
      <c r="VIW47" s="2" t="s">
        <v>195</v>
      </c>
      <c r="VIX47" s="3" t="s">
        <v>196</v>
      </c>
      <c r="VIY47" s="3" t="s">
        <v>180</v>
      </c>
      <c r="VIZ47" s="3" t="s">
        <v>26</v>
      </c>
      <c r="VJA47" s="3" t="s">
        <v>197</v>
      </c>
      <c r="VJD47" s="3" t="s">
        <v>198</v>
      </c>
      <c r="VJE47" s="2" t="s">
        <v>195</v>
      </c>
      <c r="VJF47" s="3" t="s">
        <v>196</v>
      </c>
      <c r="VJG47" s="3" t="s">
        <v>180</v>
      </c>
      <c r="VJH47" s="3" t="s">
        <v>26</v>
      </c>
      <c r="VJI47" s="3" t="s">
        <v>197</v>
      </c>
      <c r="VJL47" s="3" t="s">
        <v>198</v>
      </c>
      <c r="VJM47" s="2" t="s">
        <v>195</v>
      </c>
      <c r="VJN47" s="3" t="s">
        <v>196</v>
      </c>
      <c r="VJO47" s="3" t="s">
        <v>180</v>
      </c>
      <c r="VJP47" s="3" t="s">
        <v>26</v>
      </c>
      <c r="VJQ47" s="3" t="s">
        <v>197</v>
      </c>
      <c r="VJT47" s="3" t="s">
        <v>198</v>
      </c>
      <c r="VJU47" s="2" t="s">
        <v>195</v>
      </c>
      <c r="VJV47" s="3" t="s">
        <v>196</v>
      </c>
      <c r="VJW47" s="3" t="s">
        <v>180</v>
      </c>
      <c r="VJX47" s="3" t="s">
        <v>26</v>
      </c>
      <c r="VJY47" s="3" t="s">
        <v>197</v>
      </c>
      <c r="VKB47" s="3" t="s">
        <v>198</v>
      </c>
      <c r="VKC47" s="2" t="s">
        <v>195</v>
      </c>
      <c r="VKD47" s="3" t="s">
        <v>196</v>
      </c>
      <c r="VKE47" s="3" t="s">
        <v>180</v>
      </c>
      <c r="VKF47" s="3" t="s">
        <v>26</v>
      </c>
      <c r="VKG47" s="3" t="s">
        <v>197</v>
      </c>
      <c r="VKJ47" s="3" t="s">
        <v>198</v>
      </c>
      <c r="VKK47" s="2" t="s">
        <v>195</v>
      </c>
      <c r="VKL47" s="3" t="s">
        <v>196</v>
      </c>
      <c r="VKM47" s="3" t="s">
        <v>180</v>
      </c>
      <c r="VKN47" s="3" t="s">
        <v>26</v>
      </c>
      <c r="VKO47" s="3" t="s">
        <v>197</v>
      </c>
      <c r="VKR47" s="3" t="s">
        <v>198</v>
      </c>
      <c r="VKS47" s="2" t="s">
        <v>195</v>
      </c>
      <c r="VKT47" s="3" t="s">
        <v>196</v>
      </c>
      <c r="VKU47" s="3" t="s">
        <v>180</v>
      </c>
      <c r="VKV47" s="3" t="s">
        <v>26</v>
      </c>
      <c r="VKW47" s="3" t="s">
        <v>197</v>
      </c>
      <c r="VKZ47" s="3" t="s">
        <v>198</v>
      </c>
      <c r="VLA47" s="2" t="s">
        <v>195</v>
      </c>
      <c r="VLB47" s="3" t="s">
        <v>196</v>
      </c>
      <c r="VLC47" s="3" t="s">
        <v>180</v>
      </c>
      <c r="VLD47" s="3" t="s">
        <v>26</v>
      </c>
      <c r="VLE47" s="3" t="s">
        <v>197</v>
      </c>
      <c r="VLH47" s="3" t="s">
        <v>198</v>
      </c>
      <c r="VLI47" s="2" t="s">
        <v>195</v>
      </c>
      <c r="VLJ47" s="3" t="s">
        <v>196</v>
      </c>
      <c r="VLK47" s="3" t="s">
        <v>180</v>
      </c>
      <c r="VLL47" s="3" t="s">
        <v>26</v>
      </c>
      <c r="VLM47" s="3" t="s">
        <v>197</v>
      </c>
      <c r="VLP47" s="3" t="s">
        <v>198</v>
      </c>
      <c r="VLQ47" s="2" t="s">
        <v>195</v>
      </c>
      <c r="VLR47" s="3" t="s">
        <v>196</v>
      </c>
      <c r="VLS47" s="3" t="s">
        <v>180</v>
      </c>
      <c r="VLT47" s="3" t="s">
        <v>26</v>
      </c>
      <c r="VLU47" s="3" t="s">
        <v>197</v>
      </c>
      <c r="VLX47" s="3" t="s">
        <v>198</v>
      </c>
      <c r="VLY47" s="2" t="s">
        <v>195</v>
      </c>
      <c r="VLZ47" s="3" t="s">
        <v>196</v>
      </c>
      <c r="VMA47" s="3" t="s">
        <v>180</v>
      </c>
      <c r="VMB47" s="3" t="s">
        <v>26</v>
      </c>
      <c r="VMC47" s="3" t="s">
        <v>197</v>
      </c>
      <c r="VMF47" s="3" t="s">
        <v>198</v>
      </c>
      <c r="VMG47" s="2" t="s">
        <v>195</v>
      </c>
      <c r="VMH47" s="3" t="s">
        <v>196</v>
      </c>
      <c r="VMI47" s="3" t="s">
        <v>180</v>
      </c>
      <c r="VMJ47" s="3" t="s">
        <v>26</v>
      </c>
      <c r="VMK47" s="3" t="s">
        <v>197</v>
      </c>
      <c r="VMN47" s="3" t="s">
        <v>198</v>
      </c>
      <c r="VMO47" s="2" t="s">
        <v>195</v>
      </c>
      <c r="VMP47" s="3" t="s">
        <v>196</v>
      </c>
      <c r="VMQ47" s="3" t="s">
        <v>180</v>
      </c>
      <c r="VMR47" s="3" t="s">
        <v>26</v>
      </c>
      <c r="VMS47" s="3" t="s">
        <v>197</v>
      </c>
      <c r="VMV47" s="3" t="s">
        <v>198</v>
      </c>
      <c r="VMW47" s="2" t="s">
        <v>195</v>
      </c>
      <c r="VMX47" s="3" t="s">
        <v>196</v>
      </c>
      <c r="VMY47" s="3" t="s">
        <v>180</v>
      </c>
      <c r="VMZ47" s="3" t="s">
        <v>26</v>
      </c>
      <c r="VNA47" s="3" t="s">
        <v>197</v>
      </c>
      <c r="VND47" s="3" t="s">
        <v>198</v>
      </c>
      <c r="VNE47" s="2" t="s">
        <v>195</v>
      </c>
      <c r="VNF47" s="3" t="s">
        <v>196</v>
      </c>
      <c r="VNG47" s="3" t="s">
        <v>180</v>
      </c>
      <c r="VNH47" s="3" t="s">
        <v>26</v>
      </c>
      <c r="VNI47" s="3" t="s">
        <v>197</v>
      </c>
      <c r="VNL47" s="3" t="s">
        <v>198</v>
      </c>
      <c r="VNM47" s="2" t="s">
        <v>195</v>
      </c>
      <c r="VNN47" s="3" t="s">
        <v>196</v>
      </c>
      <c r="VNO47" s="3" t="s">
        <v>180</v>
      </c>
      <c r="VNP47" s="3" t="s">
        <v>26</v>
      </c>
      <c r="VNQ47" s="3" t="s">
        <v>197</v>
      </c>
      <c r="VNT47" s="3" t="s">
        <v>198</v>
      </c>
      <c r="VNU47" s="2" t="s">
        <v>195</v>
      </c>
      <c r="VNV47" s="3" t="s">
        <v>196</v>
      </c>
      <c r="VNW47" s="3" t="s">
        <v>180</v>
      </c>
      <c r="VNX47" s="3" t="s">
        <v>26</v>
      </c>
      <c r="VNY47" s="3" t="s">
        <v>197</v>
      </c>
      <c r="VOB47" s="3" t="s">
        <v>198</v>
      </c>
      <c r="VOC47" s="2" t="s">
        <v>195</v>
      </c>
      <c r="VOD47" s="3" t="s">
        <v>196</v>
      </c>
      <c r="VOE47" s="3" t="s">
        <v>180</v>
      </c>
      <c r="VOF47" s="3" t="s">
        <v>26</v>
      </c>
      <c r="VOG47" s="3" t="s">
        <v>197</v>
      </c>
      <c r="VOJ47" s="3" t="s">
        <v>198</v>
      </c>
      <c r="VOK47" s="2" t="s">
        <v>195</v>
      </c>
      <c r="VOL47" s="3" t="s">
        <v>196</v>
      </c>
      <c r="VOM47" s="3" t="s">
        <v>180</v>
      </c>
      <c r="VON47" s="3" t="s">
        <v>26</v>
      </c>
      <c r="VOO47" s="3" t="s">
        <v>197</v>
      </c>
      <c r="VOR47" s="3" t="s">
        <v>198</v>
      </c>
      <c r="VOS47" s="2" t="s">
        <v>195</v>
      </c>
      <c r="VOT47" s="3" t="s">
        <v>196</v>
      </c>
      <c r="VOU47" s="3" t="s">
        <v>180</v>
      </c>
      <c r="VOV47" s="3" t="s">
        <v>26</v>
      </c>
      <c r="VOW47" s="3" t="s">
        <v>197</v>
      </c>
      <c r="VOZ47" s="3" t="s">
        <v>198</v>
      </c>
      <c r="VPA47" s="2" t="s">
        <v>195</v>
      </c>
      <c r="VPB47" s="3" t="s">
        <v>196</v>
      </c>
      <c r="VPC47" s="3" t="s">
        <v>180</v>
      </c>
      <c r="VPD47" s="3" t="s">
        <v>26</v>
      </c>
      <c r="VPE47" s="3" t="s">
        <v>197</v>
      </c>
      <c r="VPH47" s="3" t="s">
        <v>198</v>
      </c>
      <c r="VPI47" s="2" t="s">
        <v>195</v>
      </c>
      <c r="VPJ47" s="3" t="s">
        <v>196</v>
      </c>
      <c r="VPK47" s="3" t="s">
        <v>180</v>
      </c>
      <c r="VPL47" s="3" t="s">
        <v>26</v>
      </c>
      <c r="VPM47" s="3" t="s">
        <v>197</v>
      </c>
      <c r="VPP47" s="3" t="s">
        <v>198</v>
      </c>
      <c r="VPQ47" s="2" t="s">
        <v>195</v>
      </c>
      <c r="VPR47" s="3" t="s">
        <v>196</v>
      </c>
      <c r="VPS47" s="3" t="s">
        <v>180</v>
      </c>
      <c r="VPT47" s="3" t="s">
        <v>26</v>
      </c>
      <c r="VPU47" s="3" t="s">
        <v>197</v>
      </c>
      <c r="VPX47" s="3" t="s">
        <v>198</v>
      </c>
      <c r="VPY47" s="2" t="s">
        <v>195</v>
      </c>
      <c r="VPZ47" s="3" t="s">
        <v>196</v>
      </c>
      <c r="VQA47" s="3" t="s">
        <v>180</v>
      </c>
      <c r="VQB47" s="3" t="s">
        <v>26</v>
      </c>
      <c r="VQC47" s="3" t="s">
        <v>197</v>
      </c>
      <c r="VQF47" s="3" t="s">
        <v>198</v>
      </c>
      <c r="VQG47" s="2" t="s">
        <v>195</v>
      </c>
      <c r="VQH47" s="3" t="s">
        <v>196</v>
      </c>
      <c r="VQI47" s="3" t="s">
        <v>180</v>
      </c>
      <c r="VQJ47" s="3" t="s">
        <v>26</v>
      </c>
      <c r="VQK47" s="3" t="s">
        <v>197</v>
      </c>
      <c r="VQN47" s="3" t="s">
        <v>198</v>
      </c>
      <c r="VQO47" s="2" t="s">
        <v>195</v>
      </c>
      <c r="VQP47" s="3" t="s">
        <v>196</v>
      </c>
      <c r="VQQ47" s="3" t="s">
        <v>180</v>
      </c>
      <c r="VQR47" s="3" t="s">
        <v>26</v>
      </c>
      <c r="VQS47" s="3" t="s">
        <v>197</v>
      </c>
      <c r="VQV47" s="3" t="s">
        <v>198</v>
      </c>
      <c r="VQW47" s="2" t="s">
        <v>195</v>
      </c>
      <c r="VQX47" s="3" t="s">
        <v>196</v>
      </c>
      <c r="VQY47" s="3" t="s">
        <v>180</v>
      </c>
      <c r="VQZ47" s="3" t="s">
        <v>26</v>
      </c>
      <c r="VRA47" s="3" t="s">
        <v>197</v>
      </c>
      <c r="VRD47" s="3" t="s">
        <v>198</v>
      </c>
      <c r="VRE47" s="2" t="s">
        <v>195</v>
      </c>
      <c r="VRF47" s="3" t="s">
        <v>196</v>
      </c>
      <c r="VRG47" s="3" t="s">
        <v>180</v>
      </c>
      <c r="VRH47" s="3" t="s">
        <v>26</v>
      </c>
      <c r="VRI47" s="3" t="s">
        <v>197</v>
      </c>
      <c r="VRL47" s="3" t="s">
        <v>198</v>
      </c>
      <c r="VRM47" s="2" t="s">
        <v>195</v>
      </c>
      <c r="VRN47" s="3" t="s">
        <v>196</v>
      </c>
      <c r="VRO47" s="3" t="s">
        <v>180</v>
      </c>
      <c r="VRP47" s="3" t="s">
        <v>26</v>
      </c>
      <c r="VRQ47" s="3" t="s">
        <v>197</v>
      </c>
      <c r="VRT47" s="3" t="s">
        <v>198</v>
      </c>
      <c r="VRU47" s="2" t="s">
        <v>195</v>
      </c>
      <c r="VRV47" s="3" t="s">
        <v>196</v>
      </c>
      <c r="VRW47" s="3" t="s">
        <v>180</v>
      </c>
      <c r="VRX47" s="3" t="s">
        <v>26</v>
      </c>
      <c r="VRY47" s="3" t="s">
        <v>197</v>
      </c>
      <c r="VSB47" s="3" t="s">
        <v>198</v>
      </c>
      <c r="VSC47" s="2" t="s">
        <v>195</v>
      </c>
      <c r="VSD47" s="3" t="s">
        <v>196</v>
      </c>
      <c r="VSE47" s="3" t="s">
        <v>180</v>
      </c>
      <c r="VSF47" s="3" t="s">
        <v>26</v>
      </c>
      <c r="VSG47" s="3" t="s">
        <v>197</v>
      </c>
      <c r="VSJ47" s="3" t="s">
        <v>198</v>
      </c>
      <c r="VSK47" s="2" t="s">
        <v>195</v>
      </c>
      <c r="VSL47" s="3" t="s">
        <v>196</v>
      </c>
      <c r="VSM47" s="3" t="s">
        <v>180</v>
      </c>
      <c r="VSN47" s="3" t="s">
        <v>26</v>
      </c>
      <c r="VSO47" s="3" t="s">
        <v>197</v>
      </c>
      <c r="VSR47" s="3" t="s">
        <v>198</v>
      </c>
      <c r="VSS47" s="2" t="s">
        <v>195</v>
      </c>
      <c r="VST47" s="3" t="s">
        <v>196</v>
      </c>
      <c r="VSU47" s="3" t="s">
        <v>180</v>
      </c>
      <c r="VSV47" s="3" t="s">
        <v>26</v>
      </c>
      <c r="VSW47" s="3" t="s">
        <v>197</v>
      </c>
      <c r="VSZ47" s="3" t="s">
        <v>198</v>
      </c>
      <c r="VTA47" s="2" t="s">
        <v>195</v>
      </c>
      <c r="VTB47" s="3" t="s">
        <v>196</v>
      </c>
      <c r="VTC47" s="3" t="s">
        <v>180</v>
      </c>
      <c r="VTD47" s="3" t="s">
        <v>26</v>
      </c>
      <c r="VTE47" s="3" t="s">
        <v>197</v>
      </c>
      <c r="VTH47" s="3" t="s">
        <v>198</v>
      </c>
      <c r="VTI47" s="2" t="s">
        <v>195</v>
      </c>
      <c r="VTJ47" s="3" t="s">
        <v>196</v>
      </c>
      <c r="VTK47" s="3" t="s">
        <v>180</v>
      </c>
      <c r="VTL47" s="3" t="s">
        <v>26</v>
      </c>
      <c r="VTM47" s="3" t="s">
        <v>197</v>
      </c>
      <c r="VTP47" s="3" t="s">
        <v>198</v>
      </c>
      <c r="VTQ47" s="2" t="s">
        <v>195</v>
      </c>
      <c r="VTR47" s="3" t="s">
        <v>196</v>
      </c>
      <c r="VTS47" s="3" t="s">
        <v>180</v>
      </c>
      <c r="VTT47" s="3" t="s">
        <v>26</v>
      </c>
      <c r="VTU47" s="3" t="s">
        <v>197</v>
      </c>
      <c r="VTX47" s="3" t="s">
        <v>198</v>
      </c>
      <c r="VTY47" s="2" t="s">
        <v>195</v>
      </c>
      <c r="VTZ47" s="3" t="s">
        <v>196</v>
      </c>
      <c r="VUA47" s="3" t="s">
        <v>180</v>
      </c>
      <c r="VUB47" s="3" t="s">
        <v>26</v>
      </c>
      <c r="VUC47" s="3" t="s">
        <v>197</v>
      </c>
      <c r="VUF47" s="3" t="s">
        <v>198</v>
      </c>
      <c r="VUG47" s="2" t="s">
        <v>195</v>
      </c>
      <c r="VUH47" s="3" t="s">
        <v>196</v>
      </c>
      <c r="VUI47" s="3" t="s">
        <v>180</v>
      </c>
      <c r="VUJ47" s="3" t="s">
        <v>26</v>
      </c>
      <c r="VUK47" s="3" t="s">
        <v>197</v>
      </c>
      <c r="VUN47" s="3" t="s">
        <v>198</v>
      </c>
      <c r="VUO47" s="2" t="s">
        <v>195</v>
      </c>
      <c r="VUP47" s="3" t="s">
        <v>196</v>
      </c>
      <c r="VUQ47" s="3" t="s">
        <v>180</v>
      </c>
      <c r="VUR47" s="3" t="s">
        <v>26</v>
      </c>
      <c r="VUS47" s="3" t="s">
        <v>197</v>
      </c>
      <c r="VUV47" s="3" t="s">
        <v>198</v>
      </c>
      <c r="VUW47" s="2" t="s">
        <v>195</v>
      </c>
      <c r="VUX47" s="3" t="s">
        <v>196</v>
      </c>
      <c r="VUY47" s="3" t="s">
        <v>180</v>
      </c>
      <c r="VUZ47" s="3" t="s">
        <v>26</v>
      </c>
      <c r="VVA47" s="3" t="s">
        <v>197</v>
      </c>
      <c r="VVD47" s="3" t="s">
        <v>198</v>
      </c>
      <c r="VVE47" s="2" t="s">
        <v>195</v>
      </c>
      <c r="VVF47" s="3" t="s">
        <v>196</v>
      </c>
      <c r="VVG47" s="3" t="s">
        <v>180</v>
      </c>
      <c r="VVH47" s="3" t="s">
        <v>26</v>
      </c>
      <c r="VVI47" s="3" t="s">
        <v>197</v>
      </c>
      <c r="VVL47" s="3" t="s">
        <v>198</v>
      </c>
      <c r="VVM47" s="2" t="s">
        <v>195</v>
      </c>
      <c r="VVN47" s="3" t="s">
        <v>196</v>
      </c>
      <c r="VVO47" s="3" t="s">
        <v>180</v>
      </c>
      <c r="VVP47" s="3" t="s">
        <v>26</v>
      </c>
      <c r="VVQ47" s="3" t="s">
        <v>197</v>
      </c>
      <c r="VVT47" s="3" t="s">
        <v>198</v>
      </c>
      <c r="VVU47" s="2" t="s">
        <v>195</v>
      </c>
      <c r="VVV47" s="3" t="s">
        <v>196</v>
      </c>
      <c r="VVW47" s="3" t="s">
        <v>180</v>
      </c>
      <c r="VVX47" s="3" t="s">
        <v>26</v>
      </c>
      <c r="VVY47" s="3" t="s">
        <v>197</v>
      </c>
      <c r="VWB47" s="3" t="s">
        <v>198</v>
      </c>
      <c r="VWC47" s="2" t="s">
        <v>195</v>
      </c>
      <c r="VWD47" s="3" t="s">
        <v>196</v>
      </c>
      <c r="VWE47" s="3" t="s">
        <v>180</v>
      </c>
      <c r="VWF47" s="3" t="s">
        <v>26</v>
      </c>
      <c r="VWG47" s="3" t="s">
        <v>197</v>
      </c>
      <c r="VWJ47" s="3" t="s">
        <v>198</v>
      </c>
      <c r="VWK47" s="2" t="s">
        <v>195</v>
      </c>
      <c r="VWL47" s="3" t="s">
        <v>196</v>
      </c>
      <c r="VWM47" s="3" t="s">
        <v>180</v>
      </c>
      <c r="VWN47" s="3" t="s">
        <v>26</v>
      </c>
      <c r="VWO47" s="3" t="s">
        <v>197</v>
      </c>
      <c r="VWR47" s="3" t="s">
        <v>198</v>
      </c>
      <c r="VWS47" s="2" t="s">
        <v>195</v>
      </c>
      <c r="VWT47" s="3" t="s">
        <v>196</v>
      </c>
      <c r="VWU47" s="3" t="s">
        <v>180</v>
      </c>
      <c r="VWV47" s="3" t="s">
        <v>26</v>
      </c>
      <c r="VWW47" s="3" t="s">
        <v>197</v>
      </c>
      <c r="VWZ47" s="3" t="s">
        <v>198</v>
      </c>
      <c r="VXA47" s="2" t="s">
        <v>195</v>
      </c>
      <c r="VXB47" s="3" t="s">
        <v>196</v>
      </c>
      <c r="VXC47" s="3" t="s">
        <v>180</v>
      </c>
      <c r="VXD47" s="3" t="s">
        <v>26</v>
      </c>
      <c r="VXE47" s="3" t="s">
        <v>197</v>
      </c>
      <c r="VXH47" s="3" t="s">
        <v>198</v>
      </c>
      <c r="VXI47" s="2" t="s">
        <v>195</v>
      </c>
      <c r="VXJ47" s="3" t="s">
        <v>196</v>
      </c>
      <c r="VXK47" s="3" t="s">
        <v>180</v>
      </c>
      <c r="VXL47" s="3" t="s">
        <v>26</v>
      </c>
      <c r="VXM47" s="3" t="s">
        <v>197</v>
      </c>
      <c r="VXP47" s="3" t="s">
        <v>198</v>
      </c>
      <c r="VXQ47" s="2" t="s">
        <v>195</v>
      </c>
      <c r="VXR47" s="3" t="s">
        <v>196</v>
      </c>
      <c r="VXS47" s="3" t="s">
        <v>180</v>
      </c>
      <c r="VXT47" s="3" t="s">
        <v>26</v>
      </c>
      <c r="VXU47" s="3" t="s">
        <v>197</v>
      </c>
      <c r="VXX47" s="3" t="s">
        <v>198</v>
      </c>
      <c r="VXY47" s="2" t="s">
        <v>195</v>
      </c>
      <c r="VXZ47" s="3" t="s">
        <v>196</v>
      </c>
      <c r="VYA47" s="3" t="s">
        <v>180</v>
      </c>
      <c r="VYB47" s="3" t="s">
        <v>26</v>
      </c>
      <c r="VYC47" s="3" t="s">
        <v>197</v>
      </c>
      <c r="VYF47" s="3" t="s">
        <v>198</v>
      </c>
      <c r="VYG47" s="2" t="s">
        <v>195</v>
      </c>
      <c r="VYH47" s="3" t="s">
        <v>196</v>
      </c>
      <c r="VYI47" s="3" t="s">
        <v>180</v>
      </c>
      <c r="VYJ47" s="3" t="s">
        <v>26</v>
      </c>
      <c r="VYK47" s="3" t="s">
        <v>197</v>
      </c>
      <c r="VYN47" s="3" t="s">
        <v>198</v>
      </c>
      <c r="VYO47" s="2" t="s">
        <v>195</v>
      </c>
      <c r="VYP47" s="3" t="s">
        <v>196</v>
      </c>
      <c r="VYQ47" s="3" t="s">
        <v>180</v>
      </c>
      <c r="VYR47" s="3" t="s">
        <v>26</v>
      </c>
      <c r="VYS47" s="3" t="s">
        <v>197</v>
      </c>
      <c r="VYV47" s="3" t="s">
        <v>198</v>
      </c>
      <c r="VYW47" s="2" t="s">
        <v>195</v>
      </c>
      <c r="VYX47" s="3" t="s">
        <v>196</v>
      </c>
      <c r="VYY47" s="3" t="s">
        <v>180</v>
      </c>
      <c r="VYZ47" s="3" t="s">
        <v>26</v>
      </c>
      <c r="VZA47" s="3" t="s">
        <v>197</v>
      </c>
      <c r="VZD47" s="3" t="s">
        <v>198</v>
      </c>
      <c r="VZE47" s="2" t="s">
        <v>195</v>
      </c>
      <c r="VZF47" s="3" t="s">
        <v>196</v>
      </c>
      <c r="VZG47" s="3" t="s">
        <v>180</v>
      </c>
      <c r="VZH47" s="3" t="s">
        <v>26</v>
      </c>
      <c r="VZI47" s="3" t="s">
        <v>197</v>
      </c>
      <c r="VZL47" s="3" t="s">
        <v>198</v>
      </c>
      <c r="VZM47" s="2" t="s">
        <v>195</v>
      </c>
      <c r="VZN47" s="3" t="s">
        <v>196</v>
      </c>
      <c r="VZO47" s="3" t="s">
        <v>180</v>
      </c>
      <c r="VZP47" s="3" t="s">
        <v>26</v>
      </c>
      <c r="VZQ47" s="3" t="s">
        <v>197</v>
      </c>
      <c r="VZT47" s="3" t="s">
        <v>198</v>
      </c>
      <c r="VZU47" s="2" t="s">
        <v>195</v>
      </c>
      <c r="VZV47" s="3" t="s">
        <v>196</v>
      </c>
      <c r="VZW47" s="3" t="s">
        <v>180</v>
      </c>
      <c r="VZX47" s="3" t="s">
        <v>26</v>
      </c>
      <c r="VZY47" s="3" t="s">
        <v>197</v>
      </c>
      <c r="WAB47" s="3" t="s">
        <v>198</v>
      </c>
      <c r="WAC47" s="2" t="s">
        <v>195</v>
      </c>
      <c r="WAD47" s="3" t="s">
        <v>196</v>
      </c>
      <c r="WAE47" s="3" t="s">
        <v>180</v>
      </c>
      <c r="WAF47" s="3" t="s">
        <v>26</v>
      </c>
      <c r="WAG47" s="3" t="s">
        <v>197</v>
      </c>
      <c r="WAJ47" s="3" t="s">
        <v>198</v>
      </c>
      <c r="WAK47" s="2" t="s">
        <v>195</v>
      </c>
      <c r="WAL47" s="3" t="s">
        <v>196</v>
      </c>
      <c r="WAM47" s="3" t="s">
        <v>180</v>
      </c>
      <c r="WAN47" s="3" t="s">
        <v>26</v>
      </c>
      <c r="WAO47" s="3" t="s">
        <v>197</v>
      </c>
      <c r="WAR47" s="3" t="s">
        <v>198</v>
      </c>
      <c r="WAS47" s="2" t="s">
        <v>195</v>
      </c>
      <c r="WAT47" s="3" t="s">
        <v>196</v>
      </c>
      <c r="WAU47" s="3" t="s">
        <v>180</v>
      </c>
      <c r="WAV47" s="3" t="s">
        <v>26</v>
      </c>
      <c r="WAW47" s="3" t="s">
        <v>197</v>
      </c>
      <c r="WAZ47" s="3" t="s">
        <v>198</v>
      </c>
      <c r="WBA47" s="2" t="s">
        <v>195</v>
      </c>
      <c r="WBB47" s="3" t="s">
        <v>196</v>
      </c>
      <c r="WBC47" s="3" t="s">
        <v>180</v>
      </c>
      <c r="WBD47" s="3" t="s">
        <v>26</v>
      </c>
      <c r="WBE47" s="3" t="s">
        <v>197</v>
      </c>
      <c r="WBH47" s="3" t="s">
        <v>198</v>
      </c>
      <c r="WBI47" s="2" t="s">
        <v>195</v>
      </c>
      <c r="WBJ47" s="3" t="s">
        <v>196</v>
      </c>
      <c r="WBK47" s="3" t="s">
        <v>180</v>
      </c>
      <c r="WBL47" s="3" t="s">
        <v>26</v>
      </c>
      <c r="WBM47" s="3" t="s">
        <v>197</v>
      </c>
      <c r="WBP47" s="3" t="s">
        <v>198</v>
      </c>
      <c r="WBQ47" s="2" t="s">
        <v>195</v>
      </c>
      <c r="WBR47" s="3" t="s">
        <v>196</v>
      </c>
      <c r="WBS47" s="3" t="s">
        <v>180</v>
      </c>
      <c r="WBT47" s="3" t="s">
        <v>26</v>
      </c>
      <c r="WBU47" s="3" t="s">
        <v>197</v>
      </c>
      <c r="WBX47" s="3" t="s">
        <v>198</v>
      </c>
      <c r="WBY47" s="2" t="s">
        <v>195</v>
      </c>
      <c r="WBZ47" s="3" t="s">
        <v>196</v>
      </c>
      <c r="WCA47" s="3" t="s">
        <v>180</v>
      </c>
      <c r="WCB47" s="3" t="s">
        <v>26</v>
      </c>
      <c r="WCC47" s="3" t="s">
        <v>197</v>
      </c>
      <c r="WCF47" s="3" t="s">
        <v>198</v>
      </c>
      <c r="WCG47" s="2" t="s">
        <v>195</v>
      </c>
      <c r="WCH47" s="3" t="s">
        <v>196</v>
      </c>
      <c r="WCI47" s="3" t="s">
        <v>180</v>
      </c>
      <c r="WCJ47" s="3" t="s">
        <v>26</v>
      </c>
      <c r="WCK47" s="3" t="s">
        <v>197</v>
      </c>
      <c r="WCN47" s="3" t="s">
        <v>198</v>
      </c>
      <c r="WCO47" s="2" t="s">
        <v>195</v>
      </c>
      <c r="WCP47" s="3" t="s">
        <v>196</v>
      </c>
      <c r="WCQ47" s="3" t="s">
        <v>180</v>
      </c>
      <c r="WCR47" s="3" t="s">
        <v>26</v>
      </c>
      <c r="WCS47" s="3" t="s">
        <v>197</v>
      </c>
      <c r="WCV47" s="3" t="s">
        <v>198</v>
      </c>
      <c r="WCW47" s="2" t="s">
        <v>195</v>
      </c>
      <c r="WCX47" s="3" t="s">
        <v>196</v>
      </c>
      <c r="WCY47" s="3" t="s">
        <v>180</v>
      </c>
      <c r="WCZ47" s="3" t="s">
        <v>26</v>
      </c>
      <c r="WDA47" s="3" t="s">
        <v>197</v>
      </c>
      <c r="WDD47" s="3" t="s">
        <v>198</v>
      </c>
      <c r="WDE47" s="2" t="s">
        <v>195</v>
      </c>
      <c r="WDF47" s="3" t="s">
        <v>196</v>
      </c>
      <c r="WDG47" s="3" t="s">
        <v>180</v>
      </c>
      <c r="WDH47" s="3" t="s">
        <v>26</v>
      </c>
      <c r="WDI47" s="3" t="s">
        <v>197</v>
      </c>
      <c r="WDL47" s="3" t="s">
        <v>198</v>
      </c>
      <c r="WDM47" s="2" t="s">
        <v>195</v>
      </c>
      <c r="WDN47" s="3" t="s">
        <v>196</v>
      </c>
      <c r="WDO47" s="3" t="s">
        <v>180</v>
      </c>
      <c r="WDP47" s="3" t="s">
        <v>26</v>
      </c>
      <c r="WDQ47" s="3" t="s">
        <v>197</v>
      </c>
      <c r="WDT47" s="3" t="s">
        <v>198</v>
      </c>
      <c r="WDU47" s="2" t="s">
        <v>195</v>
      </c>
      <c r="WDV47" s="3" t="s">
        <v>196</v>
      </c>
      <c r="WDW47" s="3" t="s">
        <v>180</v>
      </c>
      <c r="WDX47" s="3" t="s">
        <v>26</v>
      </c>
      <c r="WDY47" s="3" t="s">
        <v>197</v>
      </c>
      <c r="WEB47" s="3" t="s">
        <v>198</v>
      </c>
      <c r="WEC47" s="2" t="s">
        <v>195</v>
      </c>
      <c r="WED47" s="3" t="s">
        <v>196</v>
      </c>
      <c r="WEE47" s="3" t="s">
        <v>180</v>
      </c>
      <c r="WEF47" s="3" t="s">
        <v>26</v>
      </c>
      <c r="WEG47" s="3" t="s">
        <v>197</v>
      </c>
      <c r="WEJ47" s="3" t="s">
        <v>198</v>
      </c>
      <c r="WEK47" s="2" t="s">
        <v>195</v>
      </c>
      <c r="WEL47" s="3" t="s">
        <v>196</v>
      </c>
      <c r="WEM47" s="3" t="s">
        <v>180</v>
      </c>
      <c r="WEN47" s="3" t="s">
        <v>26</v>
      </c>
      <c r="WEO47" s="3" t="s">
        <v>197</v>
      </c>
      <c r="WER47" s="3" t="s">
        <v>198</v>
      </c>
      <c r="WES47" s="2" t="s">
        <v>195</v>
      </c>
      <c r="WET47" s="3" t="s">
        <v>196</v>
      </c>
      <c r="WEU47" s="3" t="s">
        <v>180</v>
      </c>
      <c r="WEV47" s="3" t="s">
        <v>26</v>
      </c>
      <c r="WEW47" s="3" t="s">
        <v>197</v>
      </c>
      <c r="WEZ47" s="3" t="s">
        <v>198</v>
      </c>
      <c r="WFA47" s="2" t="s">
        <v>195</v>
      </c>
      <c r="WFB47" s="3" t="s">
        <v>196</v>
      </c>
      <c r="WFC47" s="3" t="s">
        <v>180</v>
      </c>
      <c r="WFD47" s="3" t="s">
        <v>26</v>
      </c>
      <c r="WFE47" s="3" t="s">
        <v>197</v>
      </c>
      <c r="WFH47" s="3" t="s">
        <v>198</v>
      </c>
      <c r="WFI47" s="2" t="s">
        <v>195</v>
      </c>
      <c r="WFJ47" s="3" t="s">
        <v>196</v>
      </c>
      <c r="WFK47" s="3" t="s">
        <v>180</v>
      </c>
      <c r="WFL47" s="3" t="s">
        <v>26</v>
      </c>
      <c r="WFM47" s="3" t="s">
        <v>197</v>
      </c>
      <c r="WFP47" s="3" t="s">
        <v>198</v>
      </c>
      <c r="WFQ47" s="2" t="s">
        <v>195</v>
      </c>
      <c r="WFR47" s="3" t="s">
        <v>196</v>
      </c>
      <c r="WFS47" s="3" t="s">
        <v>180</v>
      </c>
      <c r="WFT47" s="3" t="s">
        <v>26</v>
      </c>
      <c r="WFU47" s="3" t="s">
        <v>197</v>
      </c>
      <c r="WFX47" s="3" t="s">
        <v>198</v>
      </c>
      <c r="WFY47" s="2" t="s">
        <v>195</v>
      </c>
      <c r="WFZ47" s="3" t="s">
        <v>196</v>
      </c>
      <c r="WGA47" s="3" t="s">
        <v>180</v>
      </c>
      <c r="WGB47" s="3" t="s">
        <v>26</v>
      </c>
      <c r="WGC47" s="3" t="s">
        <v>197</v>
      </c>
      <c r="WGF47" s="3" t="s">
        <v>198</v>
      </c>
      <c r="WGG47" s="2" t="s">
        <v>195</v>
      </c>
      <c r="WGH47" s="3" t="s">
        <v>196</v>
      </c>
      <c r="WGI47" s="3" t="s">
        <v>180</v>
      </c>
      <c r="WGJ47" s="3" t="s">
        <v>26</v>
      </c>
      <c r="WGK47" s="3" t="s">
        <v>197</v>
      </c>
      <c r="WGN47" s="3" t="s">
        <v>198</v>
      </c>
      <c r="WGO47" s="2" t="s">
        <v>195</v>
      </c>
      <c r="WGP47" s="3" t="s">
        <v>196</v>
      </c>
      <c r="WGQ47" s="3" t="s">
        <v>180</v>
      </c>
      <c r="WGR47" s="3" t="s">
        <v>26</v>
      </c>
      <c r="WGS47" s="3" t="s">
        <v>197</v>
      </c>
      <c r="WGV47" s="3" t="s">
        <v>198</v>
      </c>
      <c r="WGW47" s="2" t="s">
        <v>195</v>
      </c>
      <c r="WGX47" s="3" t="s">
        <v>196</v>
      </c>
      <c r="WGY47" s="3" t="s">
        <v>180</v>
      </c>
      <c r="WGZ47" s="3" t="s">
        <v>26</v>
      </c>
      <c r="WHA47" s="3" t="s">
        <v>197</v>
      </c>
      <c r="WHD47" s="3" t="s">
        <v>198</v>
      </c>
      <c r="WHE47" s="2" t="s">
        <v>195</v>
      </c>
      <c r="WHF47" s="3" t="s">
        <v>196</v>
      </c>
      <c r="WHG47" s="3" t="s">
        <v>180</v>
      </c>
      <c r="WHH47" s="3" t="s">
        <v>26</v>
      </c>
      <c r="WHI47" s="3" t="s">
        <v>197</v>
      </c>
      <c r="WHL47" s="3" t="s">
        <v>198</v>
      </c>
      <c r="WHM47" s="2" t="s">
        <v>195</v>
      </c>
      <c r="WHN47" s="3" t="s">
        <v>196</v>
      </c>
      <c r="WHO47" s="3" t="s">
        <v>180</v>
      </c>
      <c r="WHP47" s="3" t="s">
        <v>26</v>
      </c>
      <c r="WHQ47" s="3" t="s">
        <v>197</v>
      </c>
      <c r="WHT47" s="3" t="s">
        <v>198</v>
      </c>
      <c r="WHU47" s="2" t="s">
        <v>195</v>
      </c>
      <c r="WHV47" s="3" t="s">
        <v>196</v>
      </c>
      <c r="WHW47" s="3" t="s">
        <v>180</v>
      </c>
      <c r="WHX47" s="3" t="s">
        <v>26</v>
      </c>
      <c r="WHY47" s="3" t="s">
        <v>197</v>
      </c>
      <c r="WIB47" s="3" t="s">
        <v>198</v>
      </c>
      <c r="WIC47" s="2" t="s">
        <v>195</v>
      </c>
      <c r="WID47" s="3" t="s">
        <v>196</v>
      </c>
      <c r="WIE47" s="3" t="s">
        <v>180</v>
      </c>
      <c r="WIF47" s="3" t="s">
        <v>26</v>
      </c>
      <c r="WIG47" s="3" t="s">
        <v>197</v>
      </c>
      <c r="WIJ47" s="3" t="s">
        <v>198</v>
      </c>
      <c r="WIK47" s="2" t="s">
        <v>195</v>
      </c>
      <c r="WIL47" s="3" t="s">
        <v>196</v>
      </c>
      <c r="WIM47" s="3" t="s">
        <v>180</v>
      </c>
      <c r="WIN47" s="3" t="s">
        <v>26</v>
      </c>
      <c r="WIO47" s="3" t="s">
        <v>197</v>
      </c>
      <c r="WIR47" s="3" t="s">
        <v>198</v>
      </c>
      <c r="WIS47" s="2" t="s">
        <v>195</v>
      </c>
      <c r="WIT47" s="3" t="s">
        <v>196</v>
      </c>
      <c r="WIU47" s="3" t="s">
        <v>180</v>
      </c>
      <c r="WIV47" s="3" t="s">
        <v>26</v>
      </c>
      <c r="WIW47" s="3" t="s">
        <v>197</v>
      </c>
      <c r="WIZ47" s="3" t="s">
        <v>198</v>
      </c>
      <c r="WJA47" s="2" t="s">
        <v>195</v>
      </c>
      <c r="WJB47" s="3" t="s">
        <v>196</v>
      </c>
      <c r="WJC47" s="3" t="s">
        <v>180</v>
      </c>
      <c r="WJD47" s="3" t="s">
        <v>26</v>
      </c>
      <c r="WJE47" s="3" t="s">
        <v>197</v>
      </c>
      <c r="WJH47" s="3" t="s">
        <v>198</v>
      </c>
      <c r="WJI47" s="2" t="s">
        <v>195</v>
      </c>
      <c r="WJJ47" s="3" t="s">
        <v>196</v>
      </c>
      <c r="WJK47" s="3" t="s">
        <v>180</v>
      </c>
      <c r="WJL47" s="3" t="s">
        <v>26</v>
      </c>
      <c r="WJM47" s="3" t="s">
        <v>197</v>
      </c>
      <c r="WJP47" s="3" t="s">
        <v>198</v>
      </c>
      <c r="WJQ47" s="2" t="s">
        <v>195</v>
      </c>
      <c r="WJR47" s="3" t="s">
        <v>196</v>
      </c>
      <c r="WJS47" s="3" t="s">
        <v>180</v>
      </c>
      <c r="WJT47" s="3" t="s">
        <v>26</v>
      </c>
      <c r="WJU47" s="3" t="s">
        <v>197</v>
      </c>
      <c r="WJX47" s="3" t="s">
        <v>198</v>
      </c>
      <c r="WJY47" s="2" t="s">
        <v>195</v>
      </c>
      <c r="WJZ47" s="3" t="s">
        <v>196</v>
      </c>
      <c r="WKA47" s="3" t="s">
        <v>180</v>
      </c>
      <c r="WKB47" s="3" t="s">
        <v>26</v>
      </c>
      <c r="WKC47" s="3" t="s">
        <v>197</v>
      </c>
      <c r="WKF47" s="3" t="s">
        <v>198</v>
      </c>
      <c r="WKG47" s="2" t="s">
        <v>195</v>
      </c>
      <c r="WKH47" s="3" t="s">
        <v>196</v>
      </c>
      <c r="WKI47" s="3" t="s">
        <v>180</v>
      </c>
      <c r="WKJ47" s="3" t="s">
        <v>26</v>
      </c>
      <c r="WKK47" s="3" t="s">
        <v>197</v>
      </c>
      <c r="WKN47" s="3" t="s">
        <v>198</v>
      </c>
      <c r="WKO47" s="2" t="s">
        <v>195</v>
      </c>
      <c r="WKP47" s="3" t="s">
        <v>196</v>
      </c>
      <c r="WKQ47" s="3" t="s">
        <v>180</v>
      </c>
      <c r="WKR47" s="3" t="s">
        <v>26</v>
      </c>
      <c r="WKS47" s="3" t="s">
        <v>197</v>
      </c>
      <c r="WKV47" s="3" t="s">
        <v>198</v>
      </c>
      <c r="WKW47" s="2" t="s">
        <v>195</v>
      </c>
      <c r="WKX47" s="3" t="s">
        <v>196</v>
      </c>
      <c r="WKY47" s="3" t="s">
        <v>180</v>
      </c>
      <c r="WKZ47" s="3" t="s">
        <v>26</v>
      </c>
      <c r="WLA47" s="3" t="s">
        <v>197</v>
      </c>
      <c r="WLD47" s="3" t="s">
        <v>198</v>
      </c>
      <c r="WLE47" s="2" t="s">
        <v>195</v>
      </c>
      <c r="WLF47" s="3" t="s">
        <v>196</v>
      </c>
      <c r="WLG47" s="3" t="s">
        <v>180</v>
      </c>
      <c r="WLH47" s="3" t="s">
        <v>26</v>
      </c>
      <c r="WLI47" s="3" t="s">
        <v>197</v>
      </c>
      <c r="WLL47" s="3" t="s">
        <v>198</v>
      </c>
      <c r="WLM47" s="2" t="s">
        <v>195</v>
      </c>
      <c r="WLN47" s="3" t="s">
        <v>196</v>
      </c>
      <c r="WLO47" s="3" t="s">
        <v>180</v>
      </c>
      <c r="WLP47" s="3" t="s">
        <v>26</v>
      </c>
      <c r="WLQ47" s="3" t="s">
        <v>197</v>
      </c>
      <c r="WLT47" s="3" t="s">
        <v>198</v>
      </c>
      <c r="WLU47" s="2" t="s">
        <v>195</v>
      </c>
      <c r="WLV47" s="3" t="s">
        <v>196</v>
      </c>
      <c r="WLW47" s="3" t="s">
        <v>180</v>
      </c>
      <c r="WLX47" s="3" t="s">
        <v>26</v>
      </c>
      <c r="WLY47" s="3" t="s">
        <v>197</v>
      </c>
      <c r="WMB47" s="3" t="s">
        <v>198</v>
      </c>
      <c r="WMC47" s="2" t="s">
        <v>195</v>
      </c>
      <c r="WMD47" s="3" t="s">
        <v>196</v>
      </c>
      <c r="WME47" s="3" t="s">
        <v>180</v>
      </c>
      <c r="WMF47" s="3" t="s">
        <v>26</v>
      </c>
      <c r="WMG47" s="3" t="s">
        <v>197</v>
      </c>
      <c r="WMJ47" s="3" t="s">
        <v>198</v>
      </c>
      <c r="WMK47" s="2" t="s">
        <v>195</v>
      </c>
      <c r="WML47" s="3" t="s">
        <v>196</v>
      </c>
      <c r="WMM47" s="3" t="s">
        <v>180</v>
      </c>
      <c r="WMN47" s="3" t="s">
        <v>26</v>
      </c>
      <c r="WMO47" s="3" t="s">
        <v>197</v>
      </c>
      <c r="WMR47" s="3" t="s">
        <v>198</v>
      </c>
      <c r="WMS47" s="2" t="s">
        <v>195</v>
      </c>
      <c r="WMT47" s="3" t="s">
        <v>196</v>
      </c>
      <c r="WMU47" s="3" t="s">
        <v>180</v>
      </c>
      <c r="WMV47" s="3" t="s">
        <v>26</v>
      </c>
      <c r="WMW47" s="3" t="s">
        <v>197</v>
      </c>
      <c r="WMZ47" s="3" t="s">
        <v>198</v>
      </c>
      <c r="WNA47" s="2" t="s">
        <v>195</v>
      </c>
      <c r="WNB47" s="3" t="s">
        <v>196</v>
      </c>
      <c r="WNC47" s="3" t="s">
        <v>180</v>
      </c>
      <c r="WND47" s="3" t="s">
        <v>26</v>
      </c>
      <c r="WNE47" s="3" t="s">
        <v>197</v>
      </c>
      <c r="WNH47" s="3" t="s">
        <v>198</v>
      </c>
      <c r="WNI47" s="2" t="s">
        <v>195</v>
      </c>
      <c r="WNJ47" s="3" t="s">
        <v>196</v>
      </c>
      <c r="WNK47" s="3" t="s">
        <v>180</v>
      </c>
      <c r="WNL47" s="3" t="s">
        <v>26</v>
      </c>
      <c r="WNM47" s="3" t="s">
        <v>197</v>
      </c>
      <c r="WNP47" s="3" t="s">
        <v>198</v>
      </c>
      <c r="WNQ47" s="2" t="s">
        <v>195</v>
      </c>
      <c r="WNR47" s="3" t="s">
        <v>196</v>
      </c>
      <c r="WNS47" s="3" t="s">
        <v>180</v>
      </c>
      <c r="WNT47" s="3" t="s">
        <v>26</v>
      </c>
      <c r="WNU47" s="3" t="s">
        <v>197</v>
      </c>
      <c r="WNX47" s="3" t="s">
        <v>198</v>
      </c>
      <c r="WNY47" s="2" t="s">
        <v>195</v>
      </c>
      <c r="WNZ47" s="3" t="s">
        <v>196</v>
      </c>
      <c r="WOA47" s="3" t="s">
        <v>180</v>
      </c>
      <c r="WOB47" s="3" t="s">
        <v>26</v>
      </c>
      <c r="WOC47" s="3" t="s">
        <v>197</v>
      </c>
      <c r="WOF47" s="3" t="s">
        <v>198</v>
      </c>
      <c r="WOG47" s="2" t="s">
        <v>195</v>
      </c>
      <c r="WOH47" s="3" t="s">
        <v>196</v>
      </c>
      <c r="WOI47" s="3" t="s">
        <v>180</v>
      </c>
      <c r="WOJ47" s="3" t="s">
        <v>26</v>
      </c>
      <c r="WOK47" s="3" t="s">
        <v>197</v>
      </c>
      <c r="WON47" s="3" t="s">
        <v>198</v>
      </c>
      <c r="WOO47" s="2" t="s">
        <v>195</v>
      </c>
      <c r="WOP47" s="3" t="s">
        <v>196</v>
      </c>
      <c r="WOQ47" s="3" t="s">
        <v>180</v>
      </c>
      <c r="WOR47" s="3" t="s">
        <v>26</v>
      </c>
      <c r="WOS47" s="3" t="s">
        <v>197</v>
      </c>
      <c r="WOV47" s="3" t="s">
        <v>198</v>
      </c>
      <c r="WOW47" s="2" t="s">
        <v>195</v>
      </c>
      <c r="WOX47" s="3" t="s">
        <v>196</v>
      </c>
      <c r="WOY47" s="3" t="s">
        <v>180</v>
      </c>
      <c r="WOZ47" s="3" t="s">
        <v>26</v>
      </c>
      <c r="WPA47" s="3" t="s">
        <v>197</v>
      </c>
      <c r="WPD47" s="3" t="s">
        <v>198</v>
      </c>
      <c r="WPE47" s="2" t="s">
        <v>195</v>
      </c>
      <c r="WPF47" s="3" t="s">
        <v>196</v>
      </c>
      <c r="WPG47" s="3" t="s">
        <v>180</v>
      </c>
      <c r="WPH47" s="3" t="s">
        <v>26</v>
      </c>
      <c r="WPI47" s="3" t="s">
        <v>197</v>
      </c>
      <c r="WPL47" s="3" t="s">
        <v>198</v>
      </c>
      <c r="WPM47" s="2" t="s">
        <v>195</v>
      </c>
      <c r="WPN47" s="3" t="s">
        <v>196</v>
      </c>
      <c r="WPO47" s="3" t="s">
        <v>180</v>
      </c>
      <c r="WPP47" s="3" t="s">
        <v>26</v>
      </c>
      <c r="WPQ47" s="3" t="s">
        <v>197</v>
      </c>
      <c r="WPT47" s="3" t="s">
        <v>198</v>
      </c>
      <c r="WPU47" s="2" t="s">
        <v>195</v>
      </c>
      <c r="WPV47" s="3" t="s">
        <v>196</v>
      </c>
      <c r="WPW47" s="3" t="s">
        <v>180</v>
      </c>
      <c r="WPX47" s="3" t="s">
        <v>26</v>
      </c>
      <c r="WPY47" s="3" t="s">
        <v>197</v>
      </c>
      <c r="WQB47" s="3" t="s">
        <v>198</v>
      </c>
      <c r="WQC47" s="2" t="s">
        <v>195</v>
      </c>
      <c r="WQD47" s="3" t="s">
        <v>196</v>
      </c>
      <c r="WQE47" s="3" t="s">
        <v>180</v>
      </c>
      <c r="WQF47" s="3" t="s">
        <v>26</v>
      </c>
      <c r="WQG47" s="3" t="s">
        <v>197</v>
      </c>
      <c r="WQJ47" s="3" t="s">
        <v>198</v>
      </c>
      <c r="WQK47" s="2" t="s">
        <v>195</v>
      </c>
      <c r="WQL47" s="3" t="s">
        <v>196</v>
      </c>
      <c r="WQM47" s="3" t="s">
        <v>180</v>
      </c>
      <c r="WQN47" s="3" t="s">
        <v>26</v>
      </c>
      <c r="WQO47" s="3" t="s">
        <v>197</v>
      </c>
      <c r="WQR47" s="3" t="s">
        <v>198</v>
      </c>
      <c r="WQS47" s="2" t="s">
        <v>195</v>
      </c>
      <c r="WQT47" s="3" t="s">
        <v>196</v>
      </c>
      <c r="WQU47" s="3" t="s">
        <v>180</v>
      </c>
      <c r="WQV47" s="3" t="s">
        <v>26</v>
      </c>
      <c r="WQW47" s="3" t="s">
        <v>197</v>
      </c>
      <c r="WQZ47" s="3" t="s">
        <v>198</v>
      </c>
      <c r="WRA47" s="2" t="s">
        <v>195</v>
      </c>
      <c r="WRB47" s="3" t="s">
        <v>196</v>
      </c>
      <c r="WRC47" s="3" t="s">
        <v>180</v>
      </c>
      <c r="WRD47" s="3" t="s">
        <v>26</v>
      </c>
      <c r="WRE47" s="3" t="s">
        <v>197</v>
      </c>
      <c r="WRH47" s="3" t="s">
        <v>198</v>
      </c>
      <c r="WRI47" s="2" t="s">
        <v>195</v>
      </c>
      <c r="WRJ47" s="3" t="s">
        <v>196</v>
      </c>
      <c r="WRK47" s="3" t="s">
        <v>180</v>
      </c>
      <c r="WRL47" s="3" t="s">
        <v>26</v>
      </c>
      <c r="WRM47" s="3" t="s">
        <v>197</v>
      </c>
      <c r="WRP47" s="3" t="s">
        <v>198</v>
      </c>
      <c r="WRQ47" s="2" t="s">
        <v>195</v>
      </c>
      <c r="WRR47" s="3" t="s">
        <v>196</v>
      </c>
      <c r="WRS47" s="3" t="s">
        <v>180</v>
      </c>
      <c r="WRT47" s="3" t="s">
        <v>26</v>
      </c>
      <c r="WRU47" s="3" t="s">
        <v>197</v>
      </c>
      <c r="WRX47" s="3" t="s">
        <v>198</v>
      </c>
      <c r="WRY47" s="2" t="s">
        <v>195</v>
      </c>
      <c r="WRZ47" s="3" t="s">
        <v>196</v>
      </c>
      <c r="WSA47" s="3" t="s">
        <v>180</v>
      </c>
      <c r="WSB47" s="3" t="s">
        <v>26</v>
      </c>
      <c r="WSC47" s="3" t="s">
        <v>197</v>
      </c>
      <c r="WSF47" s="3" t="s">
        <v>198</v>
      </c>
      <c r="WSG47" s="2" t="s">
        <v>195</v>
      </c>
      <c r="WSH47" s="3" t="s">
        <v>196</v>
      </c>
      <c r="WSI47" s="3" t="s">
        <v>180</v>
      </c>
      <c r="WSJ47" s="3" t="s">
        <v>26</v>
      </c>
      <c r="WSK47" s="3" t="s">
        <v>197</v>
      </c>
      <c r="WSN47" s="3" t="s">
        <v>198</v>
      </c>
      <c r="WSO47" s="2" t="s">
        <v>195</v>
      </c>
      <c r="WSP47" s="3" t="s">
        <v>196</v>
      </c>
      <c r="WSQ47" s="3" t="s">
        <v>180</v>
      </c>
      <c r="WSR47" s="3" t="s">
        <v>26</v>
      </c>
      <c r="WSS47" s="3" t="s">
        <v>197</v>
      </c>
      <c r="WSV47" s="3" t="s">
        <v>198</v>
      </c>
      <c r="WSW47" s="2" t="s">
        <v>195</v>
      </c>
      <c r="WSX47" s="3" t="s">
        <v>196</v>
      </c>
      <c r="WSY47" s="3" t="s">
        <v>180</v>
      </c>
      <c r="WSZ47" s="3" t="s">
        <v>26</v>
      </c>
      <c r="WTA47" s="3" t="s">
        <v>197</v>
      </c>
      <c r="WTD47" s="3" t="s">
        <v>198</v>
      </c>
      <c r="WTE47" s="2" t="s">
        <v>195</v>
      </c>
      <c r="WTF47" s="3" t="s">
        <v>196</v>
      </c>
      <c r="WTG47" s="3" t="s">
        <v>180</v>
      </c>
      <c r="WTH47" s="3" t="s">
        <v>26</v>
      </c>
      <c r="WTI47" s="3" t="s">
        <v>197</v>
      </c>
      <c r="WTL47" s="3" t="s">
        <v>198</v>
      </c>
      <c r="WTM47" s="2" t="s">
        <v>195</v>
      </c>
      <c r="WTN47" s="3" t="s">
        <v>196</v>
      </c>
      <c r="WTO47" s="3" t="s">
        <v>180</v>
      </c>
      <c r="WTP47" s="3" t="s">
        <v>26</v>
      </c>
      <c r="WTQ47" s="3" t="s">
        <v>197</v>
      </c>
      <c r="WTT47" s="3" t="s">
        <v>198</v>
      </c>
      <c r="WTU47" s="2" t="s">
        <v>195</v>
      </c>
      <c r="WTV47" s="3" t="s">
        <v>196</v>
      </c>
      <c r="WTW47" s="3" t="s">
        <v>180</v>
      </c>
      <c r="WTX47" s="3" t="s">
        <v>26</v>
      </c>
      <c r="WTY47" s="3" t="s">
        <v>197</v>
      </c>
      <c r="WUB47" s="3" t="s">
        <v>198</v>
      </c>
      <c r="WUC47" s="2" t="s">
        <v>195</v>
      </c>
      <c r="WUD47" s="3" t="s">
        <v>196</v>
      </c>
      <c r="WUE47" s="3" t="s">
        <v>180</v>
      </c>
      <c r="WUF47" s="3" t="s">
        <v>26</v>
      </c>
      <c r="WUG47" s="3" t="s">
        <v>197</v>
      </c>
      <c r="WUJ47" s="3" t="s">
        <v>198</v>
      </c>
      <c r="WUK47" s="2" t="s">
        <v>195</v>
      </c>
      <c r="WUL47" s="3" t="s">
        <v>196</v>
      </c>
      <c r="WUM47" s="3" t="s">
        <v>180</v>
      </c>
      <c r="WUN47" s="3" t="s">
        <v>26</v>
      </c>
      <c r="WUO47" s="3" t="s">
        <v>197</v>
      </c>
      <c r="WUR47" s="3" t="s">
        <v>198</v>
      </c>
      <c r="WUS47" s="2" t="s">
        <v>195</v>
      </c>
      <c r="WUT47" s="3" t="s">
        <v>196</v>
      </c>
      <c r="WUU47" s="3" t="s">
        <v>180</v>
      </c>
      <c r="WUV47" s="3" t="s">
        <v>26</v>
      </c>
      <c r="WUW47" s="3" t="s">
        <v>197</v>
      </c>
      <c r="WUZ47" s="3" t="s">
        <v>198</v>
      </c>
      <c r="WVA47" s="2" t="s">
        <v>195</v>
      </c>
      <c r="WVB47" s="3" t="s">
        <v>196</v>
      </c>
      <c r="WVC47" s="3" t="s">
        <v>180</v>
      </c>
      <c r="WVD47" s="3" t="s">
        <v>26</v>
      </c>
      <c r="WVE47" s="3" t="s">
        <v>197</v>
      </c>
      <c r="WVH47" s="3" t="s">
        <v>198</v>
      </c>
      <c r="WVI47" s="2" t="s">
        <v>195</v>
      </c>
      <c r="WVJ47" s="3" t="s">
        <v>196</v>
      </c>
      <c r="WVK47" s="3" t="s">
        <v>180</v>
      </c>
      <c r="WVL47" s="3" t="s">
        <v>26</v>
      </c>
      <c r="WVM47" s="3" t="s">
        <v>197</v>
      </c>
      <c r="WVP47" s="3" t="s">
        <v>198</v>
      </c>
      <c r="WVQ47" s="2" t="s">
        <v>195</v>
      </c>
      <c r="WVR47" s="3" t="s">
        <v>196</v>
      </c>
      <c r="WVS47" s="3" t="s">
        <v>180</v>
      </c>
      <c r="WVT47" s="3" t="s">
        <v>26</v>
      </c>
      <c r="WVU47" s="3" t="s">
        <v>197</v>
      </c>
      <c r="WVX47" s="3" t="s">
        <v>198</v>
      </c>
      <c r="WVY47" s="2" t="s">
        <v>195</v>
      </c>
      <c r="WVZ47" s="3" t="s">
        <v>196</v>
      </c>
      <c r="WWA47" s="3" t="s">
        <v>180</v>
      </c>
      <c r="WWB47" s="3" t="s">
        <v>26</v>
      </c>
      <c r="WWC47" s="3" t="s">
        <v>197</v>
      </c>
      <c r="WWF47" s="3" t="s">
        <v>198</v>
      </c>
      <c r="WWG47" s="2" t="s">
        <v>195</v>
      </c>
      <c r="WWH47" s="3" t="s">
        <v>196</v>
      </c>
      <c r="WWI47" s="3" t="s">
        <v>180</v>
      </c>
      <c r="WWJ47" s="3" t="s">
        <v>26</v>
      </c>
      <c r="WWK47" s="3" t="s">
        <v>197</v>
      </c>
      <c r="WWN47" s="3" t="s">
        <v>198</v>
      </c>
      <c r="WWO47" s="2" t="s">
        <v>195</v>
      </c>
      <c r="WWP47" s="3" t="s">
        <v>196</v>
      </c>
      <c r="WWQ47" s="3" t="s">
        <v>180</v>
      </c>
      <c r="WWR47" s="3" t="s">
        <v>26</v>
      </c>
      <c r="WWS47" s="3" t="s">
        <v>197</v>
      </c>
      <c r="WWV47" s="3" t="s">
        <v>198</v>
      </c>
      <c r="WWW47" s="2" t="s">
        <v>195</v>
      </c>
      <c r="WWX47" s="3" t="s">
        <v>196</v>
      </c>
      <c r="WWY47" s="3" t="s">
        <v>180</v>
      </c>
      <c r="WWZ47" s="3" t="s">
        <v>26</v>
      </c>
      <c r="WXA47" s="3" t="s">
        <v>197</v>
      </c>
      <c r="WXD47" s="3" t="s">
        <v>198</v>
      </c>
      <c r="WXE47" s="2" t="s">
        <v>195</v>
      </c>
      <c r="WXF47" s="3" t="s">
        <v>196</v>
      </c>
      <c r="WXG47" s="3" t="s">
        <v>180</v>
      </c>
      <c r="WXH47" s="3" t="s">
        <v>26</v>
      </c>
      <c r="WXI47" s="3" t="s">
        <v>197</v>
      </c>
      <c r="WXL47" s="3" t="s">
        <v>198</v>
      </c>
      <c r="WXM47" s="2" t="s">
        <v>195</v>
      </c>
      <c r="WXN47" s="3" t="s">
        <v>196</v>
      </c>
      <c r="WXO47" s="3" t="s">
        <v>180</v>
      </c>
      <c r="WXP47" s="3" t="s">
        <v>26</v>
      </c>
      <c r="WXQ47" s="3" t="s">
        <v>197</v>
      </c>
      <c r="WXT47" s="3" t="s">
        <v>198</v>
      </c>
      <c r="WXU47" s="2" t="s">
        <v>195</v>
      </c>
      <c r="WXV47" s="3" t="s">
        <v>196</v>
      </c>
      <c r="WXW47" s="3" t="s">
        <v>180</v>
      </c>
      <c r="WXX47" s="3" t="s">
        <v>26</v>
      </c>
      <c r="WXY47" s="3" t="s">
        <v>197</v>
      </c>
      <c r="WYB47" s="3" t="s">
        <v>198</v>
      </c>
      <c r="WYC47" s="2" t="s">
        <v>195</v>
      </c>
      <c r="WYD47" s="3" t="s">
        <v>196</v>
      </c>
      <c r="WYE47" s="3" t="s">
        <v>180</v>
      </c>
      <c r="WYF47" s="3" t="s">
        <v>26</v>
      </c>
      <c r="WYG47" s="3" t="s">
        <v>197</v>
      </c>
      <c r="WYJ47" s="3" t="s">
        <v>198</v>
      </c>
      <c r="WYK47" s="2" t="s">
        <v>195</v>
      </c>
      <c r="WYL47" s="3" t="s">
        <v>196</v>
      </c>
      <c r="WYM47" s="3" t="s">
        <v>180</v>
      </c>
      <c r="WYN47" s="3" t="s">
        <v>26</v>
      </c>
      <c r="WYO47" s="3" t="s">
        <v>197</v>
      </c>
      <c r="WYR47" s="3" t="s">
        <v>198</v>
      </c>
      <c r="WYS47" s="2" t="s">
        <v>195</v>
      </c>
      <c r="WYT47" s="3" t="s">
        <v>196</v>
      </c>
      <c r="WYU47" s="3" t="s">
        <v>180</v>
      </c>
      <c r="WYV47" s="3" t="s">
        <v>26</v>
      </c>
      <c r="WYW47" s="3" t="s">
        <v>197</v>
      </c>
      <c r="WYZ47" s="3" t="s">
        <v>198</v>
      </c>
      <c r="WZA47" s="2" t="s">
        <v>195</v>
      </c>
      <c r="WZB47" s="3" t="s">
        <v>196</v>
      </c>
      <c r="WZC47" s="3" t="s">
        <v>180</v>
      </c>
      <c r="WZD47" s="3" t="s">
        <v>26</v>
      </c>
      <c r="WZE47" s="3" t="s">
        <v>197</v>
      </c>
      <c r="WZH47" s="3" t="s">
        <v>198</v>
      </c>
      <c r="WZI47" s="2" t="s">
        <v>195</v>
      </c>
      <c r="WZJ47" s="3" t="s">
        <v>196</v>
      </c>
      <c r="WZK47" s="3" t="s">
        <v>180</v>
      </c>
      <c r="WZL47" s="3" t="s">
        <v>26</v>
      </c>
      <c r="WZM47" s="3" t="s">
        <v>197</v>
      </c>
      <c r="WZP47" s="3" t="s">
        <v>198</v>
      </c>
      <c r="WZQ47" s="2" t="s">
        <v>195</v>
      </c>
      <c r="WZR47" s="3" t="s">
        <v>196</v>
      </c>
      <c r="WZS47" s="3" t="s">
        <v>180</v>
      </c>
      <c r="WZT47" s="3" t="s">
        <v>26</v>
      </c>
      <c r="WZU47" s="3" t="s">
        <v>197</v>
      </c>
      <c r="WZX47" s="3" t="s">
        <v>198</v>
      </c>
      <c r="WZY47" s="2" t="s">
        <v>195</v>
      </c>
      <c r="WZZ47" s="3" t="s">
        <v>196</v>
      </c>
      <c r="XAA47" s="3" t="s">
        <v>180</v>
      </c>
      <c r="XAB47" s="3" t="s">
        <v>26</v>
      </c>
      <c r="XAC47" s="3" t="s">
        <v>197</v>
      </c>
      <c r="XAF47" s="3" t="s">
        <v>198</v>
      </c>
      <c r="XAG47" s="2" t="s">
        <v>195</v>
      </c>
      <c r="XAH47" s="3" t="s">
        <v>196</v>
      </c>
      <c r="XAI47" s="3" t="s">
        <v>180</v>
      </c>
      <c r="XAJ47" s="3" t="s">
        <v>26</v>
      </c>
      <c r="XAK47" s="3" t="s">
        <v>197</v>
      </c>
      <c r="XAN47" s="3" t="s">
        <v>198</v>
      </c>
      <c r="XAO47" s="2" t="s">
        <v>195</v>
      </c>
      <c r="XAP47" s="3" t="s">
        <v>196</v>
      </c>
      <c r="XAQ47" s="3" t="s">
        <v>180</v>
      </c>
      <c r="XAR47" s="3" t="s">
        <v>26</v>
      </c>
      <c r="XAS47" s="3" t="s">
        <v>197</v>
      </c>
      <c r="XAV47" s="3" t="s">
        <v>198</v>
      </c>
      <c r="XAW47" s="2" t="s">
        <v>195</v>
      </c>
      <c r="XAX47" s="3" t="s">
        <v>196</v>
      </c>
      <c r="XAY47" s="3" t="s">
        <v>180</v>
      </c>
      <c r="XAZ47" s="3" t="s">
        <v>26</v>
      </c>
      <c r="XBA47" s="3" t="s">
        <v>197</v>
      </c>
      <c r="XBD47" s="3" t="s">
        <v>198</v>
      </c>
      <c r="XBE47" s="2" t="s">
        <v>195</v>
      </c>
      <c r="XBF47" s="3" t="s">
        <v>196</v>
      </c>
      <c r="XBG47" s="3" t="s">
        <v>180</v>
      </c>
      <c r="XBH47" s="3" t="s">
        <v>26</v>
      </c>
      <c r="XBI47" s="3" t="s">
        <v>197</v>
      </c>
      <c r="XBL47" s="3" t="s">
        <v>198</v>
      </c>
      <c r="XBM47" s="2" t="s">
        <v>195</v>
      </c>
      <c r="XBN47" s="3" t="s">
        <v>196</v>
      </c>
      <c r="XBO47" s="3" t="s">
        <v>180</v>
      </c>
      <c r="XBP47" s="3" t="s">
        <v>26</v>
      </c>
      <c r="XBQ47" s="3" t="s">
        <v>197</v>
      </c>
      <c r="XBT47" s="3" t="s">
        <v>198</v>
      </c>
      <c r="XBU47" s="2" t="s">
        <v>195</v>
      </c>
      <c r="XBV47" s="3" t="s">
        <v>196</v>
      </c>
      <c r="XBW47" s="3" t="s">
        <v>180</v>
      </c>
      <c r="XBX47" s="3" t="s">
        <v>26</v>
      </c>
      <c r="XBY47" s="3" t="s">
        <v>197</v>
      </c>
      <c r="XCB47" s="3" t="s">
        <v>198</v>
      </c>
      <c r="XCC47" s="2" t="s">
        <v>195</v>
      </c>
      <c r="XCD47" s="3" t="s">
        <v>196</v>
      </c>
      <c r="XCE47" s="3" t="s">
        <v>180</v>
      </c>
      <c r="XCF47" s="3" t="s">
        <v>26</v>
      </c>
      <c r="XCG47" s="3" t="s">
        <v>197</v>
      </c>
      <c r="XCJ47" s="3" t="s">
        <v>198</v>
      </c>
      <c r="XCK47" s="2" t="s">
        <v>195</v>
      </c>
      <c r="XCL47" s="3" t="s">
        <v>196</v>
      </c>
      <c r="XCM47" s="3" t="s">
        <v>180</v>
      </c>
      <c r="XCN47" s="3" t="s">
        <v>26</v>
      </c>
      <c r="XCO47" s="3" t="s">
        <v>197</v>
      </c>
      <c r="XCR47" s="3" t="s">
        <v>198</v>
      </c>
      <c r="XCS47" s="2" t="s">
        <v>195</v>
      </c>
      <c r="XCT47" s="3" t="s">
        <v>196</v>
      </c>
      <c r="XCU47" s="3" t="s">
        <v>180</v>
      </c>
      <c r="XCV47" s="3" t="s">
        <v>26</v>
      </c>
      <c r="XCW47" s="3" t="s">
        <v>197</v>
      </c>
      <c r="XCZ47" s="3" t="s">
        <v>198</v>
      </c>
      <c r="XDA47" s="2" t="s">
        <v>195</v>
      </c>
      <c r="XDB47" s="3" t="s">
        <v>196</v>
      </c>
      <c r="XDC47" s="3" t="s">
        <v>180</v>
      </c>
      <c r="XDD47" s="3" t="s">
        <v>26</v>
      </c>
      <c r="XDE47" s="3" t="s">
        <v>197</v>
      </c>
      <c r="XDH47" s="3" t="s">
        <v>198</v>
      </c>
      <c r="XDI47" s="2" t="s">
        <v>195</v>
      </c>
      <c r="XDJ47" s="3" t="s">
        <v>196</v>
      </c>
      <c r="XDK47" s="3" t="s">
        <v>180</v>
      </c>
      <c r="XDL47" s="3" t="s">
        <v>26</v>
      </c>
      <c r="XDM47" s="3" t="s">
        <v>197</v>
      </c>
      <c r="XDP47" s="3" t="s">
        <v>198</v>
      </c>
      <c r="XDQ47" s="2" t="s">
        <v>195</v>
      </c>
      <c r="XDR47" s="3" t="s">
        <v>196</v>
      </c>
      <c r="XDS47" s="3" t="s">
        <v>180</v>
      </c>
      <c r="XDT47" s="3" t="s">
        <v>26</v>
      </c>
      <c r="XDU47" s="3" t="s">
        <v>197</v>
      </c>
      <c r="XDX47" s="3" t="s">
        <v>198</v>
      </c>
      <c r="XDY47" s="2" t="s">
        <v>195</v>
      </c>
      <c r="XDZ47" s="3" t="s">
        <v>196</v>
      </c>
      <c r="XEA47" s="3" t="s">
        <v>180</v>
      </c>
      <c r="XEB47" s="3" t="s">
        <v>26</v>
      </c>
      <c r="XEC47" s="3" t="s">
        <v>197</v>
      </c>
      <c r="XEF47" s="3" t="s">
        <v>198</v>
      </c>
      <c r="XEG47" s="2" t="s">
        <v>195</v>
      </c>
      <c r="XEH47" s="3" t="s">
        <v>196</v>
      </c>
      <c r="XEI47" s="3" t="s">
        <v>180</v>
      </c>
      <c r="XEJ47" s="3" t="s">
        <v>26</v>
      </c>
      <c r="XEK47" s="3" t="s">
        <v>197</v>
      </c>
      <c r="XEN47" s="3" t="s">
        <v>198</v>
      </c>
      <c r="XEO47" s="2" t="s">
        <v>195</v>
      </c>
      <c r="XEP47" s="3" t="s">
        <v>196</v>
      </c>
      <c r="XEQ47" s="3" t="s">
        <v>180</v>
      </c>
      <c r="XER47" s="3" t="s">
        <v>26</v>
      </c>
      <c r="XES47" s="3" t="s">
        <v>197</v>
      </c>
      <c r="XEV47" s="3" t="s">
        <v>198</v>
      </c>
      <c r="XEW47" s="2" t="s">
        <v>195</v>
      </c>
      <c r="XEX47" s="3" t="s">
        <v>196</v>
      </c>
      <c r="XEY47" s="3" t="s">
        <v>180</v>
      </c>
      <c r="XEZ47" s="3" t="s">
        <v>26</v>
      </c>
      <c r="XFA47" s="3" t="s">
        <v>197</v>
      </c>
      <c r="XFD47" s="3" t="s">
        <v>198</v>
      </c>
    </row>
    <row r="48" spans="1:16384" s="3" customFormat="1" ht="29" x14ac:dyDescent="0.35">
      <c r="A48" s="2" t="s">
        <v>199</v>
      </c>
      <c r="B48" s="3" t="s">
        <v>200</v>
      </c>
      <c r="C48" s="3" t="s">
        <v>180</v>
      </c>
      <c r="D48" s="3" t="s">
        <v>26</v>
      </c>
      <c r="E48" s="18" t="s">
        <v>201</v>
      </c>
      <c r="G48" s="3" t="s">
        <v>202</v>
      </c>
      <c r="H48" s="3" t="s">
        <v>203</v>
      </c>
      <c r="I48" s="2"/>
      <c r="Q48" s="2"/>
      <c r="Y48" s="2"/>
      <c r="AG48" s="2"/>
      <c r="AO48" s="2"/>
      <c r="AW48" s="2"/>
      <c r="BE48" s="2"/>
      <c r="BM48" s="2"/>
      <c r="BU48" s="2"/>
      <c r="CC48" s="2"/>
      <c r="CK48" s="2"/>
      <c r="CS48" s="2"/>
      <c r="DA48" s="2"/>
      <c r="DI48" s="2"/>
      <c r="DQ48" s="2"/>
      <c r="DY48" s="2"/>
      <c r="EG48" s="2"/>
      <c r="EO48" s="2"/>
      <c r="EW48" s="2"/>
      <c r="FE48" s="2"/>
      <c r="FM48" s="2"/>
      <c r="FU48" s="2"/>
      <c r="GC48" s="2"/>
      <c r="GK48" s="2"/>
      <c r="GS48" s="2"/>
      <c r="HA48" s="2"/>
      <c r="HI48" s="2"/>
      <c r="HQ48" s="2"/>
      <c r="HY48" s="2"/>
      <c r="IG48" s="2"/>
      <c r="IO48" s="2"/>
      <c r="IW48" s="2"/>
      <c r="JE48" s="2"/>
      <c r="JM48" s="2"/>
      <c r="JU48" s="2"/>
      <c r="KC48" s="2"/>
      <c r="KK48" s="2"/>
      <c r="KS48" s="2"/>
      <c r="LA48" s="2"/>
      <c r="LI48" s="2"/>
      <c r="LQ48" s="2"/>
      <c r="LY48" s="2"/>
      <c r="MG48" s="2"/>
      <c r="MO48" s="2"/>
      <c r="MW48" s="2"/>
      <c r="NE48" s="2"/>
      <c r="NM48" s="2"/>
      <c r="NU48" s="2"/>
      <c r="OC48" s="2"/>
      <c r="OK48" s="2"/>
      <c r="OS48" s="2"/>
      <c r="PA48" s="2"/>
      <c r="PI48" s="2"/>
      <c r="PQ48" s="2"/>
      <c r="PY48" s="2"/>
      <c r="QG48" s="2"/>
      <c r="QO48" s="2"/>
      <c r="QW48" s="2"/>
      <c r="RE48" s="2"/>
      <c r="RM48" s="2"/>
      <c r="RU48" s="2"/>
      <c r="SC48" s="2"/>
      <c r="SK48" s="2"/>
      <c r="SS48" s="2"/>
      <c r="TA48" s="2"/>
      <c r="TI48" s="2"/>
      <c r="TQ48" s="2"/>
      <c r="TY48" s="2"/>
      <c r="UG48" s="2"/>
      <c r="UO48" s="2"/>
      <c r="UW48" s="2"/>
      <c r="VE48" s="2"/>
      <c r="VM48" s="2"/>
      <c r="VU48" s="2"/>
      <c r="WC48" s="2"/>
      <c r="WK48" s="2"/>
      <c r="WS48" s="2"/>
      <c r="XA48" s="2"/>
      <c r="XI48" s="2"/>
      <c r="XQ48" s="2"/>
      <c r="XY48" s="2"/>
      <c r="YG48" s="2"/>
      <c r="YO48" s="2"/>
      <c r="YW48" s="2"/>
      <c r="ZE48" s="2"/>
      <c r="ZM48" s="2"/>
      <c r="ZU48" s="2"/>
      <c r="AAC48" s="2"/>
      <c r="AAK48" s="2"/>
      <c r="AAS48" s="2"/>
      <c r="ABA48" s="2"/>
      <c r="ABI48" s="2"/>
      <c r="ABQ48" s="2"/>
      <c r="ABY48" s="2"/>
      <c r="ACG48" s="2"/>
      <c r="ACO48" s="2"/>
      <c r="ACW48" s="2"/>
      <c r="ADE48" s="2"/>
      <c r="ADM48" s="2"/>
      <c r="ADU48" s="2"/>
      <c r="AEC48" s="2"/>
      <c r="AEK48" s="2"/>
      <c r="AES48" s="2"/>
      <c r="AFA48" s="2"/>
      <c r="AFI48" s="2"/>
      <c r="AFQ48" s="2"/>
      <c r="AFY48" s="2"/>
      <c r="AGG48" s="2"/>
      <c r="AGO48" s="2"/>
      <c r="AGW48" s="2"/>
      <c r="AHE48" s="2"/>
      <c r="AHM48" s="2"/>
      <c r="AHU48" s="2"/>
      <c r="AIC48" s="2"/>
      <c r="AIK48" s="2"/>
      <c r="AIS48" s="2"/>
      <c r="AJA48" s="2"/>
      <c r="AJI48" s="2"/>
      <c r="AJQ48" s="2"/>
      <c r="AJY48" s="2"/>
      <c r="AKG48" s="2"/>
      <c r="AKO48" s="2"/>
      <c r="AKW48" s="2"/>
      <c r="ALE48" s="2"/>
      <c r="ALM48" s="2"/>
      <c r="ALU48" s="2"/>
      <c r="AMC48" s="2"/>
      <c r="AMK48" s="2"/>
      <c r="AMS48" s="2"/>
      <c r="ANA48" s="2"/>
      <c r="ANI48" s="2"/>
      <c r="ANQ48" s="2"/>
      <c r="ANY48" s="2"/>
      <c r="AOG48" s="2"/>
      <c r="AOO48" s="2"/>
      <c r="AOW48" s="2"/>
      <c r="APE48" s="2"/>
      <c r="APM48" s="2"/>
      <c r="APU48" s="2"/>
      <c r="AQC48" s="2"/>
      <c r="AQK48" s="2"/>
      <c r="AQS48" s="2"/>
      <c r="ARA48" s="2"/>
      <c r="ARI48" s="2"/>
      <c r="ARQ48" s="2"/>
      <c r="ARY48" s="2"/>
      <c r="ASG48" s="2"/>
      <c r="ASO48" s="2"/>
      <c r="ASW48" s="2"/>
      <c r="ATE48" s="2"/>
      <c r="ATM48" s="2"/>
      <c r="ATU48" s="2"/>
      <c r="AUC48" s="2"/>
      <c r="AUK48" s="2"/>
      <c r="AUS48" s="2"/>
      <c r="AVA48" s="2"/>
      <c r="AVI48" s="2"/>
      <c r="AVQ48" s="2"/>
      <c r="AVY48" s="2"/>
      <c r="AWG48" s="2"/>
      <c r="AWO48" s="2"/>
      <c r="AWW48" s="2"/>
      <c r="AXE48" s="2"/>
      <c r="AXM48" s="2"/>
      <c r="AXU48" s="2"/>
      <c r="AYC48" s="2"/>
      <c r="AYK48" s="2"/>
      <c r="AYS48" s="2"/>
      <c r="AZA48" s="2"/>
      <c r="AZI48" s="2"/>
      <c r="AZQ48" s="2"/>
      <c r="AZY48" s="2"/>
      <c r="BAG48" s="2"/>
      <c r="BAO48" s="2"/>
      <c r="BAW48" s="2"/>
      <c r="BBE48" s="2"/>
      <c r="BBM48" s="2"/>
      <c r="BBU48" s="2"/>
      <c r="BCC48" s="2"/>
      <c r="BCK48" s="2"/>
      <c r="BCS48" s="2"/>
      <c r="BDA48" s="2"/>
      <c r="BDI48" s="2"/>
      <c r="BDQ48" s="2"/>
      <c r="BDY48" s="2"/>
      <c r="BEG48" s="2"/>
      <c r="BEO48" s="2"/>
      <c r="BEW48" s="2"/>
      <c r="BFE48" s="2"/>
      <c r="BFM48" s="2"/>
      <c r="BFU48" s="2"/>
      <c r="BGC48" s="2"/>
      <c r="BGK48" s="2"/>
      <c r="BGS48" s="2"/>
      <c r="BHA48" s="2"/>
      <c r="BHI48" s="2"/>
      <c r="BHQ48" s="2"/>
      <c r="BHY48" s="2"/>
      <c r="BIG48" s="2"/>
      <c r="BIO48" s="2"/>
      <c r="BIW48" s="2"/>
      <c r="BJE48" s="2"/>
      <c r="BJM48" s="2"/>
      <c r="BJU48" s="2"/>
      <c r="BKC48" s="2"/>
      <c r="BKK48" s="2"/>
      <c r="BKS48" s="2"/>
      <c r="BLA48" s="2"/>
      <c r="BLI48" s="2"/>
      <c r="BLQ48" s="2"/>
      <c r="BLY48" s="2"/>
      <c r="BMG48" s="2"/>
      <c r="BMO48" s="2"/>
      <c r="BMW48" s="2"/>
      <c r="BNE48" s="2"/>
      <c r="BNM48" s="2"/>
      <c r="BNU48" s="2"/>
      <c r="BOC48" s="2"/>
      <c r="BOK48" s="2"/>
      <c r="BOS48" s="2"/>
      <c r="BPA48" s="2"/>
      <c r="BPI48" s="2"/>
      <c r="BPQ48" s="2"/>
      <c r="BPY48" s="2"/>
      <c r="BQG48" s="2"/>
      <c r="BQO48" s="2"/>
      <c r="BQW48" s="2"/>
      <c r="BRE48" s="2"/>
      <c r="BRM48" s="2"/>
      <c r="BRU48" s="2"/>
      <c r="BSC48" s="2"/>
      <c r="BSK48" s="2"/>
      <c r="BSS48" s="2"/>
      <c r="BTA48" s="2"/>
      <c r="BTI48" s="2"/>
      <c r="BTQ48" s="2"/>
      <c r="BTY48" s="2"/>
      <c r="BUG48" s="2"/>
      <c r="BUO48" s="2"/>
      <c r="BUW48" s="2"/>
      <c r="BVE48" s="2"/>
      <c r="BVM48" s="2"/>
      <c r="BVU48" s="2"/>
      <c r="BWC48" s="2"/>
      <c r="BWK48" s="2"/>
      <c r="BWS48" s="2"/>
      <c r="BXA48" s="2"/>
      <c r="BXI48" s="2"/>
      <c r="BXQ48" s="2"/>
      <c r="BXY48" s="2"/>
      <c r="BYG48" s="2"/>
      <c r="BYO48" s="2"/>
      <c r="BYW48" s="2"/>
      <c r="BZE48" s="2"/>
      <c r="BZM48" s="2"/>
      <c r="BZU48" s="2"/>
      <c r="CAC48" s="2"/>
      <c r="CAK48" s="2"/>
      <c r="CAS48" s="2"/>
      <c r="CBA48" s="2"/>
      <c r="CBI48" s="2"/>
      <c r="CBQ48" s="2"/>
      <c r="CBY48" s="2"/>
      <c r="CCG48" s="2"/>
      <c r="CCO48" s="2"/>
      <c r="CCW48" s="2"/>
      <c r="CDE48" s="2"/>
      <c r="CDM48" s="2"/>
      <c r="CDU48" s="2"/>
      <c r="CEC48" s="2"/>
      <c r="CEK48" s="2"/>
      <c r="CES48" s="2"/>
      <c r="CFA48" s="2"/>
      <c r="CFI48" s="2"/>
      <c r="CFQ48" s="2"/>
      <c r="CFY48" s="2"/>
      <c r="CGG48" s="2"/>
      <c r="CGO48" s="2"/>
      <c r="CGW48" s="2"/>
      <c r="CHE48" s="2"/>
      <c r="CHM48" s="2"/>
      <c r="CHU48" s="2"/>
      <c r="CIC48" s="2"/>
      <c r="CIK48" s="2"/>
      <c r="CIS48" s="2"/>
      <c r="CJA48" s="2"/>
      <c r="CJI48" s="2"/>
      <c r="CJQ48" s="2"/>
      <c r="CJY48" s="2"/>
      <c r="CKG48" s="2"/>
      <c r="CKO48" s="2"/>
      <c r="CKW48" s="2"/>
      <c r="CLE48" s="2"/>
      <c r="CLM48" s="2"/>
      <c r="CLU48" s="2"/>
      <c r="CMC48" s="2"/>
      <c r="CMK48" s="2"/>
      <c r="CMS48" s="2"/>
      <c r="CNA48" s="2"/>
      <c r="CNI48" s="2"/>
      <c r="CNQ48" s="2"/>
      <c r="CNY48" s="2"/>
      <c r="COG48" s="2"/>
      <c r="COO48" s="2"/>
      <c r="COW48" s="2"/>
      <c r="CPE48" s="2"/>
      <c r="CPM48" s="2"/>
      <c r="CPU48" s="2"/>
      <c r="CQC48" s="2"/>
      <c r="CQK48" s="2"/>
      <c r="CQS48" s="2"/>
      <c r="CRA48" s="2"/>
      <c r="CRI48" s="2"/>
      <c r="CRQ48" s="2"/>
      <c r="CRY48" s="2"/>
      <c r="CSG48" s="2"/>
      <c r="CSO48" s="2"/>
      <c r="CSW48" s="2"/>
      <c r="CTE48" s="2"/>
      <c r="CTM48" s="2"/>
      <c r="CTU48" s="2"/>
      <c r="CUC48" s="2"/>
      <c r="CUK48" s="2"/>
      <c r="CUS48" s="2"/>
      <c r="CVA48" s="2"/>
      <c r="CVI48" s="2"/>
      <c r="CVQ48" s="2"/>
      <c r="CVY48" s="2"/>
      <c r="CWG48" s="2"/>
      <c r="CWO48" s="2"/>
      <c r="CWW48" s="2"/>
      <c r="CXE48" s="2"/>
      <c r="CXM48" s="2"/>
      <c r="CXU48" s="2"/>
      <c r="CYC48" s="2"/>
      <c r="CYK48" s="2"/>
      <c r="CYS48" s="2"/>
      <c r="CZA48" s="2"/>
      <c r="CZI48" s="2"/>
      <c r="CZQ48" s="2"/>
      <c r="CZY48" s="2"/>
      <c r="DAG48" s="2"/>
      <c r="DAO48" s="2"/>
      <c r="DAW48" s="2"/>
      <c r="DBE48" s="2"/>
      <c r="DBM48" s="2"/>
      <c r="DBU48" s="2"/>
      <c r="DCC48" s="2"/>
      <c r="DCK48" s="2"/>
      <c r="DCS48" s="2"/>
      <c r="DDA48" s="2"/>
      <c r="DDI48" s="2"/>
      <c r="DDQ48" s="2"/>
      <c r="DDY48" s="2"/>
      <c r="DEG48" s="2"/>
      <c r="DEO48" s="2"/>
      <c r="DEW48" s="2"/>
      <c r="DFE48" s="2"/>
      <c r="DFM48" s="2"/>
      <c r="DFU48" s="2"/>
      <c r="DGC48" s="2"/>
      <c r="DGK48" s="2"/>
      <c r="DGS48" s="2"/>
      <c r="DHA48" s="2"/>
      <c r="DHI48" s="2"/>
      <c r="DHQ48" s="2"/>
      <c r="DHY48" s="2"/>
      <c r="DIG48" s="2"/>
      <c r="DIO48" s="2"/>
      <c r="DIW48" s="2"/>
      <c r="DJE48" s="2"/>
      <c r="DJM48" s="2"/>
      <c r="DJU48" s="2"/>
      <c r="DKC48" s="2"/>
      <c r="DKK48" s="2"/>
      <c r="DKS48" s="2"/>
      <c r="DLA48" s="2"/>
      <c r="DLI48" s="2"/>
      <c r="DLQ48" s="2"/>
      <c r="DLY48" s="2"/>
      <c r="DMG48" s="2"/>
      <c r="DMO48" s="2"/>
      <c r="DMW48" s="2"/>
      <c r="DNE48" s="2"/>
      <c r="DNM48" s="2"/>
      <c r="DNU48" s="2"/>
      <c r="DOC48" s="2"/>
      <c r="DOK48" s="2"/>
      <c r="DOS48" s="2"/>
      <c r="DPA48" s="2"/>
      <c r="DPI48" s="2"/>
      <c r="DPQ48" s="2"/>
      <c r="DPY48" s="2"/>
      <c r="DQG48" s="2"/>
      <c r="DQO48" s="2"/>
      <c r="DQW48" s="2"/>
      <c r="DRE48" s="2"/>
      <c r="DRM48" s="2"/>
      <c r="DRU48" s="2"/>
      <c r="DSC48" s="2"/>
      <c r="DSK48" s="2"/>
      <c r="DSS48" s="2"/>
      <c r="DTA48" s="2"/>
      <c r="DTI48" s="2"/>
      <c r="DTQ48" s="2"/>
      <c r="DTY48" s="2"/>
      <c r="DUG48" s="2"/>
      <c r="DUO48" s="2"/>
      <c r="DUW48" s="2"/>
      <c r="DVE48" s="2"/>
      <c r="DVM48" s="2"/>
      <c r="DVU48" s="2"/>
      <c r="DWC48" s="2"/>
      <c r="DWK48" s="2"/>
      <c r="DWS48" s="2"/>
      <c r="DXA48" s="2"/>
      <c r="DXI48" s="2"/>
      <c r="DXQ48" s="2"/>
      <c r="DXY48" s="2"/>
      <c r="DYG48" s="2"/>
      <c r="DYO48" s="2"/>
      <c r="DYW48" s="2"/>
      <c r="DZE48" s="2"/>
      <c r="DZM48" s="2"/>
      <c r="DZU48" s="2"/>
      <c r="EAC48" s="2"/>
      <c r="EAK48" s="2"/>
      <c r="EAS48" s="2"/>
      <c r="EBA48" s="2"/>
      <c r="EBI48" s="2"/>
      <c r="EBQ48" s="2"/>
      <c r="EBY48" s="2"/>
      <c r="ECG48" s="2"/>
      <c r="ECO48" s="2"/>
      <c r="ECW48" s="2"/>
      <c r="EDE48" s="2"/>
      <c r="EDM48" s="2"/>
      <c r="EDU48" s="2"/>
      <c r="EEC48" s="2"/>
      <c r="EEK48" s="2"/>
      <c r="EES48" s="2"/>
      <c r="EFA48" s="2"/>
      <c r="EFI48" s="2"/>
      <c r="EFQ48" s="2"/>
      <c r="EFY48" s="2"/>
      <c r="EGG48" s="2"/>
      <c r="EGO48" s="2"/>
      <c r="EGW48" s="2"/>
      <c r="EHE48" s="2"/>
      <c r="EHM48" s="2"/>
      <c r="EHU48" s="2"/>
      <c r="EIC48" s="2"/>
      <c r="EIK48" s="2"/>
      <c r="EIS48" s="2"/>
      <c r="EJA48" s="2"/>
      <c r="EJI48" s="2"/>
      <c r="EJQ48" s="2"/>
      <c r="EJY48" s="2"/>
      <c r="EKG48" s="2"/>
      <c r="EKO48" s="2"/>
      <c r="EKW48" s="2"/>
      <c r="ELE48" s="2"/>
      <c r="ELM48" s="2"/>
      <c r="ELU48" s="2"/>
      <c r="EMC48" s="2"/>
      <c r="EMK48" s="2"/>
      <c r="EMS48" s="2"/>
      <c r="ENA48" s="2"/>
      <c r="ENI48" s="2"/>
      <c r="ENQ48" s="2"/>
      <c r="ENY48" s="2"/>
      <c r="EOG48" s="2"/>
      <c r="EOO48" s="2"/>
      <c r="EOW48" s="2"/>
      <c r="EPE48" s="2"/>
      <c r="EPM48" s="2"/>
      <c r="EPU48" s="2"/>
      <c r="EQC48" s="2"/>
      <c r="EQK48" s="2"/>
      <c r="EQS48" s="2"/>
      <c r="ERA48" s="2"/>
      <c r="ERI48" s="2"/>
      <c r="ERQ48" s="2"/>
      <c r="ERY48" s="2"/>
      <c r="ESG48" s="2"/>
      <c r="ESO48" s="2"/>
      <c r="ESW48" s="2"/>
      <c r="ETE48" s="2"/>
      <c r="ETM48" s="2"/>
      <c r="ETU48" s="2"/>
      <c r="EUC48" s="2"/>
      <c r="EUK48" s="2"/>
      <c r="EUS48" s="2"/>
      <c r="EVA48" s="2"/>
      <c r="EVI48" s="2"/>
      <c r="EVQ48" s="2"/>
      <c r="EVY48" s="2"/>
      <c r="EWG48" s="2"/>
      <c r="EWO48" s="2"/>
      <c r="EWW48" s="2"/>
      <c r="EXE48" s="2"/>
      <c r="EXM48" s="2"/>
      <c r="EXU48" s="2"/>
      <c r="EYC48" s="2"/>
      <c r="EYK48" s="2"/>
      <c r="EYS48" s="2"/>
      <c r="EZA48" s="2"/>
      <c r="EZI48" s="2"/>
      <c r="EZQ48" s="2"/>
      <c r="EZY48" s="2"/>
      <c r="FAG48" s="2"/>
      <c r="FAO48" s="2"/>
      <c r="FAW48" s="2"/>
      <c r="FBE48" s="2"/>
      <c r="FBM48" s="2"/>
      <c r="FBU48" s="2"/>
      <c r="FCC48" s="2"/>
      <c r="FCK48" s="2"/>
      <c r="FCS48" s="2"/>
      <c r="FDA48" s="2"/>
      <c r="FDI48" s="2"/>
      <c r="FDQ48" s="2"/>
      <c r="FDY48" s="2"/>
      <c r="FEG48" s="2"/>
      <c r="FEO48" s="2"/>
      <c r="FEW48" s="2"/>
      <c r="FFE48" s="2"/>
      <c r="FFM48" s="2"/>
      <c r="FFU48" s="2"/>
      <c r="FGC48" s="2"/>
      <c r="FGK48" s="2"/>
      <c r="FGS48" s="2"/>
      <c r="FHA48" s="2"/>
      <c r="FHI48" s="2"/>
      <c r="FHQ48" s="2"/>
      <c r="FHY48" s="2"/>
      <c r="FIG48" s="2"/>
      <c r="FIO48" s="2"/>
      <c r="FIW48" s="2"/>
      <c r="FJE48" s="2"/>
      <c r="FJM48" s="2"/>
      <c r="FJU48" s="2"/>
      <c r="FKC48" s="2"/>
      <c r="FKK48" s="2"/>
      <c r="FKS48" s="2"/>
      <c r="FLA48" s="2"/>
      <c r="FLI48" s="2"/>
      <c r="FLQ48" s="2"/>
      <c r="FLY48" s="2"/>
      <c r="FMG48" s="2"/>
      <c r="FMO48" s="2"/>
      <c r="FMW48" s="2"/>
      <c r="FNE48" s="2"/>
      <c r="FNM48" s="2"/>
      <c r="FNU48" s="2"/>
      <c r="FOC48" s="2"/>
      <c r="FOK48" s="2"/>
      <c r="FOS48" s="2"/>
      <c r="FPA48" s="2"/>
      <c r="FPI48" s="2"/>
      <c r="FPQ48" s="2"/>
      <c r="FPY48" s="2"/>
      <c r="FQG48" s="2"/>
      <c r="FQO48" s="2"/>
      <c r="FQW48" s="2"/>
      <c r="FRE48" s="2"/>
      <c r="FRM48" s="2"/>
      <c r="FRU48" s="2"/>
      <c r="FSC48" s="2"/>
      <c r="FSK48" s="2"/>
      <c r="FSS48" s="2"/>
      <c r="FTA48" s="2"/>
      <c r="FTI48" s="2"/>
      <c r="FTQ48" s="2"/>
      <c r="FTY48" s="2"/>
      <c r="FUG48" s="2"/>
      <c r="FUO48" s="2"/>
      <c r="FUW48" s="2"/>
      <c r="FVE48" s="2"/>
      <c r="FVM48" s="2"/>
      <c r="FVU48" s="2"/>
      <c r="FWC48" s="2"/>
      <c r="FWK48" s="2"/>
      <c r="FWS48" s="2"/>
      <c r="FXA48" s="2"/>
      <c r="FXI48" s="2"/>
      <c r="FXQ48" s="2"/>
      <c r="FXY48" s="2"/>
      <c r="FYG48" s="2"/>
      <c r="FYO48" s="2"/>
      <c r="FYW48" s="2"/>
      <c r="FZE48" s="2"/>
      <c r="FZM48" s="2"/>
      <c r="FZU48" s="2"/>
      <c r="GAC48" s="2"/>
      <c r="GAK48" s="2"/>
      <c r="GAS48" s="2"/>
      <c r="GBA48" s="2"/>
      <c r="GBI48" s="2"/>
      <c r="GBQ48" s="2"/>
      <c r="GBY48" s="2"/>
      <c r="GCG48" s="2"/>
      <c r="GCO48" s="2"/>
      <c r="GCW48" s="2"/>
      <c r="GDE48" s="2"/>
      <c r="GDM48" s="2"/>
      <c r="GDU48" s="2"/>
      <c r="GEC48" s="2"/>
      <c r="GEK48" s="2"/>
      <c r="GES48" s="2"/>
      <c r="GFA48" s="2"/>
      <c r="GFI48" s="2"/>
      <c r="GFQ48" s="2"/>
      <c r="GFY48" s="2"/>
      <c r="GGG48" s="2"/>
      <c r="GGO48" s="2"/>
      <c r="GGW48" s="2"/>
      <c r="GHE48" s="2"/>
      <c r="GHM48" s="2"/>
      <c r="GHU48" s="2"/>
      <c r="GIC48" s="2"/>
      <c r="GIK48" s="2"/>
      <c r="GIS48" s="2"/>
      <c r="GJA48" s="2"/>
      <c r="GJI48" s="2"/>
      <c r="GJQ48" s="2"/>
      <c r="GJY48" s="2"/>
      <c r="GKG48" s="2"/>
      <c r="GKO48" s="2"/>
      <c r="GKW48" s="2"/>
      <c r="GLE48" s="2"/>
      <c r="GLM48" s="2"/>
      <c r="GLU48" s="2"/>
      <c r="GMC48" s="2"/>
      <c r="GMK48" s="2"/>
      <c r="GMS48" s="2"/>
      <c r="GNA48" s="2"/>
      <c r="GNI48" s="2"/>
      <c r="GNQ48" s="2"/>
      <c r="GNY48" s="2"/>
      <c r="GOG48" s="2"/>
      <c r="GOO48" s="2"/>
      <c r="GOW48" s="2"/>
      <c r="GPE48" s="2"/>
      <c r="GPM48" s="2"/>
      <c r="GPU48" s="2"/>
      <c r="GQC48" s="2"/>
      <c r="GQK48" s="2"/>
      <c r="GQS48" s="2"/>
      <c r="GRA48" s="2"/>
      <c r="GRI48" s="2"/>
      <c r="GRQ48" s="2"/>
      <c r="GRY48" s="2"/>
      <c r="GSG48" s="2"/>
      <c r="GSO48" s="2"/>
      <c r="GSW48" s="2"/>
      <c r="GTE48" s="2"/>
      <c r="GTM48" s="2"/>
      <c r="GTU48" s="2"/>
      <c r="GUC48" s="2"/>
      <c r="GUK48" s="2"/>
      <c r="GUS48" s="2"/>
      <c r="GVA48" s="2"/>
      <c r="GVI48" s="2"/>
      <c r="GVQ48" s="2"/>
      <c r="GVY48" s="2"/>
      <c r="GWG48" s="2"/>
      <c r="GWO48" s="2"/>
      <c r="GWW48" s="2"/>
      <c r="GXE48" s="2"/>
      <c r="GXM48" s="2"/>
      <c r="GXU48" s="2"/>
      <c r="GYC48" s="2"/>
      <c r="GYK48" s="2"/>
      <c r="GYS48" s="2"/>
      <c r="GZA48" s="2"/>
      <c r="GZI48" s="2"/>
      <c r="GZQ48" s="2"/>
      <c r="GZY48" s="2"/>
      <c r="HAG48" s="2"/>
      <c r="HAO48" s="2"/>
      <c r="HAW48" s="2"/>
      <c r="HBE48" s="2"/>
      <c r="HBM48" s="2"/>
      <c r="HBU48" s="2"/>
      <c r="HCC48" s="2"/>
      <c r="HCK48" s="2"/>
      <c r="HCS48" s="2"/>
      <c r="HDA48" s="2"/>
      <c r="HDI48" s="2"/>
      <c r="HDQ48" s="2"/>
      <c r="HDY48" s="2"/>
      <c r="HEG48" s="2"/>
      <c r="HEO48" s="2"/>
      <c r="HEW48" s="2"/>
      <c r="HFE48" s="2"/>
      <c r="HFM48" s="2"/>
      <c r="HFU48" s="2"/>
      <c r="HGC48" s="2"/>
      <c r="HGK48" s="2"/>
      <c r="HGS48" s="2"/>
      <c r="HHA48" s="2"/>
      <c r="HHI48" s="2"/>
      <c r="HHQ48" s="2"/>
      <c r="HHY48" s="2"/>
      <c r="HIG48" s="2"/>
      <c r="HIO48" s="2"/>
      <c r="HIW48" s="2"/>
      <c r="HJE48" s="2"/>
      <c r="HJM48" s="2"/>
      <c r="HJU48" s="2"/>
      <c r="HKC48" s="2"/>
      <c r="HKK48" s="2"/>
      <c r="HKS48" s="2"/>
      <c r="HLA48" s="2"/>
      <c r="HLI48" s="2"/>
      <c r="HLQ48" s="2"/>
      <c r="HLY48" s="2"/>
      <c r="HMG48" s="2"/>
      <c r="HMO48" s="2"/>
      <c r="HMW48" s="2"/>
      <c r="HNE48" s="2"/>
      <c r="HNM48" s="2"/>
      <c r="HNU48" s="2"/>
      <c r="HOC48" s="2"/>
      <c r="HOK48" s="2"/>
      <c r="HOS48" s="2"/>
      <c r="HPA48" s="2"/>
      <c r="HPI48" s="2"/>
      <c r="HPQ48" s="2"/>
      <c r="HPY48" s="2"/>
      <c r="HQG48" s="2"/>
      <c r="HQO48" s="2"/>
      <c r="HQW48" s="2"/>
      <c r="HRE48" s="2"/>
      <c r="HRM48" s="2"/>
      <c r="HRU48" s="2"/>
      <c r="HSC48" s="2"/>
      <c r="HSK48" s="2"/>
      <c r="HSS48" s="2"/>
      <c r="HTA48" s="2"/>
      <c r="HTI48" s="2"/>
      <c r="HTQ48" s="2"/>
      <c r="HTY48" s="2"/>
      <c r="HUG48" s="2"/>
      <c r="HUO48" s="2"/>
      <c r="HUW48" s="2"/>
      <c r="HVE48" s="2"/>
      <c r="HVM48" s="2"/>
      <c r="HVU48" s="2"/>
      <c r="HWC48" s="2"/>
      <c r="HWK48" s="2"/>
      <c r="HWS48" s="2"/>
      <c r="HXA48" s="2"/>
      <c r="HXI48" s="2"/>
      <c r="HXQ48" s="2"/>
      <c r="HXY48" s="2"/>
      <c r="HYG48" s="2"/>
      <c r="HYO48" s="2"/>
      <c r="HYW48" s="2"/>
      <c r="HZE48" s="2"/>
      <c r="HZM48" s="2"/>
      <c r="HZU48" s="2"/>
      <c r="IAC48" s="2"/>
      <c r="IAK48" s="2"/>
      <c r="IAS48" s="2"/>
      <c r="IBA48" s="2"/>
      <c r="IBI48" s="2"/>
      <c r="IBQ48" s="2"/>
      <c r="IBY48" s="2"/>
      <c r="ICG48" s="2"/>
      <c r="ICO48" s="2"/>
      <c r="ICW48" s="2"/>
      <c r="IDE48" s="2"/>
      <c r="IDM48" s="2"/>
      <c r="IDU48" s="2"/>
      <c r="IEC48" s="2"/>
      <c r="IEK48" s="2"/>
      <c r="IES48" s="2"/>
      <c r="IFA48" s="2"/>
      <c r="IFI48" s="2"/>
      <c r="IFQ48" s="2"/>
      <c r="IFY48" s="2"/>
      <c r="IGG48" s="2"/>
      <c r="IGO48" s="2"/>
      <c r="IGW48" s="2"/>
      <c r="IHE48" s="2"/>
      <c r="IHM48" s="2"/>
      <c r="IHU48" s="2"/>
      <c r="IIC48" s="2"/>
      <c r="IIK48" s="2"/>
      <c r="IIS48" s="2"/>
      <c r="IJA48" s="2"/>
      <c r="IJI48" s="2"/>
      <c r="IJQ48" s="2"/>
      <c r="IJY48" s="2"/>
      <c r="IKG48" s="2"/>
      <c r="IKO48" s="2"/>
      <c r="IKW48" s="2"/>
      <c r="ILE48" s="2"/>
      <c r="ILM48" s="2"/>
      <c r="ILU48" s="2"/>
      <c r="IMC48" s="2"/>
      <c r="IMK48" s="2"/>
      <c r="IMS48" s="2"/>
      <c r="INA48" s="2"/>
      <c r="INI48" s="2"/>
      <c r="INQ48" s="2"/>
      <c r="INY48" s="2"/>
      <c r="IOG48" s="2"/>
      <c r="IOO48" s="2"/>
      <c r="IOW48" s="2"/>
      <c r="IPE48" s="2"/>
      <c r="IPM48" s="2"/>
      <c r="IPU48" s="2"/>
      <c r="IQC48" s="2"/>
      <c r="IQK48" s="2"/>
      <c r="IQS48" s="2"/>
      <c r="IRA48" s="2"/>
      <c r="IRI48" s="2"/>
      <c r="IRQ48" s="2"/>
      <c r="IRY48" s="2"/>
      <c r="ISG48" s="2"/>
      <c r="ISO48" s="2"/>
      <c r="ISW48" s="2"/>
      <c r="ITE48" s="2"/>
      <c r="ITM48" s="2"/>
      <c r="ITU48" s="2"/>
      <c r="IUC48" s="2"/>
      <c r="IUK48" s="2"/>
      <c r="IUS48" s="2"/>
      <c r="IVA48" s="2"/>
      <c r="IVI48" s="2"/>
      <c r="IVQ48" s="2"/>
      <c r="IVY48" s="2"/>
      <c r="IWG48" s="2"/>
      <c r="IWO48" s="2"/>
      <c r="IWW48" s="2"/>
      <c r="IXE48" s="2"/>
      <c r="IXM48" s="2"/>
      <c r="IXU48" s="2"/>
      <c r="IYC48" s="2"/>
      <c r="IYK48" s="2"/>
      <c r="IYS48" s="2"/>
      <c r="IZA48" s="2"/>
      <c r="IZI48" s="2"/>
      <c r="IZQ48" s="2"/>
      <c r="IZY48" s="2"/>
      <c r="JAG48" s="2"/>
      <c r="JAO48" s="2"/>
      <c r="JAW48" s="2"/>
      <c r="JBE48" s="2"/>
      <c r="JBM48" s="2"/>
      <c r="JBU48" s="2"/>
      <c r="JCC48" s="2"/>
      <c r="JCK48" s="2"/>
      <c r="JCS48" s="2"/>
      <c r="JDA48" s="2"/>
      <c r="JDI48" s="2"/>
      <c r="JDQ48" s="2"/>
      <c r="JDY48" s="2"/>
      <c r="JEG48" s="2"/>
      <c r="JEO48" s="2"/>
      <c r="JEW48" s="2"/>
      <c r="JFE48" s="2"/>
      <c r="JFM48" s="2"/>
      <c r="JFU48" s="2"/>
      <c r="JGC48" s="2"/>
      <c r="JGK48" s="2"/>
      <c r="JGS48" s="2"/>
      <c r="JHA48" s="2"/>
      <c r="JHI48" s="2"/>
      <c r="JHQ48" s="2"/>
      <c r="JHY48" s="2"/>
      <c r="JIG48" s="2"/>
      <c r="JIO48" s="2"/>
      <c r="JIW48" s="2"/>
      <c r="JJE48" s="2"/>
      <c r="JJM48" s="2"/>
      <c r="JJU48" s="2"/>
      <c r="JKC48" s="2"/>
      <c r="JKK48" s="2"/>
      <c r="JKS48" s="2"/>
      <c r="JLA48" s="2"/>
      <c r="JLI48" s="2"/>
      <c r="JLQ48" s="2"/>
      <c r="JLY48" s="2"/>
      <c r="JMG48" s="2"/>
      <c r="JMO48" s="2"/>
      <c r="JMW48" s="2"/>
      <c r="JNE48" s="2"/>
      <c r="JNM48" s="2"/>
      <c r="JNU48" s="2"/>
      <c r="JOC48" s="2"/>
      <c r="JOK48" s="2"/>
      <c r="JOS48" s="2"/>
      <c r="JPA48" s="2"/>
      <c r="JPI48" s="2"/>
      <c r="JPQ48" s="2"/>
      <c r="JPY48" s="2"/>
      <c r="JQG48" s="2"/>
      <c r="JQO48" s="2"/>
      <c r="JQW48" s="2"/>
      <c r="JRE48" s="2"/>
      <c r="JRM48" s="2"/>
      <c r="JRU48" s="2"/>
      <c r="JSC48" s="2"/>
      <c r="JSK48" s="2"/>
      <c r="JSS48" s="2"/>
      <c r="JTA48" s="2"/>
      <c r="JTI48" s="2"/>
      <c r="JTQ48" s="2"/>
      <c r="JTY48" s="2"/>
      <c r="JUG48" s="2"/>
      <c r="JUO48" s="2"/>
      <c r="JUW48" s="2"/>
      <c r="JVE48" s="2"/>
      <c r="JVM48" s="2"/>
      <c r="JVU48" s="2"/>
      <c r="JWC48" s="2"/>
      <c r="JWK48" s="2"/>
      <c r="JWS48" s="2"/>
      <c r="JXA48" s="2"/>
      <c r="JXI48" s="2"/>
      <c r="JXQ48" s="2"/>
      <c r="JXY48" s="2"/>
      <c r="JYG48" s="2"/>
      <c r="JYO48" s="2"/>
      <c r="JYW48" s="2"/>
      <c r="JZE48" s="2"/>
      <c r="JZM48" s="2"/>
      <c r="JZU48" s="2"/>
      <c r="KAC48" s="2"/>
      <c r="KAK48" s="2"/>
      <c r="KAS48" s="2"/>
      <c r="KBA48" s="2"/>
      <c r="KBI48" s="2"/>
      <c r="KBQ48" s="2"/>
      <c r="KBY48" s="2"/>
      <c r="KCG48" s="2"/>
      <c r="KCO48" s="2"/>
      <c r="KCW48" s="2"/>
      <c r="KDE48" s="2"/>
      <c r="KDM48" s="2"/>
      <c r="KDU48" s="2"/>
      <c r="KEC48" s="2"/>
      <c r="KEK48" s="2"/>
      <c r="KES48" s="2"/>
      <c r="KFA48" s="2"/>
      <c r="KFI48" s="2"/>
      <c r="KFQ48" s="2"/>
      <c r="KFY48" s="2"/>
      <c r="KGG48" s="2"/>
      <c r="KGO48" s="2"/>
      <c r="KGW48" s="2"/>
      <c r="KHE48" s="2"/>
      <c r="KHM48" s="2"/>
      <c r="KHU48" s="2"/>
      <c r="KIC48" s="2"/>
      <c r="KIK48" s="2"/>
      <c r="KIS48" s="2"/>
      <c r="KJA48" s="2"/>
      <c r="KJI48" s="2"/>
      <c r="KJQ48" s="2"/>
      <c r="KJY48" s="2"/>
      <c r="KKG48" s="2"/>
      <c r="KKO48" s="2"/>
      <c r="KKW48" s="2"/>
      <c r="KLE48" s="2"/>
      <c r="KLM48" s="2"/>
      <c r="KLU48" s="2"/>
      <c r="KMC48" s="2"/>
      <c r="KMK48" s="2"/>
      <c r="KMS48" s="2"/>
      <c r="KNA48" s="2"/>
      <c r="KNI48" s="2"/>
      <c r="KNQ48" s="2"/>
      <c r="KNY48" s="2"/>
      <c r="KOG48" s="2"/>
      <c r="KOO48" s="2"/>
      <c r="KOW48" s="2"/>
      <c r="KPE48" s="2"/>
      <c r="KPM48" s="2"/>
      <c r="KPU48" s="2"/>
      <c r="KQC48" s="2"/>
      <c r="KQK48" s="2"/>
      <c r="KQS48" s="2"/>
      <c r="KRA48" s="2"/>
      <c r="KRI48" s="2"/>
      <c r="KRQ48" s="2"/>
      <c r="KRY48" s="2"/>
      <c r="KSG48" s="2"/>
      <c r="KSO48" s="2"/>
      <c r="KSW48" s="2"/>
      <c r="KTE48" s="2"/>
      <c r="KTM48" s="2"/>
      <c r="KTU48" s="2"/>
      <c r="KUC48" s="2"/>
      <c r="KUK48" s="2"/>
      <c r="KUS48" s="2"/>
      <c r="KVA48" s="2"/>
      <c r="KVI48" s="2"/>
      <c r="KVQ48" s="2"/>
      <c r="KVY48" s="2"/>
      <c r="KWG48" s="2"/>
      <c r="KWO48" s="2"/>
      <c r="KWW48" s="2"/>
      <c r="KXE48" s="2"/>
      <c r="KXM48" s="2"/>
      <c r="KXU48" s="2"/>
      <c r="KYC48" s="2"/>
      <c r="KYK48" s="2"/>
      <c r="KYS48" s="2"/>
      <c r="KZA48" s="2"/>
      <c r="KZI48" s="2"/>
      <c r="KZQ48" s="2"/>
      <c r="KZY48" s="2"/>
      <c r="LAG48" s="2"/>
      <c r="LAO48" s="2"/>
      <c r="LAW48" s="2"/>
      <c r="LBE48" s="2"/>
      <c r="LBM48" s="2"/>
      <c r="LBU48" s="2"/>
      <c r="LCC48" s="2"/>
      <c r="LCK48" s="2"/>
      <c r="LCS48" s="2"/>
      <c r="LDA48" s="2"/>
      <c r="LDI48" s="2"/>
      <c r="LDQ48" s="2"/>
      <c r="LDY48" s="2"/>
      <c r="LEG48" s="2"/>
      <c r="LEO48" s="2"/>
      <c r="LEW48" s="2"/>
      <c r="LFE48" s="2"/>
      <c r="LFM48" s="2"/>
      <c r="LFU48" s="2"/>
      <c r="LGC48" s="2"/>
      <c r="LGK48" s="2"/>
      <c r="LGS48" s="2"/>
      <c r="LHA48" s="2"/>
      <c r="LHI48" s="2"/>
      <c r="LHQ48" s="2"/>
      <c r="LHY48" s="2"/>
      <c r="LIG48" s="2"/>
      <c r="LIO48" s="2"/>
      <c r="LIW48" s="2"/>
      <c r="LJE48" s="2"/>
      <c r="LJM48" s="2"/>
      <c r="LJU48" s="2"/>
      <c r="LKC48" s="2"/>
      <c r="LKK48" s="2"/>
      <c r="LKS48" s="2"/>
      <c r="LLA48" s="2"/>
      <c r="LLI48" s="2"/>
      <c r="LLQ48" s="2"/>
      <c r="LLY48" s="2"/>
      <c r="LMG48" s="2"/>
      <c r="LMO48" s="2"/>
      <c r="LMW48" s="2"/>
      <c r="LNE48" s="2"/>
      <c r="LNM48" s="2"/>
      <c r="LNU48" s="2"/>
      <c r="LOC48" s="2"/>
      <c r="LOK48" s="2"/>
      <c r="LOS48" s="2"/>
      <c r="LPA48" s="2"/>
      <c r="LPI48" s="2"/>
      <c r="LPQ48" s="2"/>
      <c r="LPY48" s="2"/>
      <c r="LQG48" s="2"/>
      <c r="LQO48" s="2"/>
      <c r="LQW48" s="2"/>
      <c r="LRE48" s="2"/>
      <c r="LRM48" s="2"/>
      <c r="LRU48" s="2"/>
      <c r="LSC48" s="2"/>
      <c r="LSK48" s="2"/>
      <c r="LSS48" s="2"/>
      <c r="LTA48" s="2"/>
      <c r="LTI48" s="2"/>
      <c r="LTQ48" s="2"/>
      <c r="LTY48" s="2"/>
      <c r="LUG48" s="2"/>
      <c r="LUO48" s="2"/>
      <c r="LUW48" s="2"/>
      <c r="LVE48" s="2"/>
      <c r="LVM48" s="2"/>
      <c r="LVU48" s="2"/>
      <c r="LWC48" s="2"/>
      <c r="LWK48" s="2"/>
      <c r="LWS48" s="2"/>
      <c r="LXA48" s="2"/>
      <c r="LXI48" s="2"/>
      <c r="LXQ48" s="2"/>
      <c r="LXY48" s="2"/>
      <c r="LYG48" s="2"/>
      <c r="LYO48" s="2"/>
      <c r="LYW48" s="2"/>
      <c r="LZE48" s="2"/>
      <c r="LZM48" s="2"/>
      <c r="LZU48" s="2"/>
      <c r="MAC48" s="2"/>
      <c r="MAK48" s="2"/>
      <c r="MAS48" s="2"/>
      <c r="MBA48" s="2"/>
      <c r="MBI48" s="2"/>
      <c r="MBQ48" s="2"/>
      <c r="MBY48" s="2"/>
      <c r="MCG48" s="2"/>
      <c r="MCO48" s="2"/>
      <c r="MCW48" s="2"/>
      <c r="MDE48" s="2"/>
      <c r="MDM48" s="2"/>
      <c r="MDU48" s="2"/>
      <c r="MEC48" s="2"/>
      <c r="MEK48" s="2"/>
      <c r="MES48" s="2"/>
      <c r="MFA48" s="2"/>
      <c r="MFI48" s="2"/>
      <c r="MFQ48" s="2"/>
      <c r="MFY48" s="2"/>
      <c r="MGG48" s="2"/>
      <c r="MGO48" s="2"/>
      <c r="MGW48" s="2"/>
      <c r="MHE48" s="2"/>
      <c r="MHM48" s="2"/>
      <c r="MHU48" s="2"/>
      <c r="MIC48" s="2"/>
      <c r="MIK48" s="2"/>
      <c r="MIS48" s="2"/>
      <c r="MJA48" s="2"/>
      <c r="MJI48" s="2"/>
      <c r="MJQ48" s="2"/>
      <c r="MJY48" s="2"/>
      <c r="MKG48" s="2"/>
      <c r="MKO48" s="2"/>
      <c r="MKW48" s="2"/>
      <c r="MLE48" s="2"/>
      <c r="MLM48" s="2"/>
      <c r="MLU48" s="2"/>
      <c r="MMC48" s="2"/>
      <c r="MMK48" s="2"/>
      <c r="MMS48" s="2"/>
      <c r="MNA48" s="2"/>
      <c r="MNI48" s="2"/>
      <c r="MNQ48" s="2"/>
      <c r="MNY48" s="2"/>
      <c r="MOG48" s="2"/>
      <c r="MOO48" s="2"/>
      <c r="MOW48" s="2"/>
      <c r="MPE48" s="2"/>
      <c r="MPM48" s="2"/>
      <c r="MPU48" s="2"/>
      <c r="MQC48" s="2"/>
      <c r="MQK48" s="2"/>
      <c r="MQS48" s="2"/>
      <c r="MRA48" s="2"/>
      <c r="MRI48" s="2"/>
      <c r="MRQ48" s="2"/>
      <c r="MRY48" s="2"/>
      <c r="MSG48" s="2"/>
      <c r="MSO48" s="2"/>
      <c r="MSW48" s="2"/>
      <c r="MTE48" s="2"/>
      <c r="MTM48" s="2"/>
      <c r="MTU48" s="2"/>
      <c r="MUC48" s="2"/>
      <c r="MUK48" s="2"/>
      <c r="MUS48" s="2"/>
      <c r="MVA48" s="2"/>
      <c r="MVI48" s="2"/>
      <c r="MVQ48" s="2"/>
      <c r="MVY48" s="2"/>
      <c r="MWG48" s="2"/>
      <c r="MWO48" s="2"/>
      <c r="MWW48" s="2"/>
      <c r="MXE48" s="2"/>
      <c r="MXM48" s="2"/>
      <c r="MXU48" s="2"/>
      <c r="MYC48" s="2"/>
      <c r="MYK48" s="2"/>
      <c r="MYS48" s="2"/>
      <c r="MZA48" s="2"/>
      <c r="MZI48" s="2"/>
      <c r="MZQ48" s="2"/>
      <c r="MZY48" s="2"/>
      <c r="NAG48" s="2"/>
      <c r="NAO48" s="2"/>
      <c r="NAW48" s="2"/>
      <c r="NBE48" s="2"/>
      <c r="NBM48" s="2"/>
      <c r="NBU48" s="2"/>
      <c r="NCC48" s="2"/>
      <c r="NCK48" s="2"/>
      <c r="NCS48" s="2"/>
      <c r="NDA48" s="2"/>
      <c r="NDI48" s="2"/>
      <c r="NDQ48" s="2"/>
      <c r="NDY48" s="2"/>
      <c r="NEG48" s="2"/>
      <c r="NEO48" s="2"/>
      <c r="NEW48" s="2"/>
      <c r="NFE48" s="2"/>
      <c r="NFM48" s="2"/>
      <c r="NFU48" s="2"/>
      <c r="NGC48" s="2"/>
      <c r="NGK48" s="2"/>
      <c r="NGS48" s="2"/>
      <c r="NHA48" s="2"/>
      <c r="NHI48" s="2"/>
      <c r="NHQ48" s="2"/>
      <c r="NHY48" s="2"/>
      <c r="NIG48" s="2"/>
      <c r="NIO48" s="2"/>
      <c r="NIW48" s="2"/>
      <c r="NJE48" s="2"/>
      <c r="NJM48" s="2"/>
      <c r="NJU48" s="2"/>
      <c r="NKC48" s="2"/>
      <c r="NKK48" s="2"/>
      <c r="NKS48" s="2"/>
      <c r="NLA48" s="2"/>
      <c r="NLI48" s="2"/>
      <c r="NLQ48" s="2"/>
      <c r="NLY48" s="2"/>
      <c r="NMG48" s="2"/>
      <c r="NMO48" s="2"/>
      <c r="NMW48" s="2"/>
      <c r="NNE48" s="2"/>
      <c r="NNM48" s="2"/>
      <c r="NNU48" s="2"/>
      <c r="NOC48" s="2"/>
      <c r="NOK48" s="2"/>
      <c r="NOS48" s="2"/>
      <c r="NPA48" s="2"/>
      <c r="NPI48" s="2"/>
      <c r="NPQ48" s="2"/>
      <c r="NPY48" s="2"/>
      <c r="NQG48" s="2"/>
      <c r="NQO48" s="2"/>
      <c r="NQW48" s="2"/>
      <c r="NRE48" s="2"/>
      <c r="NRM48" s="2"/>
      <c r="NRU48" s="2"/>
      <c r="NSC48" s="2"/>
      <c r="NSK48" s="2"/>
      <c r="NSS48" s="2"/>
      <c r="NTA48" s="2"/>
      <c r="NTI48" s="2"/>
      <c r="NTQ48" s="2"/>
      <c r="NTY48" s="2"/>
      <c r="NUG48" s="2"/>
      <c r="NUO48" s="2"/>
      <c r="NUW48" s="2"/>
      <c r="NVE48" s="2"/>
      <c r="NVM48" s="2"/>
      <c r="NVU48" s="2"/>
      <c r="NWC48" s="2"/>
      <c r="NWK48" s="2"/>
      <c r="NWS48" s="2"/>
      <c r="NXA48" s="2"/>
      <c r="NXI48" s="2"/>
      <c r="NXQ48" s="2"/>
      <c r="NXY48" s="2"/>
      <c r="NYG48" s="2"/>
      <c r="NYO48" s="2"/>
      <c r="NYW48" s="2"/>
      <c r="NZE48" s="2"/>
      <c r="NZM48" s="2"/>
      <c r="NZU48" s="2"/>
      <c r="OAC48" s="2"/>
      <c r="OAK48" s="2"/>
      <c r="OAS48" s="2"/>
      <c r="OBA48" s="2"/>
      <c r="OBI48" s="2"/>
      <c r="OBQ48" s="2"/>
      <c r="OBY48" s="2"/>
      <c r="OCG48" s="2"/>
      <c r="OCO48" s="2"/>
      <c r="OCW48" s="2"/>
      <c r="ODE48" s="2"/>
      <c r="ODM48" s="2"/>
      <c r="ODU48" s="2"/>
      <c r="OEC48" s="2"/>
      <c r="OEK48" s="2"/>
      <c r="OES48" s="2"/>
      <c r="OFA48" s="2"/>
      <c r="OFI48" s="2"/>
      <c r="OFQ48" s="2"/>
      <c r="OFY48" s="2"/>
      <c r="OGG48" s="2"/>
      <c r="OGO48" s="2"/>
      <c r="OGW48" s="2"/>
      <c r="OHE48" s="2"/>
      <c r="OHM48" s="2"/>
      <c r="OHU48" s="2"/>
      <c r="OIC48" s="2"/>
      <c r="OIK48" s="2"/>
      <c r="OIS48" s="2"/>
      <c r="OJA48" s="2"/>
      <c r="OJI48" s="2"/>
      <c r="OJQ48" s="2"/>
      <c r="OJY48" s="2"/>
      <c r="OKG48" s="2"/>
      <c r="OKO48" s="2"/>
      <c r="OKW48" s="2"/>
      <c r="OLE48" s="2"/>
      <c r="OLM48" s="2"/>
      <c r="OLU48" s="2"/>
      <c r="OMC48" s="2"/>
      <c r="OMK48" s="2"/>
      <c r="OMS48" s="2"/>
      <c r="ONA48" s="2"/>
      <c r="ONI48" s="2"/>
      <c r="ONQ48" s="2"/>
      <c r="ONY48" s="2"/>
      <c r="OOG48" s="2"/>
      <c r="OOO48" s="2"/>
      <c r="OOW48" s="2"/>
      <c r="OPE48" s="2"/>
      <c r="OPM48" s="2"/>
      <c r="OPU48" s="2"/>
      <c r="OQC48" s="2"/>
      <c r="OQK48" s="2"/>
      <c r="OQS48" s="2"/>
      <c r="ORA48" s="2"/>
      <c r="ORI48" s="2"/>
      <c r="ORQ48" s="2"/>
      <c r="ORY48" s="2"/>
      <c r="OSG48" s="2"/>
      <c r="OSO48" s="2"/>
      <c r="OSW48" s="2"/>
      <c r="OTE48" s="2"/>
      <c r="OTM48" s="2"/>
      <c r="OTU48" s="2"/>
      <c r="OUC48" s="2"/>
      <c r="OUK48" s="2"/>
      <c r="OUS48" s="2"/>
      <c r="OVA48" s="2"/>
      <c r="OVI48" s="2"/>
      <c r="OVQ48" s="2"/>
      <c r="OVY48" s="2"/>
      <c r="OWG48" s="2"/>
      <c r="OWO48" s="2"/>
      <c r="OWW48" s="2"/>
      <c r="OXE48" s="2"/>
      <c r="OXM48" s="2"/>
      <c r="OXU48" s="2"/>
      <c r="OYC48" s="2"/>
      <c r="OYK48" s="2"/>
      <c r="OYS48" s="2"/>
      <c r="OZA48" s="2"/>
      <c r="OZI48" s="2"/>
      <c r="OZQ48" s="2"/>
      <c r="OZY48" s="2"/>
      <c r="PAG48" s="2"/>
      <c r="PAO48" s="2"/>
      <c r="PAW48" s="2"/>
      <c r="PBE48" s="2"/>
      <c r="PBM48" s="2"/>
      <c r="PBU48" s="2"/>
      <c r="PCC48" s="2"/>
      <c r="PCK48" s="2"/>
      <c r="PCS48" s="2"/>
      <c r="PDA48" s="2"/>
      <c r="PDI48" s="2"/>
      <c r="PDQ48" s="2"/>
      <c r="PDY48" s="2"/>
      <c r="PEG48" s="2"/>
      <c r="PEO48" s="2"/>
      <c r="PEW48" s="2"/>
      <c r="PFE48" s="2"/>
      <c r="PFM48" s="2"/>
      <c r="PFU48" s="2"/>
      <c r="PGC48" s="2"/>
      <c r="PGK48" s="2"/>
      <c r="PGS48" s="2"/>
      <c r="PHA48" s="2"/>
      <c r="PHI48" s="2"/>
      <c r="PHQ48" s="2"/>
      <c r="PHY48" s="2"/>
      <c r="PIG48" s="2"/>
      <c r="PIO48" s="2"/>
      <c r="PIW48" s="2"/>
      <c r="PJE48" s="2"/>
      <c r="PJM48" s="2"/>
      <c r="PJU48" s="2"/>
      <c r="PKC48" s="2"/>
      <c r="PKK48" s="2"/>
      <c r="PKS48" s="2"/>
      <c r="PLA48" s="2"/>
      <c r="PLI48" s="2"/>
      <c r="PLQ48" s="2"/>
      <c r="PLY48" s="2"/>
      <c r="PMG48" s="2"/>
      <c r="PMO48" s="2"/>
      <c r="PMW48" s="2"/>
      <c r="PNE48" s="2"/>
      <c r="PNM48" s="2"/>
      <c r="PNU48" s="2"/>
      <c r="POC48" s="2"/>
      <c r="POK48" s="2"/>
      <c r="POS48" s="2"/>
      <c r="PPA48" s="2"/>
      <c r="PPI48" s="2"/>
      <c r="PPQ48" s="2"/>
      <c r="PPY48" s="2"/>
      <c r="PQG48" s="2"/>
      <c r="PQO48" s="2"/>
      <c r="PQW48" s="2"/>
      <c r="PRE48" s="2"/>
      <c r="PRM48" s="2"/>
      <c r="PRU48" s="2"/>
      <c r="PSC48" s="2"/>
      <c r="PSK48" s="2"/>
      <c r="PSS48" s="2"/>
      <c r="PTA48" s="2"/>
      <c r="PTI48" s="2"/>
      <c r="PTQ48" s="2"/>
      <c r="PTY48" s="2"/>
      <c r="PUG48" s="2"/>
      <c r="PUO48" s="2"/>
      <c r="PUW48" s="2"/>
      <c r="PVE48" s="2"/>
      <c r="PVM48" s="2"/>
      <c r="PVU48" s="2"/>
      <c r="PWC48" s="2"/>
      <c r="PWK48" s="2"/>
      <c r="PWS48" s="2"/>
      <c r="PXA48" s="2"/>
      <c r="PXI48" s="2"/>
      <c r="PXQ48" s="2"/>
      <c r="PXY48" s="2"/>
      <c r="PYG48" s="2"/>
      <c r="PYO48" s="2"/>
      <c r="PYW48" s="2"/>
      <c r="PZE48" s="2"/>
      <c r="PZM48" s="2"/>
      <c r="PZU48" s="2"/>
      <c r="QAC48" s="2"/>
      <c r="QAK48" s="2"/>
      <c r="QAS48" s="2"/>
      <c r="QBA48" s="2"/>
      <c r="QBI48" s="2"/>
      <c r="QBQ48" s="2"/>
      <c r="QBY48" s="2"/>
      <c r="QCG48" s="2"/>
      <c r="QCO48" s="2"/>
      <c r="QCW48" s="2"/>
      <c r="QDE48" s="2"/>
      <c r="QDM48" s="2"/>
      <c r="QDU48" s="2"/>
      <c r="QEC48" s="2"/>
      <c r="QEK48" s="2"/>
      <c r="QES48" s="2"/>
      <c r="QFA48" s="2"/>
      <c r="QFI48" s="2"/>
      <c r="QFQ48" s="2"/>
      <c r="QFY48" s="2"/>
      <c r="QGG48" s="2"/>
      <c r="QGO48" s="2"/>
      <c r="QGW48" s="2"/>
      <c r="QHE48" s="2"/>
      <c r="QHM48" s="2"/>
      <c r="QHU48" s="2"/>
      <c r="QIC48" s="2"/>
      <c r="QIK48" s="2"/>
      <c r="QIS48" s="2"/>
      <c r="QJA48" s="2"/>
      <c r="QJI48" s="2"/>
      <c r="QJQ48" s="2"/>
      <c r="QJY48" s="2"/>
      <c r="QKG48" s="2"/>
      <c r="QKO48" s="2"/>
      <c r="QKW48" s="2"/>
      <c r="QLE48" s="2"/>
      <c r="QLM48" s="2"/>
      <c r="QLU48" s="2"/>
      <c r="QMC48" s="2"/>
      <c r="QMK48" s="2"/>
      <c r="QMS48" s="2"/>
      <c r="QNA48" s="2"/>
      <c r="QNI48" s="2"/>
      <c r="QNQ48" s="2"/>
      <c r="QNY48" s="2"/>
      <c r="QOG48" s="2"/>
      <c r="QOO48" s="2"/>
      <c r="QOW48" s="2"/>
      <c r="QPE48" s="2"/>
      <c r="QPM48" s="2"/>
      <c r="QPU48" s="2"/>
      <c r="QQC48" s="2"/>
      <c r="QQK48" s="2"/>
      <c r="QQS48" s="2"/>
      <c r="QRA48" s="2"/>
      <c r="QRI48" s="2"/>
      <c r="QRQ48" s="2"/>
      <c r="QRY48" s="2"/>
      <c r="QSG48" s="2"/>
      <c r="QSO48" s="2"/>
      <c r="QSW48" s="2"/>
      <c r="QTE48" s="2"/>
      <c r="QTM48" s="2"/>
      <c r="QTU48" s="2"/>
      <c r="QUC48" s="2"/>
      <c r="QUK48" s="2"/>
      <c r="QUS48" s="2"/>
      <c r="QVA48" s="2"/>
      <c r="QVI48" s="2"/>
      <c r="QVQ48" s="2"/>
      <c r="QVY48" s="2"/>
      <c r="QWG48" s="2"/>
      <c r="QWO48" s="2"/>
      <c r="QWW48" s="2"/>
      <c r="QXE48" s="2"/>
      <c r="QXM48" s="2"/>
      <c r="QXU48" s="2"/>
      <c r="QYC48" s="2"/>
      <c r="QYK48" s="2"/>
      <c r="QYS48" s="2"/>
      <c r="QZA48" s="2"/>
      <c r="QZI48" s="2"/>
      <c r="QZQ48" s="2"/>
      <c r="QZY48" s="2"/>
      <c r="RAG48" s="2"/>
      <c r="RAO48" s="2"/>
      <c r="RAW48" s="2"/>
      <c r="RBE48" s="2"/>
      <c r="RBM48" s="2"/>
      <c r="RBU48" s="2"/>
      <c r="RCC48" s="2"/>
      <c r="RCK48" s="2"/>
      <c r="RCS48" s="2"/>
      <c r="RDA48" s="2"/>
      <c r="RDI48" s="2"/>
      <c r="RDQ48" s="2"/>
      <c r="RDY48" s="2"/>
      <c r="REG48" s="2"/>
      <c r="REO48" s="2"/>
      <c r="REW48" s="2"/>
      <c r="RFE48" s="2"/>
      <c r="RFM48" s="2"/>
      <c r="RFU48" s="2"/>
      <c r="RGC48" s="2"/>
      <c r="RGK48" s="2"/>
      <c r="RGS48" s="2"/>
      <c r="RHA48" s="2"/>
      <c r="RHI48" s="2"/>
      <c r="RHQ48" s="2"/>
      <c r="RHY48" s="2"/>
      <c r="RIG48" s="2"/>
      <c r="RIO48" s="2"/>
      <c r="RIW48" s="2"/>
      <c r="RJE48" s="2"/>
      <c r="RJM48" s="2"/>
      <c r="RJU48" s="2"/>
      <c r="RKC48" s="2"/>
      <c r="RKK48" s="2"/>
      <c r="RKS48" s="2"/>
      <c r="RLA48" s="2"/>
      <c r="RLI48" s="2"/>
      <c r="RLQ48" s="2"/>
      <c r="RLY48" s="2"/>
      <c r="RMG48" s="2"/>
      <c r="RMO48" s="2"/>
      <c r="RMW48" s="2"/>
      <c r="RNE48" s="2"/>
      <c r="RNM48" s="2"/>
      <c r="RNU48" s="2"/>
      <c r="ROC48" s="2"/>
      <c r="ROK48" s="2"/>
      <c r="ROS48" s="2"/>
      <c r="RPA48" s="2"/>
      <c r="RPI48" s="2"/>
      <c r="RPQ48" s="2"/>
      <c r="RPY48" s="2"/>
      <c r="RQG48" s="2"/>
      <c r="RQO48" s="2"/>
      <c r="RQW48" s="2"/>
      <c r="RRE48" s="2"/>
      <c r="RRM48" s="2"/>
      <c r="RRU48" s="2"/>
      <c r="RSC48" s="2"/>
      <c r="RSK48" s="2"/>
      <c r="RSS48" s="2"/>
      <c r="RTA48" s="2"/>
      <c r="RTI48" s="2"/>
      <c r="RTQ48" s="2"/>
      <c r="RTY48" s="2"/>
      <c r="RUG48" s="2"/>
      <c r="RUO48" s="2"/>
      <c r="RUW48" s="2"/>
      <c r="RVE48" s="2"/>
      <c r="RVM48" s="2"/>
      <c r="RVU48" s="2"/>
      <c r="RWC48" s="2"/>
      <c r="RWK48" s="2"/>
      <c r="RWS48" s="2"/>
      <c r="RXA48" s="2"/>
      <c r="RXI48" s="2"/>
      <c r="RXQ48" s="2"/>
      <c r="RXY48" s="2"/>
      <c r="RYG48" s="2"/>
      <c r="RYO48" s="2"/>
      <c r="RYW48" s="2"/>
      <c r="RZE48" s="2"/>
      <c r="RZM48" s="2"/>
      <c r="RZU48" s="2"/>
      <c r="SAC48" s="2"/>
      <c r="SAK48" s="2"/>
      <c r="SAS48" s="2"/>
      <c r="SBA48" s="2"/>
      <c r="SBI48" s="2"/>
      <c r="SBQ48" s="2"/>
      <c r="SBY48" s="2"/>
      <c r="SCG48" s="2"/>
      <c r="SCO48" s="2"/>
      <c r="SCW48" s="2"/>
      <c r="SDE48" s="2"/>
      <c r="SDM48" s="2"/>
      <c r="SDU48" s="2"/>
      <c r="SEC48" s="2"/>
      <c r="SEK48" s="2"/>
      <c r="SES48" s="2"/>
      <c r="SFA48" s="2"/>
      <c r="SFI48" s="2"/>
      <c r="SFQ48" s="2"/>
      <c r="SFY48" s="2"/>
      <c r="SGG48" s="2"/>
      <c r="SGO48" s="2"/>
      <c r="SGW48" s="2"/>
      <c r="SHE48" s="2"/>
      <c r="SHM48" s="2"/>
      <c r="SHU48" s="2"/>
      <c r="SIC48" s="2"/>
      <c r="SIK48" s="2"/>
      <c r="SIS48" s="2"/>
      <c r="SJA48" s="2"/>
      <c r="SJI48" s="2"/>
      <c r="SJQ48" s="2"/>
      <c r="SJY48" s="2"/>
      <c r="SKG48" s="2"/>
      <c r="SKO48" s="2"/>
      <c r="SKW48" s="2"/>
      <c r="SLE48" s="2"/>
      <c r="SLM48" s="2"/>
      <c r="SLU48" s="2"/>
      <c r="SMC48" s="2"/>
      <c r="SMK48" s="2"/>
      <c r="SMS48" s="2"/>
      <c r="SNA48" s="2"/>
      <c r="SNI48" s="2"/>
      <c r="SNQ48" s="2"/>
      <c r="SNY48" s="2"/>
      <c r="SOG48" s="2"/>
      <c r="SOO48" s="2"/>
      <c r="SOW48" s="2"/>
      <c r="SPE48" s="2"/>
      <c r="SPM48" s="2"/>
      <c r="SPU48" s="2"/>
      <c r="SQC48" s="2"/>
      <c r="SQK48" s="2"/>
      <c r="SQS48" s="2"/>
      <c r="SRA48" s="2"/>
      <c r="SRI48" s="2"/>
      <c r="SRQ48" s="2"/>
      <c r="SRY48" s="2"/>
      <c r="SSG48" s="2"/>
      <c r="SSO48" s="2"/>
      <c r="SSW48" s="2"/>
      <c r="STE48" s="2"/>
      <c r="STM48" s="2"/>
      <c r="STU48" s="2"/>
      <c r="SUC48" s="2"/>
      <c r="SUK48" s="2"/>
      <c r="SUS48" s="2"/>
      <c r="SVA48" s="2"/>
      <c r="SVI48" s="2"/>
      <c r="SVQ48" s="2"/>
      <c r="SVY48" s="2"/>
      <c r="SWG48" s="2"/>
      <c r="SWO48" s="2"/>
      <c r="SWW48" s="2"/>
      <c r="SXE48" s="2"/>
      <c r="SXM48" s="2"/>
      <c r="SXU48" s="2"/>
      <c r="SYC48" s="2"/>
      <c r="SYK48" s="2"/>
      <c r="SYS48" s="2"/>
      <c r="SZA48" s="2"/>
      <c r="SZI48" s="2"/>
      <c r="SZQ48" s="2"/>
      <c r="SZY48" s="2"/>
      <c r="TAG48" s="2"/>
      <c r="TAO48" s="2"/>
      <c r="TAW48" s="2"/>
      <c r="TBE48" s="2"/>
      <c r="TBM48" s="2"/>
      <c r="TBU48" s="2"/>
      <c r="TCC48" s="2"/>
      <c r="TCK48" s="2"/>
      <c r="TCS48" s="2"/>
      <c r="TDA48" s="2"/>
      <c r="TDI48" s="2"/>
      <c r="TDQ48" s="2"/>
      <c r="TDY48" s="2"/>
      <c r="TEG48" s="2"/>
      <c r="TEO48" s="2"/>
      <c r="TEW48" s="2"/>
      <c r="TFE48" s="2"/>
      <c r="TFM48" s="2"/>
      <c r="TFU48" s="2"/>
      <c r="TGC48" s="2"/>
      <c r="TGK48" s="2"/>
      <c r="TGS48" s="2"/>
      <c r="THA48" s="2"/>
      <c r="THI48" s="2"/>
      <c r="THQ48" s="2"/>
      <c r="THY48" s="2"/>
      <c r="TIG48" s="2"/>
      <c r="TIO48" s="2"/>
      <c r="TIW48" s="2"/>
      <c r="TJE48" s="2"/>
      <c r="TJM48" s="2"/>
      <c r="TJU48" s="2"/>
      <c r="TKC48" s="2"/>
      <c r="TKK48" s="2"/>
      <c r="TKS48" s="2"/>
      <c r="TLA48" s="2"/>
      <c r="TLI48" s="2"/>
      <c r="TLQ48" s="2"/>
      <c r="TLY48" s="2"/>
      <c r="TMG48" s="2"/>
      <c r="TMO48" s="2"/>
      <c r="TMW48" s="2"/>
      <c r="TNE48" s="2"/>
      <c r="TNM48" s="2"/>
      <c r="TNU48" s="2"/>
      <c r="TOC48" s="2"/>
      <c r="TOK48" s="2"/>
      <c r="TOS48" s="2"/>
      <c r="TPA48" s="2"/>
      <c r="TPI48" s="2"/>
      <c r="TPQ48" s="2"/>
      <c r="TPY48" s="2"/>
      <c r="TQG48" s="2"/>
      <c r="TQO48" s="2"/>
      <c r="TQW48" s="2"/>
      <c r="TRE48" s="2"/>
      <c r="TRM48" s="2"/>
      <c r="TRU48" s="2"/>
      <c r="TSC48" s="2"/>
      <c r="TSK48" s="2"/>
      <c r="TSS48" s="2"/>
      <c r="TTA48" s="2"/>
      <c r="TTI48" s="2"/>
      <c r="TTQ48" s="2"/>
      <c r="TTY48" s="2"/>
      <c r="TUG48" s="2"/>
      <c r="TUO48" s="2"/>
      <c r="TUW48" s="2"/>
      <c r="TVE48" s="2"/>
      <c r="TVM48" s="2"/>
      <c r="TVU48" s="2"/>
      <c r="TWC48" s="2"/>
      <c r="TWK48" s="2"/>
      <c r="TWS48" s="2"/>
      <c r="TXA48" s="2"/>
      <c r="TXI48" s="2"/>
      <c r="TXQ48" s="2"/>
      <c r="TXY48" s="2"/>
      <c r="TYG48" s="2"/>
      <c r="TYO48" s="2"/>
      <c r="TYW48" s="2"/>
      <c r="TZE48" s="2"/>
      <c r="TZM48" s="2"/>
      <c r="TZU48" s="2"/>
      <c r="UAC48" s="2"/>
      <c r="UAK48" s="2"/>
      <c r="UAS48" s="2"/>
      <c r="UBA48" s="2"/>
      <c r="UBI48" s="2"/>
      <c r="UBQ48" s="2"/>
      <c r="UBY48" s="2"/>
      <c r="UCG48" s="2"/>
      <c r="UCO48" s="2"/>
      <c r="UCW48" s="2"/>
      <c r="UDE48" s="2"/>
      <c r="UDM48" s="2"/>
      <c r="UDU48" s="2"/>
      <c r="UEC48" s="2"/>
      <c r="UEK48" s="2"/>
      <c r="UES48" s="2"/>
      <c r="UFA48" s="2"/>
      <c r="UFI48" s="2"/>
      <c r="UFQ48" s="2"/>
      <c r="UFY48" s="2"/>
      <c r="UGG48" s="2"/>
      <c r="UGO48" s="2"/>
      <c r="UGW48" s="2"/>
      <c r="UHE48" s="2"/>
      <c r="UHM48" s="2"/>
      <c r="UHU48" s="2"/>
      <c r="UIC48" s="2"/>
      <c r="UIK48" s="2"/>
      <c r="UIS48" s="2"/>
      <c r="UJA48" s="2"/>
      <c r="UJI48" s="2"/>
      <c r="UJQ48" s="2"/>
      <c r="UJY48" s="2"/>
      <c r="UKG48" s="2"/>
      <c r="UKO48" s="2"/>
      <c r="UKW48" s="2"/>
      <c r="ULE48" s="2"/>
      <c r="ULM48" s="2"/>
      <c r="ULU48" s="2"/>
      <c r="UMC48" s="2"/>
      <c r="UMK48" s="2"/>
      <c r="UMS48" s="2"/>
      <c r="UNA48" s="2"/>
      <c r="UNI48" s="2"/>
      <c r="UNQ48" s="2"/>
      <c r="UNY48" s="2"/>
      <c r="UOG48" s="2"/>
      <c r="UOO48" s="2"/>
      <c r="UOW48" s="2"/>
      <c r="UPE48" s="2"/>
      <c r="UPM48" s="2"/>
      <c r="UPU48" s="2"/>
      <c r="UQC48" s="2"/>
      <c r="UQK48" s="2"/>
      <c r="UQS48" s="2"/>
      <c r="URA48" s="2"/>
      <c r="URI48" s="2"/>
      <c r="URQ48" s="2"/>
      <c r="URY48" s="2"/>
      <c r="USG48" s="2"/>
      <c r="USO48" s="2"/>
      <c r="USW48" s="2"/>
      <c r="UTE48" s="2"/>
      <c r="UTM48" s="2"/>
      <c r="UTU48" s="2"/>
      <c r="UUC48" s="2"/>
      <c r="UUK48" s="2"/>
      <c r="UUS48" s="2"/>
      <c r="UVA48" s="2"/>
      <c r="UVI48" s="2"/>
      <c r="UVQ48" s="2"/>
      <c r="UVY48" s="2"/>
      <c r="UWG48" s="2"/>
      <c r="UWO48" s="2"/>
      <c r="UWW48" s="2"/>
      <c r="UXE48" s="2"/>
      <c r="UXM48" s="2"/>
      <c r="UXU48" s="2"/>
      <c r="UYC48" s="2"/>
      <c r="UYK48" s="2"/>
      <c r="UYS48" s="2"/>
      <c r="UZA48" s="2"/>
      <c r="UZI48" s="2"/>
      <c r="UZQ48" s="2"/>
      <c r="UZY48" s="2"/>
      <c r="VAG48" s="2"/>
      <c r="VAO48" s="2"/>
      <c r="VAW48" s="2"/>
      <c r="VBE48" s="2"/>
      <c r="VBM48" s="2"/>
      <c r="VBU48" s="2"/>
      <c r="VCC48" s="2"/>
      <c r="VCK48" s="2"/>
      <c r="VCS48" s="2"/>
      <c r="VDA48" s="2"/>
      <c r="VDI48" s="2"/>
      <c r="VDQ48" s="2"/>
      <c r="VDY48" s="2"/>
      <c r="VEG48" s="2"/>
      <c r="VEO48" s="2"/>
      <c r="VEW48" s="2"/>
      <c r="VFE48" s="2"/>
      <c r="VFM48" s="2"/>
      <c r="VFU48" s="2"/>
      <c r="VGC48" s="2"/>
      <c r="VGK48" s="2"/>
      <c r="VGS48" s="2"/>
      <c r="VHA48" s="2"/>
      <c r="VHI48" s="2"/>
      <c r="VHQ48" s="2"/>
      <c r="VHY48" s="2"/>
      <c r="VIG48" s="2"/>
      <c r="VIO48" s="2"/>
      <c r="VIW48" s="2"/>
      <c r="VJE48" s="2"/>
      <c r="VJM48" s="2"/>
      <c r="VJU48" s="2"/>
      <c r="VKC48" s="2"/>
      <c r="VKK48" s="2"/>
      <c r="VKS48" s="2"/>
      <c r="VLA48" s="2"/>
      <c r="VLI48" s="2"/>
      <c r="VLQ48" s="2"/>
      <c r="VLY48" s="2"/>
      <c r="VMG48" s="2"/>
      <c r="VMO48" s="2"/>
      <c r="VMW48" s="2"/>
      <c r="VNE48" s="2"/>
      <c r="VNM48" s="2"/>
      <c r="VNU48" s="2"/>
      <c r="VOC48" s="2"/>
      <c r="VOK48" s="2"/>
      <c r="VOS48" s="2"/>
      <c r="VPA48" s="2"/>
      <c r="VPI48" s="2"/>
      <c r="VPQ48" s="2"/>
      <c r="VPY48" s="2"/>
      <c r="VQG48" s="2"/>
      <c r="VQO48" s="2"/>
      <c r="VQW48" s="2"/>
      <c r="VRE48" s="2"/>
      <c r="VRM48" s="2"/>
      <c r="VRU48" s="2"/>
      <c r="VSC48" s="2"/>
      <c r="VSK48" s="2"/>
      <c r="VSS48" s="2"/>
      <c r="VTA48" s="2"/>
      <c r="VTI48" s="2"/>
      <c r="VTQ48" s="2"/>
      <c r="VTY48" s="2"/>
      <c r="VUG48" s="2"/>
      <c r="VUO48" s="2"/>
      <c r="VUW48" s="2"/>
      <c r="VVE48" s="2"/>
      <c r="VVM48" s="2"/>
      <c r="VVU48" s="2"/>
      <c r="VWC48" s="2"/>
      <c r="VWK48" s="2"/>
      <c r="VWS48" s="2"/>
      <c r="VXA48" s="2"/>
      <c r="VXI48" s="2"/>
      <c r="VXQ48" s="2"/>
      <c r="VXY48" s="2"/>
      <c r="VYG48" s="2"/>
      <c r="VYO48" s="2"/>
      <c r="VYW48" s="2"/>
      <c r="VZE48" s="2"/>
      <c r="VZM48" s="2"/>
      <c r="VZU48" s="2"/>
      <c r="WAC48" s="2"/>
      <c r="WAK48" s="2"/>
      <c r="WAS48" s="2"/>
      <c r="WBA48" s="2"/>
      <c r="WBI48" s="2"/>
      <c r="WBQ48" s="2"/>
      <c r="WBY48" s="2"/>
      <c r="WCG48" s="2"/>
      <c r="WCO48" s="2"/>
      <c r="WCW48" s="2"/>
      <c r="WDE48" s="2"/>
      <c r="WDM48" s="2"/>
      <c r="WDU48" s="2"/>
      <c r="WEC48" s="2"/>
      <c r="WEK48" s="2"/>
      <c r="WES48" s="2"/>
      <c r="WFA48" s="2"/>
      <c r="WFI48" s="2"/>
      <c r="WFQ48" s="2"/>
      <c r="WFY48" s="2"/>
      <c r="WGG48" s="2"/>
      <c r="WGO48" s="2"/>
      <c r="WGW48" s="2"/>
      <c r="WHE48" s="2"/>
      <c r="WHM48" s="2"/>
      <c r="WHU48" s="2"/>
      <c r="WIC48" s="2"/>
      <c r="WIK48" s="2"/>
      <c r="WIS48" s="2"/>
      <c r="WJA48" s="2"/>
      <c r="WJI48" s="2"/>
      <c r="WJQ48" s="2"/>
      <c r="WJY48" s="2"/>
      <c r="WKG48" s="2"/>
      <c r="WKO48" s="2"/>
      <c r="WKW48" s="2"/>
      <c r="WLE48" s="2"/>
      <c r="WLM48" s="2"/>
      <c r="WLU48" s="2"/>
      <c r="WMC48" s="2"/>
      <c r="WMK48" s="2"/>
      <c r="WMS48" s="2"/>
      <c r="WNA48" s="2"/>
      <c r="WNI48" s="2"/>
      <c r="WNQ48" s="2"/>
      <c r="WNY48" s="2"/>
      <c r="WOG48" s="2"/>
      <c r="WOO48" s="2"/>
      <c r="WOW48" s="2"/>
      <c r="WPE48" s="2"/>
      <c r="WPM48" s="2"/>
      <c r="WPU48" s="2"/>
      <c r="WQC48" s="2"/>
      <c r="WQK48" s="2"/>
      <c r="WQS48" s="2"/>
      <c r="WRA48" s="2"/>
      <c r="WRI48" s="2"/>
      <c r="WRQ48" s="2"/>
      <c r="WRY48" s="2"/>
      <c r="WSG48" s="2"/>
      <c r="WSO48" s="2"/>
      <c r="WSW48" s="2"/>
      <c r="WTE48" s="2"/>
      <c r="WTM48" s="2"/>
      <c r="WTU48" s="2"/>
      <c r="WUC48" s="2"/>
      <c r="WUK48" s="2"/>
      <c r="WUS48" s="2"/>
      <c r="WVA48" s="2"/>
      <c r="WVI48" s="2"/>
      <c r="WVQ48" s="2"/>
      <c r="WVY48" s="2"/>
      <c r="WWG48" s="2"/>
      <c r="WWO48" s="2"/>
      <c r="WWW48" s="2"/>
      <c r="WXE48" s="2"/>
      <c r="WXM48" s="2"/>
      <c r="WXU48" s="2"/>
      <c r="WYC48" s="2"/>
      <c r="WYK48" s="2"/>
      <c r="WYS48" s="2"/>
      <c r="WZA48" s="2"/>
      <c r="WZI48" s="2"/>
      <c r="WZQ48" s="2"/>
      <c r="WZY48" s="2"/>
      <c r="XAG48" s="2"/>
      <c r="XAO48" s="2"/>
      <c r="XAW48" s="2"/>
      <c r="XBE48" s="2"/>
      <c r="XBM48" s="2"/>
      <c r="XBU48" s="2"/>
      <c r="XCC48" s="2"/>
      <c r="XCK48" s="2"/>
      <c r="XCS48" s="2"/>
      <c r="XDA48" s="2"/>
      <c r="XDI48" s="2"/>
      <c r="XDQ48" s="2"/>
      <c r="XDY48" s="2"/>
      <c r="XEG48" s="2"/>
      <c r="XEO48" s="2"/>
      <c r="XEW48" s="2"/>
    </row>
    <row r="49" spans="1:1017 1025:2041 2049:3065 3073:4089 4097:5113 5121:6137 6145:7161 7169:8185 8193:9209 9217:10233 10241:11257 11265:12281 12289:13305 13313:14329 14337:15353 15361:16377" s="3" customFormat="1" x14ac:dyDescent="0.35">
      <c r="A49" s="2" t="s">
        <v>204</v>
      </c>
      <c r="B49" s="3" t="s">
        <v>205</v>
      </c>
      <c r="C49" s="3" t="s">
        <v>180</v>
      </c>
      <c r="D49" s="3" t="s">
        <v>26</v>
      </c>
      <c r="E49" s="18" t="s">
        <v>206</v>
      </c>
      <c r="H49" s="3" t="s">
        <v>207</v>
      </c>
      <c r="I49" s="2" t="s">
        <v>208</v>
      </c>
      <c r="Q49" s="2"/>
      <c r="Y49" s="2"/>
      <c r="AG49" s="2"/>
      <c r="AO49" s="2"/>
      <c r="AW49" s="2"/>
      <c r="BE49" s="2"/>
      <c r="BM49" s="2"/>
      <c r="BU49" s="2"/>
      <c r="CC49" s="2"/>
      <c r="CK49" s="2"/>
      <c r="CS49" s="2"/>
      <c r="DA49" s="2"/>
      <c r="DI49" s="2"/>
      <c r="DQ49" s="2"/>
      <c r="DY49" s="2"/>
      <c r="EG49" s="2"/>
      <c r="EO49" s="2"/>
      <c r="EW49" s="2"/>
      <c r="FE49" s="2"/>
      <c r="FM49" s="2"/>
      <c r="FU49" s="2"/>
      <c r="GC49" s="2"/>
      <c r="GK49" s="2"/>
      <c r="GS49" s="2"/>
      <c r="HA49" s="2"/>
      <c r="HI49" s="2"/>
      <c r="HQ49" s="2"/>
      <c r="HY49" s="2"/>
      <c r="IG49" s="2"/>
      <c r="IO49" s="2"/>
      <c r="IW49" s="2"/>
      <c r="JE49" s="2"/>
      <c r="JM49" s="2"/>
      <c r="JU49" s="2"/>
      <c r="KC49" s="2"/>
      <c r="KK49" s="2"/>
      <c r="KS49" s="2"/>
      <c r="LA49" s="2"/>
      <c r="LI49" s="2"/>
      <c r="LQ49" s="2"/>
      <c r="LY49" s="2"/>
      <c r="MG49" s="2"/>
      <c r="MO49" s="2"/>
      <c r="MW49" s="2"/>
      <c r="NE49" s="2"/>
      <c r="NM49" s="2"/>
      <c r="NU49" s="2"/>
      <c r="OC49" s="2"/>
      <c r="OK49" s="2"/>
      <c r="OS49" s="2"/>
      <c r="PA49" s="2"/>
      <c r="PI49" s="2"/>
      <c r="PQ49" s="2"/>
      <c r="PY49" s="2"/>
      <c r="QG49" s="2"/>
      <c r="QO49" s="2"/>
      <c r="QW49" s="2"/>
      <c r="RE49" s="2"/>
      <c r="RM49" s="2"/>
      <c r="RU49" s="2"/>
      <c r="SC49" s="2"/>
      <c r="SK49" s="2"/>
      <c r="SS49" s="2"/>
      <c r="TA49" s="2"/>
      <c r="TI49" s="2"/>
      <c r="TQ49" s="2"/>
      <c r="TY49" s="2"/>
      <c r="UG49" s="2"/>
      <c r="UO49" s="2"/>
      <c r="UW49" s="2"/>
      <c r="VE49" s="2"/>
      <c r="VM49" s="2"/>
      <c r="VU49" s="2"/>
      <c r="WC49" s="2"/>
      <c r="WK49" s="2"/>
      <c r="WS49" s="2"/>
      <c r="XA49" s="2"/>
      <c r="XI49" s="2"/>
      <c r="XQ49" s="2"/>
      <c r="XY49" s="2"/>
      <c r="YG49" s="2"/>
      <c r="YO49" s="2"/>
      <c r="YW49" s="2"/>
      <c r="ZE49" s="2"/>
      <c r="ZM49" s="2"/>
      <c r="ZU49" s="2"/>
      <c r="AAC49" s="2"/>
      <c r="AAK49" s="2"/>
      <c r="AAS49" s="2"/>
      <c r="ABA49" s="2"/>
      <c r="ABI49" s="2"/>
      <c r="ABQ49" s="2"/>
      <c r="ABY49" s="2"/>
      <c r="ACG49" s="2"/>
      <c r="ACO49" s="2"/>
      <c r="ACW49" s="2"/>
      <c r="ADE49" s="2"/>
      <c r="ADM49" s="2"/>
      <c r="ADU49" s="2"/>
      <c r="AEC49" s="2"/>
      <c r="AEK49" s="2"/>
      <c r="AES49" s="2"/>
      <c r="AFA49" s="2"/>
      <c r="AFI49" s="2"/>
      <c r="AFQ49" s="2"/>
      <c r="AFY49" s="2"/>
      <c r="AGG49" s="2"/>
      <c r="AGO49" s="2"/>
      <c r="AGW49" s="2"/>
      <c r="AHE49" s="2"/>
      <c r="AHM49" s="2"/>
      <c r="AHU49" s="2"/>
      <c r="AIC49" s="2"/>
      <c r="AIK49" s="2"/>
      <c r="AIS49" s="2"/>
      <c r="AJA49" s="2"/>
      <c r="AJI49" s="2"/>
      <c r="AJQ49" s="2"/>
      <c r="AJY49" s="2"/>
      <c r="AKG49" s="2"/>
      <c r="AKO49" s="2"/>
      <c r="AKW49" s="2"/>
      <c r="ALE49" s="2"/>
      <c r="ALM49" s="2"/>
      <c r="ALU49" s="2"/>
      <c r="AMC49" s="2"/>
      <c r="AMK49" s="2"/>
      <c r="AMS49" s="2"/>
      <c r="ANA49" s="2"/>
      <c r="ANI49" s="2"/>
      <c r="ANQ49" s="2"/>
      <c r="ANY49" s="2"/>
      <c r="AOG49" s="2"/>
      <c r="AOO49" s="2"/>
      <c r="AOW49" s="2"/>
      <c r="APE49" s="2"/>
      <c r="APM49" s="2"/>
      <c r="APU49" s="2"/>
      <c r="AQC49" s="2"/>
      <c r="AQK49" s="2"/>
      <c r="AQS49" s="2"/>
      <c r="ARA49" s="2"/>
      <c r="ARI49" s="2"/>
      <c r="ARQ49" s="2"/>
      <c r="ARY49" s="2"/>
      <c r="ASG49" s="2"/>
      <c r="ASO49" s="2"/>
      <c r="ASW49" s="2"/>
      <c r="ATE49" s="2"/>
      <c r="ATM49" s="2"/>
      <c r="ATU49" s="2"/>
      <c r="AUC49" s="2"/>
      <c r="AUK49" s="2"/>
      <c r="AUS49" s="2"/>
      <c r="AVA49" s="2"/>
      <c r="AVI49" s="2"/>
      <c r="AVQ49" s="2"/>
      <c r="AVY49" s="2"/>
      <c r="AWG49" s="2"/>
      <c r="AWO49" s="2"/>
      <c r="AWW49" s="2"/>
      <c r="AXE49" s="2"/>
      <c r="AXM49" s="2"/>
      <c r="AXU49" s="2"/>
      <c r="AYC49" s="2"/>
      <c r="AYK49" s="2"/>
      <c r="AYS49" s="2"/>
      <c r="AZA49" s="2"/>
      <c r="AZI49" s="2"/>
      <c r="AZQ49" s="2"/>
      <c r="AZY49" s="2"/>
      <c r="BAG49" s="2"/>
      <c r="BAO49" s="2"/>
      <c r="BAW49" s="2"/>
      <c r="BBE49" s="2"/>
      <c r="BBM49" s="2"/>
      <c r="BBU49" s="2"/>
      <c r="BCC49" s="2"/>
      <c r="BCK49" s="2"/>
      <c r="BCS49" s="2"/>
      <c r="BDA49" s="2"/>
      <c r="BDI49" s="2"/>
      <c r="BDQ49" s="2"/>
      <c r="BDY49" s="2"/>
      <c r="BEG49" s="2"/>
      <c r="BEO49" s="2"/>
      <c r="BEW49" s="2"/>
      <c r="BFE49" s="2"/>
      <c r="BFM49" s="2"/>
      <c r="BFU49" s="2"/>
      <c r="BGC49" s="2"/>
      <c r="BGK49" s="2"/>
      <c r="BGS49" s="2"/>
      <c r="BHA49" s="2"/>
      <c r="BHI49" s="2"/>
      <c r="BHQ49" s="2"/>
      <c r="BHY49" s="2"/>
      <c r="BIG49" s="2"/>
      <c r="BIO49" s="2"/>
      <c r="BIW49" s="2"/>
      <c r="BJE49" s="2"/>
      <c r="BJM49" s="2"/>
      <c r="BJU49" s="2"/>
      <c r="BKC49" s="2"/>
      <c r="BKK49" s="2"/>
      <c r="BKS49" s="2"/>
      <c r="BLA49" s="2"/>
      <c r="BLI49" s="2"/>
      <c r="BLQ49" s="2"/>
      <c r="BLY49" s="2"/>
      <c r="BMG49" s="2"/>
      <c r="BMO49" s="2"/>
      <c r="BMW49" s="2"/>
      <c r="BNE49" s="2"/>
      <c r="BNM49" s="2"/>
      <c r="BNU49" s="2"/>
      <c r="BOC49" s="2"/>
      <c r="BOK49" s="2"/>
      <c r="BOS49" s="2"/>
      <c r="BPA49" s="2"/>
      <c r="BPI49" s="2"/>
      <c r="BPQ49" s="2"/>
      <c r="BPY49" s="2"/>
      <c r="BQG49" s="2"/>
      <c r="BQO49" s="2"/>
      <c r="BQW49" s="2"/>
      <c r="BRE49" s="2"/>
      <c r="BRM49" s="2"/>
      <c r="BRU49" s="2"/>
      <c r="BSC49" s="2"/>
      <c r="BSK49" s="2"/>
      <c r="BSS49" s="2"/>
      <c r="BTA49" s="2"/>
      <c r="BTI49" s="2"/>
      <c r="BTQ49" s="2"/>
      <c r="BTY49" s="2"/>
      <c r="BUG49" s="2"/>
      <c r="BUO49" s="2"/>
      <c r="BUW49" s="2"/>
      <c r="BVE49" s="2"/>
      <c r="BVM49" s="2"/>
      <c r="BVU49" s="2"/>
      <c r="BWC49" s="2"/>
      <c r="BWK49" s="2"/>
      <c r="BWS49" s="2"/>
      <c r="BXA49" s="2"/>
      <c r="BXI49" s="2"/>
      <c r="BXQ49" s="2"/>
      <c r="BXY49" s="2"/>
      <c r="BYG49" s="2"/>
      <c r="BYO49" s="2"/>
      <c r="BYW49" s="2"/>
      <c r="BZE49" s="2"/>
      <c r="BZM49" s="2"/>
      <c r="BZU49" s="2"/>
      <c r="CAC49" s="2"/>
      <c r="CAK49" s="2"/>
      <c r="CAS49" s="2"/>
      <c r="CBA49" s="2"/>
      <c r="CBI49" s="2"/>
      <c r="CBQ49" s="2"/>
      <c r="CBY49" s="2"/>
      <c r="CCG49" s="2"/>
      <c r="CCO49" s="2"/>
      <c r="CCW49" s="2"/>
      <c r="CDE49" s="2"/>
      <c r="CDM49" s="2"/>
      <c r="CDU49" s="2"/>
      <c r="CEC49" s="2"/>
      <c r="CEK49" s="2"/>
      <c r="CES49" s="2"/>
      <c r="CFA49" s="2"/>
      <c r="CFI49" s="2"/>
      <c r="CFQ49" s="2"/>
      <c r="CFY49" s="2"/>
      <c r="CGG49" s="2"/>
      <c r="CGO49" s="2"/>
      <c r="CGW49" s="2"/>
      <c r="CHE49" s="2"/>
      <c r="CHM49" s="2"/>
      <c r="CHU49" s="2"/>
      <c r="CIC49" s="2"/>
      <c r="CIK49" s="2"/>
      <c r="CIS49" s="2"/>
      <c r="CJA49" s="2"/>
      <c r="CJI49" s="2"/>
      <c r="CJQ49" s="2"/>
      <c r="CJY49" s="2"/>
      <c r="CKG49" s="2"/>
      <c r="CKO49" s="2"/>
      <c r="CKW49" s="2"/>
      <c r="CLE49" s="2"/>
      <c r="CLM49" s="2"/>
      <c r="CLU49" s="2"/>
      <c r="CMC49" s="2"/>
      <c r="CMK49" s="2"/>
      <c r="CMS49" s="2"/>
      <c r="CNA49" s="2"/>
      <c r="CNI49" s="2"/>
      <c r="CNQ49" s="2"/>
      <c r="CNY49" s="2"/>
      <c r="COG49" s="2"/>
      <c r="COO49" s="2"/>
      <c r="COW49" s="2"/>
      <c r="CPE49" s="2"/>
      <c r="CPM49" s="2"/>
      <c r="CPU49" s="2"/>
      <c r="CQC49" s="2"/>
      <c r="CQK49" s="2"/>
      <c r="CQS49" s="2"/>
      <c r="CRA49" s="2"/>
      <c r="CRI49" s="2"/>
      <c r="CRQ49" s="2"/>
      <c r="CRY49" s="2"/>
      <c r="CSG49" s="2"/>
      <c r="CSO49" s="2"/>
      <c r="CSW49" s="2"/>
      <c r="CTE49" s="2"/>
      <c r="CTM49" s="2"/>
      <c r="CTU49" s="2"/>
      <c r="CUC49" s="2"/>
      <c r="CUK49" s="2"/>
      <c r="CUS49" s="2"/>
      <c r="CVA49" s="2"/>
      <c r="CVI49" s="2"/>
      <c r="CVQ49" s="2"/>
      <c r="CVY49" s="2"/>
      <c r="CWG49" s="2"/>
      <c r="CWO49" s="2"/>
      <c r="CWW49" s="2"/>
      <c r="CXE49" s="2"/>
      <c r="CXM49" s="2"/>
      <c r="CXU49" s="2"/>
      <c r="CYC49" s="2"/>
      <c r="CYK49" s="2"/>
      <c r="CYS49" s="2"/>
      <c r="CZA49" s="2"/>
      <c r="CZI49" s="2"/>
      <c r="CZQ49" s="2"/>
      <c r="CZY49" s="2"/>
      <c r="DAG49" s="2"/>
      <c r="DAO49" s="2"/>
      <c r="DAW49" s="2"/>
      <c r="DBE49" s="2"/>
      <c r="DBM49" s="2"/>
      <c r="DBU49" s="2"/>
      <c r="DCC49" s="2"/>
      <c r="DCK49" s="2"/>
      <c r="DCS49" s="2"/>
      <c r="DDA49" s="2"/>
      <c r="DDI49" s="2"/>
      <c r="DDQ49" s="2"/>
      <c r="DDY49" s="2"/>
      <c r="DEG49" s="2"/>
      <c r="DEO49" s="2"/>
      <c r="DEW49" s="2"/>
      <c r="DFE49" s="2"/>
      <c r="DFM49" s="2"/>
      <c r="DFU49" s="2"/>
      <c r="DGC49" s="2"/>
      <c r="DGK49" s="2"/>
      <c r="DGS49" s="2"/>
      <c r="DHA49" s="2"/>
      <c r="DHI49" s="2"/>
      <c r="DHQ49" s="2"/>
      <c r="DHY49" s="2"/>
      <c r="DIG49" s="2"/>
      <c r="DIO49" s="2"/>
      <c r="DIW49" s="2"/>
      <c r="DJE49" s="2"/>
      <c r="DJM49" s="2"/>
      <c r="DJU49" s="2"/>
      <c r="DKC49" s="2"/>
      <c r="DKK49" s="2"/>
      <c r="DKS49" s="2"/>
      <c r="DLA49" s="2"/>
      <c r="DLI49" s="2"/>
      <c r="DLQ49" s="2"/>
      <c r="DLY49" s="2"/>
      <c r="DMG49" s="2"/>
      <c r="DMO49" s="2"/>
      <c r="DMW49" s="2"/>
      <c r="DNE49" s="2"/>
      <c r="DNM49" s="2"/>
      <c r="DNU49" s="2"/>
      <c r="DOC49" s="2"/>
      <c r="DOK49" s="2"/>
      <c r="DOS49" s="2"/>
      <c r="DPA49" s="2"/>
      <c r="DPI49" s="2"/>
      <c r="DPQ49" s="2"/>
      <c r="DPY49" s="2"/>
      <c r="DQG49" s="2"/>
      <c r="DQO49" s="2"/>
      <c r="DQW49" s="2"/>
      <c r="DRE49" s="2"/>
      <c r="DRM49" s="2"/>
      <c r="DRU49" s="2"/>
      <c r="DSC49" s="2"/>
      <c r="DSK49" s="2"/>
      <c r="DSS49" s="2"/>
      <c r="DTA49" s="2"/>
      <c r="DTI49" s="2"/>
      <c r="DTQ49" s="2"/>
      <c r="DTY49" s="2"/>
      <c r="DUG49" s="2"/>
      <c r="DUO49" s="2"/>
      <c r="DUW49" s="2"/>
      <c r="DVE49" s="2"/>
      <c r="DVM49" s="2"/>
      <c r="DVU49" s="2"/>
      <c r="DWC49" s="2"/>
      <c r="DWK49" s="2"/>
      <c r="DWS49" s="2"/>
      <c r="DXA49" s="2"/>
      <c r="DXI49" s="2"/>
      <c r="DXQ49" s="2"/>
      <c r="DXY49" s="2"/>
      <c r="DYG49" s="2"/>
      <c r="DYO49" s="2"/>
      <c r="DYW49" s="2"/>
      <c r="DZE49" s="2"/>
      <c r="DZM49" s="2"/>
      <c r="DZU49" s="2"/>
      <c r="EAC49" s="2"/>
      <c r="EAK49" s="2"/>
      <c r="EAS49" s="2"/>
      <c r="EBA49" s="2"/>
      <c r="EBI49" s="2"/>
      <c r="EBQ49" s="2"/>
      <c r="EBY49" s="2"/>
      <c r="ECG49" s="2"/>
      <c r="ECO49" s="2"/>
      <c r="ECW49" s="2"/>
      <c r="EDE49" s="2"/>
      <c r="EDM49" s="2"/>
      <c r="EDU49" s="2"/>
      <c r="EEC49" s="2"/>
      <c r="EEK49" s="2"/>
      <c r="EES49" s="2"/>
      <c r="EFA49" s="2"/>
      <c r="EFI49" s="2"/>
      <c r="EFQ49" s="2"/>
      <c r="EFY49" s="2"/>
      <c r="EGG49" s="2"/>
      <c r="EGO49" s="2"/>
      <c r="EGW49" s="2"/>
      <c r="EHE49" s="2"/>
      <c r="EHM49" s="2"/>
      <c r="EHU49" s="2"/>
      <c r="EIC49" s="2"/>
      <c r="EIK49" s="2"/>
      <c r="EIS49" s="2"/>
      <c r="EJA49" s="2"/>
      <c r="EJI49" s="2"/>
      <c r="EJQ49" s="2"/>
      <c r="EJY49" s="2"/>
      <c r="EKG49" s="2"/>
      <c r="EKO49" s="2"/>
      <c r="EKW49" s="2"/>
      <c r="ELE49" s="2"/>
      <c r="ELM49" s="2"/>
      <c r="ELU49" s="2"/>
      <c r="EMC49" s="2"/>
      <c r="EMK49" s="2"/>
      <c r="EMS49" s="2"/>
      <c r="ENA49" s="2"/>
      <c r="ENI49" s="2"/>
      <c r="ENQ49" s="2"/>
      <c r="ENY49" s="2"/>
      <c r="EOG49" s="2"/>
      <c r="EOO49" s="2"/>
      <c r="EOW49" s="2"/>
      <c r="EPE49" s="2"/>
      <c r="EPM49" s="2"/>
      <c r="EPU49" s="2"/>
      <c r="EQC49" s="2"/>
      <c r="EQK49" s="2"/>
      <c r="EQS49" s="2"/>
      <c r="ERA49" s="2"/>
      <c r="ERI49" s="2"/>
      <c r="ERQ49" s="2"/>
      <c r="ERY49" s="2"/>
      <c r="ESG49" s="2"/>
      <c r="ESO49" s="2"/>
      <c r="ESW49" s="2"/>
      <c r="ETE49" s="2"/>
      <c r="ETM49" s="2"/>
      <c r="ETU49" s="2"/>
      <c r="EUC49" s="2"/>
      <c r="EUK49" s="2"/>
      <c r="EUS49" s="2"/>
      <c r="EVA49" s="2"/>
      <c r="EVI49" s="2"/>
      <c r="EVQ49" s="2"/>
      <c r="EVY49" s="2"/>
      <c r="EWG49" s="2"/>
      <c r="EWO49" s="2"/>
      <c r="EWW49" s="2"/>
      <c r="EXE49" s="2"/>
      <c r="EXM49" s="2"/>
      <c r="EXU49" s="2"/>
      <c r="EYC49" s="2"/>
      <c r="EYK49" s="2"/>
      <c r="EYS49" s="2"/>
      <c r="EZA49" s="2"/>
      <c r="EZI49" s="2"/>
      <c r="EZQ49" s="2"/>
      <c r="EZY49" s="2"/>
      <c r="FAG49" s="2"/>
      <c r="FAO49" s="2"/>
      <c r="FAW49" s="2"/>
      <c r="FBE49" s="2"/>
      <c r="FBM49" s="2"/>
      <c r="FBU49" s="2"/>
      <c r="FCC49" s="2"/>
      <c r="FCK49" s="2"/>
      <c r="FCS49" s="2"/>
      <c r="FDA49" s="2"/>
      <c r="FDI49" s="2"/>
      <c r="FDQ49" s="2"/>
      <c r="FDY49" s="2"/>
      <c r="FEG49" s="2"/>
      <c r="FEO49" s="2"/>
      <c r="FEW49" s="2"/>
      <c r="FFE49" s="2"/>
      <c r="FFM49" s="2"/>
      <c r="FFU49" s="2"/>
      <c r="FGC49" s="2"/>
      <c r="FGK49" s="2"/>
      <c r="FGS49" s="2"/>
      <c r="FHA49" s="2"/>
      <c r="FHI49" s="2"/>
      <c r="FHQ49" s="2"/>
      <c r="FHY49" s="2"/>
      <c r="FIG49" s="2"/>
      <c r="FIO49" s="2"/>
      <c r="FIW49" s="2"/>
      <c r="FJE49" s="2"/>
      <c r="FJM49" s="2"/>
      <c r="FJU49" s="2"/>
      <c r="FKC49" s="2"/>
      <c r="FKK49" s="2"/>
      <c r="FKS49" s="2"/>
      <c r="FLA49" s="2"/>
      <c r="FLI49" s="2"/>
      <c r="FLQ49" s="2"/>
      <c r="FLY49" s="2"/>
      <c r="FMG49" s="2"/>
      <c r="FMO49" s="2"/>
      <c r="FMW49" s="2"/>
      <c r="FNE49" s="2"/>
      <c r="FNM49" s="2"/>
      <c r="FNU49" s="2"/>
      <c r="FOC49" s="2"/>
      <c r="FOK49" s="2"/>
      <c r="FOS49" s="2"/>
      <c r="FPA49" s="2"/>
      <c r="FPI49" s="2"/>
      <c r="FPQ49" s="2"/>
      <c r="FPY49" s="2"/>
      <c r="FQG49" s="2"/>
      <c r="FQO49" s="2"/>
      <c r="FQW49" s="2"/>
      <c r="FRE49" s="2"/>
      <c r="FRM49" s="2"/>
      <c r="FRU49" s="2"/>
      <c r="FSC49" s="2"/>
      <c r="FSK49" s="2"/>
      <c r="FSS49" s="2"/>
      <c r="FTA49" s="2"/>
      <c r="FTI49" s="2"/>
      <c r="FTQ49" s="2"/>
      <c r="FTY49" s="2"/>
      <c r="FUG49" s="2"/>
      <c r="FUO49" s="2"/>
      <c r="FUW49" s="2"/>
      <c r="FVE49" s="2"/>
      <c r="FVM49" s="2"/>
      <c r="FVU49" s="2"/>
      <c r="FWC49" s="2"/>
      <c r="FWK49" s="2"/>
      <c r="FWS49" s="2"/>
      <c r="FXA49" s="2"/>
      <c r="FXI49" s="2"/>
      <c r="FXQ49" s="2"/>
      <c r="FXY49" s="2"/>
      <c r="FYG49" s="2"/>
      <c r="FYO49" s="2"/>
      <c r="FYW49" s="2"/>
      <c r="FZE49" s="2"/>
      <c r="FZM49" s="2"/>
      <c r="FZU49" s="2"/>
      <c r="GAC49" s="2"/>
      <c r="GAK49" s="2"/>
      <c r="GAS49" s="2"/>
      <c r="GBA49" s="2"/>
      <c r="GBI49" s="2"/>
      <c r="GBQ49" s="2"/>
      <c r="GBY49" s="2"/>
      <c r="GCG49" s="2"/>
      <c r="GCO49" s="2"/>
      <c r="GCW49" s="2"/>
      <c r="GDE49" s="2"/>
      <c r="GDM49" s="2"/>
      <c r="GDU49" s="2"/>
      <c r="GEC49" s="2"/>
      <c r="GEK49" s="2"/>
      <c r="GES49" s="2"/>
      <c r="GFA49" s="2"/>
      <c r="GFI49" s="2"/>
      <c r="GFQ49" s="2"/>
      <c r="GFY49" s="2"/>
      <c r="GGG49" s="2"/>
      <c r="GGO49" s="2"/>
      <c r="GGW49" s="2"/>
      <c r="GHE49" s="2"/>
      <c r="GHM49" s="2"/>
      <c r="GHU49" s="2"/>
      <c r="GIC49" s="2"/>
      <c r="GIK49" s="2"/>
      <c r="GIS49" s="2"/>
      <c r="GJA49" s="2"/>
      <c r="GJI49" s="2"/>
      <c r="GJQ49" s="2"/>
      <c r="GJY49" s="2"/>
      <c r="GKG49" s="2"/>
      <c r="GKO49" s="2"/>
      <c r="GKW49" s="2"/>
      <c r="GLE49" s="2"/>
      <c r="GLM49" s="2"/>
      <c r="GLU49" s="2"/>
      <c r="GMC49" s="2"/>
      <c r="GMK49" s="2"/>
      <c r="GMS49" s="2"/>
      <c r="GNA49" s="2"/>
      <c r="GNI49" s="2"/>
      <c r="GNQ49" s="2"/>
      <c r="GNY49" s="2"/>
      <c r="GOG49" s="2"/>
      <c r="GOO49" s="2"/>
      <c r="GOW49" s="2"/>
      <c r="GPE49" s="2"/>
      <c r="GPM49" s="2"/>
      <c r="GPU49" s="2"/>
      <c r="GQC49" s="2"/>
      <c r="GQK49" s="2"/>
      <c r="GQS49" s="2"/>
      <c r="GRA49" s="2"/>
      <c r="GRI49" s="2"/>
      <c r="GRQ49" s="2"/>
      <c r="GRY49" s="2"/>
      <c r="GSG49" s="2"/>
      <c r="GSO49" s="2"/>
      <c r="GSW49" s="2"/>
      <c r="GTE49" s="2"/>
      <c r="GTM49" s="2"/>
      <c r="GTU49" s="2"/>
      <c r="GUC49" s="2"/>
      <c r="GUK49" s="2"/>
      <c r="GUS49" s="2"/>
      <c r="GVA49" s="2"/>
      <c r="GVI49" s="2"/>
      <c r="GVQ49" s="2"/>
      <c r="GVY49" s="2"/>
      <c r="GWG49" s="2"/>
      <c r="GWO49" s="2"/>
      <c r="GWW49" s="2"/>
      <c r="GXE49" s="2"/>
      <c r="GXM49" s="2"/>
      <c r="GXU49" s="2"/>
      <c r="GYC49" s="2"/>
      <c r="GYK49" s="2"/>
      <c r="GYS49" s="2"/>
      <c r="GZA49" s="2"/>
      <c r="GZI49" s="2"/>
      <c r="GZQ49" s="2"/>
      <c r="GZY49" s="2"/>
      <c r="HAG49" s="2"/>
      <c r="HAO49" s="2"/>
      <c r="HAW49" s="2"/>
      <c r="HBE49" s="2"/>
      <c r="HBM49" s="2"/>
      <c r="HBU49" s="2"/>
      <c r="HCC49" s="2"/>
      <c r="HCK49" s="2"/>
      <c r="HCS49" s="2"/>
      <c r="HDA49" s="2"/>
      <c r="HDI49" s="2"/>
      <c r="HDQ49" s="2"/>
      <c r="HDY49" s="2"/>
      <c r="HEG49" s="2"/>
      <c r="HEO49" s="2"/>
      <c r="HEW49" s="2"/>
      <c r="HFE49" s="2"/>
      <c r="HFM49" s="2"/>
      <c r="HFU49" s="2"/>
      <c r="HGC49" s="2"/>
      <c r="HGK49" s="2"/>
      <c r="HGS49" s="2"/>
      <c r="HHA49" s="2"/>
      <c r="HHI49" s="2"/>
      <c r="HHQ49" s="2"/>
      <c r="HHY49" s="2"/>
      <c r="HIG49" s="2"/>
      <c r="HIO49" s="2"/>
      <c r="HIW49" s="2"/>
      <c r="HJE49" s="2"/>
      <c r="HJM49" s="2"/>
      <c r="HJU49" s="2"/>
      <c r="HKC49" s="2"/>
      <c r="HKK49" s="2"/>
      <c r="HKS49" s="2"/>
      <c r="HLA49" s="2"/>
      <c r="HLI49" s="2"/>
      <c r="HLQ49" s="2"/>
      <c r="HLY49" s="2"/>
      <c r="HMG49" s="2"/>
      <c r="HMO49" s="2"/>
      <c r="HMW49" s="2"/>
      <c r="HNE49" s="2"/>
      <c r="HNM49" s="2"/>
      <c r="HNU49" s="2"/>
      <c r="HOC49" s="2"/>
      <c r="HOK49" s="2"/>
      <c r="HOS49" s="2"/>
      <c r="HPA49" s="2"/>
      <c r="HPI49" s="2"/>
      <c r="HPQ49" s="2"/>
      <c r="HPY49" s="2"/>
      <c r="HQG49" s="2"/>
      <c r="HQO49" s="2"/>
      <c r="HQW49" s="2"/>
      <c r="HRE49" s="2"/>
      <c r="HRM49" s="2"/>
      <c r="HRU49" s="2"/>
      <c r="HSC49" s="2"/>
      <c r="HSK49" s="2"/>
      <c r="HSS49" s="2"/>
      <c r="HTA49" s="2"/>
      <c r="HTI49" s="2"/>
      <c r="HTQ49" s="2"/>
      <c r="HTY49" s="2"/>
      <c r="HUG49" s="2"/>
      <c r="HUO49" s="2"/>
      <c r="HUW49" s="2"/>
      <c r="HVE49" s="2"/>
      <c r="HVM49" s="2"/>
      <c r="HVU49" s="2"/>
      <c r="HWC49" s="2"/>
      <c r="HWK49" s="2"/>
      <c r="HWS49" s="2"/>
      <c r="HXA49" s="2"/>
      <c r="HXI49" s="2"/>
      <c r="HXQ49" s="2"/>
      <c r="HXY49" s="2"/>
      <c r="HYG49" s="2"/>
      <c r="HYO49" s="2"/>
      <c r="HYW49" s="2"/>
      <c r="HZE49" s="2"/>
      <c r="HZM49" s="2"/>
      <c r="HZU49" s="2"/>
      <c r="IAC49" s="2"/>
      <c r="IAK49" s="2"/>
      <c r="IAS49" s="2"/>
      <c r="IBA49" s="2"/>
      <c r="IBI49" s="2"/>
      <c r="IBQ49" s="2"/>
      <c r="IBY49" s="2"/>
      <c r="ICG49" s="2"/>
      <c r="ICO49" s="2"/>
      <c r="ICW49" s="2"/>
      <c r="IDE49" s="2"/>
      <c r="IDM49" s="2"/>
      <c r="IDU49" s="2"/>
      <c r="IEC49" s="2"/>
      <c r="IEK49" s="2"/>
      <c r="IES49" s="2"/>
      <c r="IFA49" s="2"/>
      <c r="IFI49" s="2"/>
      <c r="IFQ49" s="2"/>
      <c r="IFY49" s="2"/>
      <c r="IGG49" s="2"/>
      <c r="IGO49" s="2"/>
      <c r="IGW49" s="2"/>
      <c r="IHE49" s="2"/>
      <c r="IHM49" s="2"/>
      <c r="IHU49" s="2"/>
      <c r="IIC49" s="2"/>
      <c r="IIK49" s="2"/>
      <c r="IIS49" s="2"/>
      <c r="IJA49" s="2"/>
      <c r="IJI49" s="2"/>
      <c r="IJQ49" s="2"/>
      <c r="IJY49" s="2"/>
      <c r="IKG49" s="2"/>
      <c r="IKO49" s="2"/>
      <c r="IKW49" s="2"/>
      <c r="ILE49" s="2"/>
      <c r="ILM49" s="2"/>
      <c r="ILU49" s="2"/>
      <c r="IMC49" s="2"/>
      <c r="IMK49" s="2"/>
      <c r="IMS49" s="2"/>
      <c r="INA49" s="2"/>
      <c r="INI49" s="2"/>
      <c r="INQ49" s="2"/>
      <c r="INY49" s="2"/>
      <c r="IOG49" s="2"/>
      <c r="IOO49" s="2"/>
      <c r="IOW49" s="2"/>
      <c r="IPE49" s="2"/>
      <c r="IPM49" s="2"/>
      <c r="IPU49" s="2"/>
      <c r="IQC49" s="2"/>
      <c r="IQK49" s="2"/>
      <c r="IQS49" s="2"/>
      <c r="IRA49" s="2"/>
      <c r="IRI49" s="2"/>
      <c r="IRQ49" s="2"/>
      <c r="IRY49" s="2"/>
      <c r="ISG49" s="2"/>
      <c r="ISO49" s="2"/>
      <c r="ISW49" s="2"/>
      <c r="ITE49" s="2"/>
      <c r="ITM49" s="2"/>
      <c r="ITU49" s="2"/>
      <c r="IUC49" s="2"/>
      <c r="IUK49" s="2"/>
      <c r="IUS49" s="2"/>
      <c r="IVA49" s="2"/>
      <c r="IVI49" s="2"/>
      <c r="IVQ49" s="2"/>
      <c r="IVY49" s="2"/>
      <c r="IWG49" s="2"/>
      <c r="IWO49" s="2"/>
      <c r="IWW49" s="2"/>
      <c r="IXE49" s="2"/>
      <c r="IXM49" s="2"/>
      <c r="IXU49" s="2"/>
      <c r="IYC49" s="2"/>
      <c r="IYK49" s="2"/>
      <c r="IYS49" s="2"/>
      <c r="IZA49" s="2"/>
      <c r="IZI49" s="2"/>
      <c r="IZQ49" s="2"/>
      <c r="IZY49" s="2"/>
      <c r="JAG49" s="2"/>
      <c r="JAO49" s="2"/>
      <c r="JAW49" s="2"/>
      <c r="JBE49" s="2"/>
      <c r="JBM49" s="2"/>
      <c r="JBU49" s="2"/>
      <c r="JCC49" s="2"/>
      <c r="JCK49" s="2"/>
      <c r="JCS49" s="2"/>
      <c r="JDA49" s="2"/>
      <c r="JDI49" s="2"/>
      <c r="JDQ49" s="2"/>
      <c r="JDY49" s="2"/>
      <c r="JEG49" s="2"/>
      <c r="JEO49" s="2"/>
      <c r="JEW49" s="2"/>
      <c r="JFE49" s="2"/>
      <c r="JFM49" s="2"/>
      <c r="JFU49" s="2"/>
      <c r="JGC49" s="2"/>
      <c r="JGK49" s="2"/>
      <c r="JGS49" s="2"/>
      <c r="JHA49" s="2"/>
      <c r="JHI49" s="2"/>
      <c r="JHQ49" s="2"/>
      <c r="JHY49" s="2"/>
      <c r="JIG49" s="2"/>
      <c r="JIO49" s="2"/>
      <c r="JIW49" s="2"/>
      <c r="JJE49" s="2"/>
      <c r="JJM49" s="2"/>
      <c r="JJU49" s="2"/>
      <c r="JKC49" s="2"/>
      <c r="JKK49" s="2"/>
      <c r="JKS49" s="2"/>
      <c r="JLA49" s="2"/>
      <c r="JLI49" s="2"/>
      <c r="JLQ49" s="2"/>
      <c r="JLY49" s="2"/>
      <c r="JMG49" s="2"/>
      <c r="JMO49" s="2"/>
      <c r="JMW49" s="2"/>
      <c r="JNE49" s="2"/>
      <c r="JNM49" s="2"/>
      <c r="JNU49" s="2"/>
      <c r="JOC49" s="2"/>
      <c r="JOK49" s="2"/>
      <c r="JOS49" s="2"/>
      <c r="JPA49" s="2"/>
      <c r="JPI49" s="2"/>
      <c r="JPQ49" s="2"/>
      <c r="JPY49" s="2"/>
      <c r="JQG49" s="2"/>
      <c r="JQO49" s="2"/>
      <c r="JQW49" s="2"/>
      <c r="JRE49" s="2"/>
      <c r="JRM49" s="2"/>
      <c r="JRU49" s="2"/>
      <c r="JSC49" s="2"/>
      <c r="JSK49" s="2"/>
      <c r="JSS49" s="2"/>
      <c r="JTA49" s="2"/>
      <c r="JTI49" s="2"/>
      <c r="JTQ49" s="2"/>
      <c r="JTY49" s="2"/>
      <c r="JUG49" s="2"/>
      <c r="JUO49" s="2"/>
      <c r="JUW49" s="2"/>
      <c r="JVE49" s="2"/>
      <c r="JVM49" s="2"/>
      <c r="JVU49" s="2"/>
      <c r="JWC49" s="2"/>
      <c r="JWK49" s="2"/>
      <c r="JWS49" s="2"/>
      <c r="JXA49" s="2"/>
      <c r="JXI49" s="2"/>
      <c r="JXQ49" s="2"/>
      <c r="JXY49" s="2"/>
      <c r="JYG49" s="2"/>
      <c r="JYO49" s="2"/>
      <c r="JYW49" s="2"/>
      <c r="JZE49" s="2"/>
      <c r="JZM49" s="2"/>
      <c r="JZU49" s="2"/>
      <c r="KAC49" s="2"/>
      <c r="KAK49" s="2"/>
      <c r="KAS49" s="2"/>
      <c r="KBA49" s="2"/>
      <c r="KBI49" s="2"/>
      <c r="KBQ49" s="2"/>
      <c r="KBY49" s="2"/>
      <c r="KCG49" s="2"/>
      <c r="KCO49" s="2"/>
      <c r="KCW49" s="2"/>
      <c r="KDE49" s="2"/>
      <c r="KDM49" s="2"/>
      <c r="KDU49" s="2"/>
      <c r="KEC49" s="2"/>
      <c r="KEK49" s="2"/>
      <c r="KES49" s="2"/>
      <c r="KFA49" s="2"/>
      <c r="KFI49" s="2"/>
      <c r="KFQ49" s="2"/>
      <c r="KFY49" s="2"/>
      <c r="KGG49" s="2"/>
      <c r="KGO49" s="2"/>
      <c r="KGW49" s="2"/>
      <c r="KHE49" s="2"/>
      <c r="KHM49" s="2"/>
      <c r="KHU49" s="2"/>
      <c r="KIC49" s="2"/>
      <c r="KIK49" s="2"/>
      <c r="KIS49" s="2"/>
      <c r="KJA49" s="2"/>
      <c r="KJI49" s="2"/>
      <c r="KJQ49" s="2"/>
      <c r="KJY49" s="2"/>
      <c r="KKG49" s="2"/>
      <c r="KKO49" s="2"/>
      <c r="KKW49" s="2"/>
      <c r="KLE49" s="2"/>
      <c r="KLM49" s="2"/>
      <c r="KLU49" s="2"/>
      <c r="KMC49" s="2"/>
      <c r="KMK49" s="2"/>
      <c r="KMS49" s="2"/>
      <c r="KNA49" s="2"/>
      <c r="KNI49" s="2"/>
      <c r="KNQ49" s="2"/>
      <c r="KNY49" s="2"/>
      <c r="KOG49" s="2"/>
      <c r="KOO49" s="2"/>
      <c r="KOW49" s="2"/>
      <c r="KPE49" s="2"/>
      <c r="KPM49" s="2"/>
      <c r="KPU49" s="2"/>
      <c r="KQC49" s="2"/>
      <c r="KQK49" s="2"/>
      <c r="KQS49" s="2"/>
      <c r="KRA49" s="2"/>
      <c r="KRI49" s="2"/>
      <c r="KRQ49" s="2"/>
      <c r="KRY49" s="2"/>
      <c r="KSG49" s="2"/>
      <c r="KSO49" s="2"/>
      <c r="KSW49" s="2"/>
      <c r="KTE49" s="2"/>
      <c r="KTM49" s="2"/>
      <c r="KTU49" s="2"/>
      <c r="KUC49" s="2"/>
      <c r="KUK49" s="2"/>
      <c r="KUS49" s="2"/>
      <c r="KVA49" s="2"/>
      <c r="KVI49" s="2"/>
      <c r="KVQ49" s="2"/>
      <c r="KVY49" s="2"/>
      <c r="KWG49" s="2"/>
      <c r="KWO49" s="2"/>
      <c r="KWW49" s="2"/>
      <c r="KXE49" s="2"/>
      <c r="KXM49" s="2"/>
      <c r="KXU49" s="2"/>
      <c r="KYC49" s="2"/>
      <c r="KYK49" s="2"/>
      <c r="KYS49" s="2"/>
      <c r="KZA49" s="2"/>
      <c r="KZI49" s="2"/>
      <c r="KZQ49" s="2"/>
      <c r="KZY49" s="2"/>
      <c r="LAG49" s="2"/>
      <c r="LAO49" s="2"/>
      <c r="LAW49" s="2"/>
      <c r="LBE49" s="2"/>
      <c r="LBM49" s="2"/>
      <c r="LBU49" s="2"/>
      <c r="LCC49" s="2"/>
      <c r="LCK49" s="2"/>
      <c r="LCS49" s="2"/>
      <c r="LDA49" s="2"/>
      <c r="LDI49" s="2"/>
      <c r="LDQ49" s="2"/>
      <c r="LDY49" s="2"/>
      <c r="LEG49" s="2"/>
      <c r="LEO49" s="2"/>
      <c r="LEW49" s="2"/>
      <c r="LFE49" s="2"/>
      <c r="LFM49" s="2"/>
      <c r="LFU49" s="2"/>
      <c r="LGC49" s="2"/>
      <c r="LGK49" s="2"/>
      <c r="LGS49" s="2"/>
      <c r="LHA49" s="2"/>
      <c r="LHI49" s="2"/>
      <c r="LHQ49" s="2"/>
      <c r="LHY49" s="2"/>
      <c r="LIG49" s="2"/>
      <c r="LIO49" s="2"/>
      <c r="LIW49" s="2"/>
      <c r="LJE49" s="2"/>
      <c r="LJM49" s="2"/>
      <c r="LJU49" s="2"/>
      <c r="LKC49" s="2"/>
      <c r="LKK49" s="2"/>
      <c r="LKS49" s="2"/>
      <c r="LLA49" s="2"/>
      <c r="LLI49" s="2"/>
      <c r="LLQ49" s="2"/>
      <c r="LLY49" s="2"/>
      <c r="LMG49" s="2"/>
      <c r="LMO49" s="2"/>
      <c r="LMW49" s="2"/>
      <c r="LNE49" s="2"/>
      <c r="LNM49" s="2"/>
      <c r="LNU49" s="2"/>
      <c r="LOC49" s="2"/>
      <c r="LOK49" s="2"/>
      <c r="LOS49" s="2"/>
      <c r="LPA49" s="2"/>
      <c r="LPI49" s="2"/>
      <c r="LPQ49" s="2"/>
      <c r="LPY49" s="2"/>
      <c r="LQG49" s="2"/>
      <c r="LQO49" s="2"/>
      <c r="LQW49" s="2"/>
      <c r="LRE49" s="2"/>
      <c r="LRM49" s="2"/>
      <c r="LRU49" s="2"/>
      <c r="LSC49" s="2"/>
      <c r="LSK49" s="2"/>
      <c r="LSS49" s="2"/>
      <c r="LTA49" s="2"/>
      <c r="LTI49" s="2"/>
      <c r="LTQ49" s="2"/>
      <c r="LTY49" s="2"/>
      <c r="LUG49" s="2"/>
      <c r="LUO49" s="2"/>
      <c r="LUW49" s="2"/>
      <c r="LVE49" s="2"/>
      <c r="LVM49" s="2"/>
      <c r="LVU49" s="2"/>
      <c r="LWC49" s="2"/>
      <c r="LWK49" s="2"/>
      <c r="LWS49" s="2"/>
      <c r="LXA49" s="2"/>
      <c r="LXI49" s="2"/>
      <c r="LXQ49" s="2"/>
      <c r="LXY49" s="2"/>
      <c r="LYG49" s="2"/>
      <c r="LYO49" s="2"/>
      <c r="LYW49" s="2"/>
      <c r="LZE49" s="2"/>
      <c r="LZM49" s="2"/>
      <c r="LZU49" s="2"/>
      <c r="MAC49" s="2"/>
      <c r="MAK49" s="2"/>
      <c r="MAS49" s="2"/>
      <c r="MBA49" s="2"/>
      <c r="MBI49" s="2"/>
      <c r="MBQ49" s="2"/>
      <c r="MBY49" s="2"/>
      <c r="MCG49" s="2"/>
      <c r="MCO49" s="2"/>
      <c r="MCW49" s="2"/>
      <c r="MDE49" s="2"/>
      <c r="MDM49" s="2"/>
      <c r="MDU49" s="2"/>
      <c r="MEC49" s="2"/>
      <c r="MEK49" s="2"/>
      <c r="MES49" s="2"/>
      <c r="MFA49" s="2"/>
      <c r="MFI49" s="2"/>
      <c r="MFQ49" s="2"/>
      <c r="MFY49" s="2"/>
      <c r="MGG49" s="2"/>
      <c r="MGO49" s="2"/>
      <c r="MGW49" s="2"/>
      <c r="MHE49" s="2"/>
      <c r="MHM49" s="2"/>
      <c r="MHU49" s="2"/>
      <c r="MIC49" s="2"/>
      <c r="MIK49" s="2"/>
      <c r="MIS49" s="2"/>
      <c r="MJA49" s="2"/>
      <c r="MJI49" s="2"/>
      <c r="MJQ49" s="2"/>
      <c r="MJY49" s="2"/>
      <c r="MKG49" s="2"/>
      <c r="MKO49" s="2"/>
      <c r="MKW49" s="2"/>
      <c r="MLE49" s="2"/>
      <c r="MLM49" s="2"/>
      <c r="MLU49" s="2"/>
      <c r="MMC49" s="2"/>
      <c r="MMK49" s="2"/>
      <c r="MMS49" s="2"/>
      <c r="MNA49" s="2"/>
      <c r="MNI49" s="2"/>
      <c r="MNQ49" s="2"/>
      <c r="MNY49" s="2"/>
      <c r="MOG49" s="2"/>
      <c r="MOO49" s="2"/>
      <c r="MOW49" s="2"/>
      <c r="MPE49" s="2"/>
      <c r="MPM49" s="2"/>
      <c r="MPU49" s="2"/>
      <c r="MQC49" s="2"/>
      <c r="MQK49" s="2"/>
      <c r="MQS49" s="2"/>
      <c r="MRA49" s="2"/>
      <c r="MRI49" s="2"/>
      <c r="MRQ49" s="2"/>
      <c r="MRY49" s="2"/>
      <c r="MSG49" s="2"/>
      <c r="MSO49" s="2"/>
      <c r="MSW49" s="2"/>
      <c r="MTE49" s="2"/>
      <c r="MTM49" s="2"/>
      <c r="MTU49" s="2"/>
      <c r="MUC49" s="2"/>
      <c r="MUK49" s="2"/>
      <c r="MUS49" s="2"/>
      <c r="MVA49" s="2"/>
      <c r="MVI49" s="2"/>
      <c r="MVQ49" s="2"/>
      <c r="MVY49" s="2"/>
      <c r="MWG49" s="2"/>
      <c r="MWO49" s="2"/>
      <c r="MWW49" s="2"/>
      <c r="MXE49" s="2"/>
      <c r="MXM49" s="2"/>
      <c r="MXU49" s="2"/>
      <c r="MYC49" s="2"/>
      <c r="MYK49" s="2"/>
      <c r="MYS49" s="2"/>
      <c r="MZA49" s="2"/>
      <c r="MZI49" s="2"/>
      <c r="MZQ49" s="2"/>
      <c r="MZY49" s="2"/>
      <c r="NAG49" s="2"/>
      <c r="NAO49" s="2"/>
      <c r="NAW49" s="2"/>
      <c r="NBE49" s="2"/>
      <c r="NBM49" s="2"/>
      <c r="NBU49" s="2"/>
      <c r="NCC49" s="2"/>
      <c r="NCK49" s="2"/>
      <c r="NCS49" s="2"/>
      <c r="NDA49" s="2"/>
      <c r="NDI49" s="2"/>
      <c r="NDQ49" s="2"/>
      <c r="NDY49" s="2"/>
      <c r="NEG49" s="2"/>
      <c r="NEO49" s="2"/>
      <c r="NEW49" s="2"/>
      <c r="NFE49" s="2"/>
      <c r="NFM49" s="2"/>
      <c r="NFU49" s="2"/>
      <c r="NGC49" s="2"/>
      <c r="NGK49" s="2"/>
      <c r="NGS49" s="2"/>
      <c r="NHA49" s="2"/>
      <c r="NHI49" s="2"/>
      <c r="NHQ49" s="2"/>
      <c r="NHY49" s="2"/>
      <c r="NIG49" s="2"/>
      <c r="NIO49" s="2"/>
      <c r="NIW49" s="2"/>
      <c r="NJE49" s="2"/>
      <c r="NJM49" s="2"/>
      <c r="NJU49" s="2"/>
      <c r="NKC49" s="2"/>
      <c r="NKK49" s="2"/>
      <c r="NKS49" s="2"/>
      <c r="NLA49" s="2"/>
      <c r="NLI49" s="2"/>
      <c r="NLQ49" s="2"/>
      <c r="NLY49" s="2"/>
      <c r="NMG49" s="2"/>
      <c r="NMO49" s="2"/>
      <c r="NMW49" s="2"/>
      <c r="NNE49" s="2"/>
      <c r="NNM49" s="2"/>
      <c r="NNU49" s="2"/>
      <c r="NOC49" s="2"/>
      <c r="NOK49" s="2"/>
      <c r="NOS49" s="2"/>
      <c r="NPA49" s="2"/>
      <c r="NPI49" s="2"/>
      <c r="NPQ49" s="2"/>
      <c r="NPY49" s="2"/>
      <c r="NQG49" s="2"/>
      <c r="NQO49" s="2"/>
      <c r="NQW49" s="2"/>
      <c r="NRE49" s="2"/>
      <c r="NRM49" s="2"/>
      <c r="NRU49" s="2"/>
      <c r="NSC49" s="2"/>
      <c r="NSK49" s="2"/>
      <c r="NSS49" s="2"/>
      <c r="NTA49" s="2"/>
      <c r="NTI49" s="2"/>
      <c r="NTQ49" s="2"/>
      <c r="NTY49" s="2"/>
      <c r="NUG49" s="2"/>
      <c r="NUO49" s="2"/>
      <c r="NUW49" s="2"/>
      <c r="NVE49" s="2"/>
      <c r="NVM49" s="2"/>
      <c r="NVU49" s="2"/>
      <c r="NWC49" s="2"/>
      <c r="NWK49" s="2"/>
      <c r="NWS49" s="2"/>
      <c r="NXA49" s="2"/>
      <c r="NXI49" s="2"/>
      <c r="NXQ49" s="2"/>
      <c r="NXY49" s="2"/>
      <c r="NYG49" s="2"/>
      <c r="NYO49" s="2"/>
      <c r="NYW49" s="2"/>
      <c r="NZE49" s="2"/>
      <c r="NZM49" s="2"/>
      <c r="NZU49" s="2"/>
      <c r="OAC49" s="2"/>
      <c r="OAK49" s="2"/>
      <c r="OAS49" s="2"/>
      <c r="OBA49" s="2"/>
      <c r="OBI49" s="2"/>
      <c r="OBQ49" s="2"/>
      <c r="OBY49" s="2"/>
      <c r="OCG49" s="2"/>
      <c r="OCO49" s="2"/>
      <c r="OCW49" s="2"/>
      <c r="ODE49" s="2"/>
      <c r="ODM49" s="2"/>
      <c r="ODU49" s="2"/>
      <c r="OEC49" s="2"/>
      <c r="OEK49" s="2"/>
      <c r="OES49" s="2"/>
      <c r="OFA49" s="2"/>
      <c r="OFI49" s="2"/>
      <c r="OFQ49" s="2"/>
      <c r="OFY49" s="2"/>
      <c r="OGG49" s="2"/>
      <c r="OGO49" s="2"/>
      <c r="OGW49" s="2"/>
      <c r="OHE49" s="2"/>
      <c r="OHM49" s="2"/>
      <c r="OHU49" s="2"/>
      <c r="OIC49" s="2"/>
      <c r="OIK49" s="2"/>
      <c r="OIS49" s="2"/>
      <c r="OJA49" s="2"/>
      <c r="OJI49" s="2"/>
      <c r="OJQ49" s="2"/>
      <c r="OJY49" s="2"/>
      <c r="OKG49" s="2"/>
      <c r="OKO49" s="2"/>
      <c r="OKW49" s="2"/>
      <c r="OLE49" s="2"/>
      <c r="OLM49" s="2"/>
      <c r="OLU49" s="2"/>
      <c r="OMC49" s="2"/>
      <c r="OMK49" s="2"/>
      <c r="OMS49" s="2"/>
      <c r="ONA49" s="2"/>
      <c r="ONI49" s="2"/>
      <c r="ONQ49" s="2"/>
      <c r="ONY49" s="2"/>
      <c r="OOG49" s="2"/>
      <c r="OOO49" s="2"/>
      <c r="OOW49" s="2"/>
      <c r="OPE49" s="2"/>
      <c r="OPM49" s="2"/>
      <c r="OPU49" s="2"/>
      <c r="OQC49" s="2"/>
      <c r="OQK49" s="2"/>
      <c r="OQS49" s="2"/>
      <c r="ORA49" s="2"/>
      <c r="ORI49" s="2"/>
      <c r="ORQ49" s="2"/>
      <c r="ORY49" s="2"/>
      <c r="OSG49" s="2"/>
      <c r="OSO49" s="2"/>
      <c r="OSW49" s="2"/>
      <c r="OTE49" s="2"/>
      <c r="OTM49" s="2"/>
      <c r="OTU49" s="2"/>
      <c r="OUC49" s="2"/>
      <c r="OUK49" s="2"/>
      <c r="OUS49" s="2"/>
      <c r="OVA49" s="2"/>
      <c r="OVI49" s="2"/>
      <c r="OVQ49" s="2"/>
      <c r="OVY49" s="2"/>
      <c r="OWG49" s="2"/>
      <c r="OWO49" s="2"/>
      <c r="OWW49" s="2"/>
      <c r="OXE49" s="2"/>
      <c r="OXM49" s="2"/>
      <c r="OXU49" s="2"/>
      <c r="OYC49" s="2"/>
      <c r="OYK49" s="2"/>
      <c r="OYS49" s="2"/>
      <c r="OZA49" s="2"/>
      <c r="OZI49" s="2"/>
      <c r="OZQ49" s="2"/>
      <c r="OZY49" s="2"/>
      <c r="PAG49" s="2"/>
      <c r="PAO49" s="2"/>
      <c r="PAW49" s="2"/>
      <c r="PBE49" s="2"/>
      <c r="PBM49" s="2"/>
      <c r="PBU49" s="2"/>
      <c r="PCC49" s="2"/>
      <c r="PCK49" s="2"/>
      <c r="PCS49" s="2"/>
      <c r="PDA49" s="2"/>
      <c r="PDI49" s="2"/>
      <c r="PDQ49" s="2"/>
      <c r="PDY49" s="2"/>
      <c r="PEG49" s="2"/>
      <c r="PEO49" s="2"/>
      <c r="PEW49" s="2"/>
      <c r="PFE49" s="2"/>
      <c r="PFM49" s="2"/>
      <c r="PFU49" s="2"/>
      <c r="PGC49" s="2"/>
      <c r="PGK49" s="2"/>
      <c r="PGS49" s="2"/>
      <c r="PHA49" s="2"/>
      <c r="PHI49" s="2"/>
      <c r="PHQ49" s="2"/>
      <c r="PHY49" s="2"/>
      <c r="PIG49" s="2"/>
      <c r="PIO49" s="2"/>
      <c r="PIW49" s="2"/>
      <c r="PJE49" s="2"/>
      <c r="PJM49" s="2"/>
      <c r="PJU49" s="2"/>
      <c r="PKC49" s="2"/>
      <c r="PKK49" s="2"/>
      <c r="PKS49" s="2"/>
      <c r="PLA49" s="2"/>
      <c r="PLI49" s="2"/>
      <c r="PLQ49" s="2"/>
      <c r="PLY49" s="2"/>
      <c r="PMG49" s="2"/>
      <c r="PMO49" s="2"/>
      <c r="PMW49" s="2"/>
      <c r="PNE49" s="2"/>
      <c r="PNM49" s="2"/>
      <c r="PNU49" s="2"/>
      <c r="POC49" s="2"/>
      <c r="POK49" s="2"/>
      <c r="POS49" s="2"/>
      <c r="PPA49" s="2"/>
      <c r="PPI49" s="2"/>
      <c r="PPQ49" s="2"/>
      <c r="PPY49" s="2"/>
      <c r="PQG49" s="2"/>
      <c r="PQO49" s="2"/>
      <c r="PQW49" s="2"/>
      <c r="PRE49" s="2"/>
      <c r="PRM49" s="2"/>
      <c r="PRU49" s="2"/>
      <c r="PSC49" s="2"/>
      <c r="PSK49" s="2"/>
      <c r="PSS49" s="2"/>
      <c r="PTA49" s="2"/>
      <c r="PTI49" s="2"/>
      <c r="PTQ49" s="2"/>
      <c r="PTY49" s="2"/>
      <c r="PUG49" s="2"/>
      <c r="PUO49" s="2"/>
      <c r="PUW49" s="2"/>
      <c r="PVE49" s="2"/>
      <c r="PVM49" s="2"/>
      <c r="PVU49" s="2"/>
      <c r="PWC49" s="2"/>
      <c r="PWK49" s="2"/>
      <c r="PWS49" s="2"/>
      <c r="PXA49" s="2"/>
      <c r="PXI49" s="2"/>
      <c r="PXQ49" s="2"/>
      <c r="PXY49" s="2"/>
      <c r="PYG49" s="2"/>
      <c r="PYO49" s="2"/>
      <c r="PYW49" s="2"/>
      <c r="PZE49" s="2"/>
      <c r="PZM49" s="2"/>
      <c r="PZU49" s="2"/>
      <c r="QAC49" s="2"/>
      <c r="QAK49" s="2"/>
      <c r="QAS49" s="2"/>
      <c r="QBA49" s="2"/>
      <c r="QBI49" s="2"/>
      <c r="QBQ49" s="2"/>
      <c r="QBY49" s="2"/>
      <c r="QCG49" s="2"/>
      <c r="QCO49" s="2"/>
      <c r="QCW49" s="2"/>
      <c r="QDE49" s="2"/>
      <c r="QDM49" s="2"/>
      <c r="QDU49" s="2"/>
      <c r="QEC49" s="2"/>
      <c r="QEK49" s="2"/>
      <c r="QES49" s="2"/>
      <c r="QFA49" s="2"/>
      <c r="QFI49" s="2"/>
      <c r="QFQ49" s="2"/>
      <c r="QFY49" s="2"/>
      <c r="QGG49" s="2"/>
      <c r="QGO49" s="2"/>
      <c r="QGW49" s="2"/>
      <c r="QHE49" s="2"/>
      <c r="QHM49" s="2"/>
      <c r="QHU49" s="2"/>
      <c r="QIC49" s="2"/>
      <c r="QIK49" s="2"/>
      <c r="QIS49" s="2"/>
      <c r="QJA49" s="2"/>
      <c r="QJI49" s="2"/>
      <c r="QJQ49" s="2"/>
      <c r="QJY49" s="2"/>
      <c r="QKG49" s="2"/>
      <c r="QKO49" s="2"/>
      <c r="QKW49" s="2"/>
      <c r="QLE49" s="2"/>
      <c r="QLM49" s="2"/>
      <c r="QLU49" s="2"/>
      <c r="QMC49" s="2"/>
      <c r="QMK49" s="2"/>
      <c r="QMS49" s="2"/>
      <c r="QNA49" s="2"/>
      <c r="QNI49" s="2"/>
      <c r="QNQ49" s="2"/>
      <c r="QNY49" s="2"/>
      <c r="QOG49" s="2"/>
      <c r="QOO49" s="2"/>
      <c r="QOW49" s="2"/>
      <c r="QPE49" s="2"/>
      <c r="QPM49" s="2"/>
      <c r="QPU49" s="2"/>
      <c r="QQC49" s="2"/>
      <c r="QQK49" s="2"/>
      <c r="QQS49" s="2"/>
      <c r="QRA49" s="2"/>
      <c r="QRI49" s="2"/>
      <c r="QRQ49" s="2"/>
      <c r="QRY49" s="2"/>
      <c r="QSG49" s="2"/>
      <c r="QSO49" s="2"/>
      <c r="QSW49" s="2"/>
      <c r="QTE49" s="2"/>
      <c r="QTM49" s="2"/>
      <c r="QTU49" s="2"/>
      <c r="QUC49" s="2"/>
      <c r="QUK49" s="2"/>
      <c r="QUS49" s="2"/>
      <c r="QVA49" s="2"/>
      <c r="QVI49" s="2"/>
      <c r="QVQ49" s="2"/>
      <c r="QVY49" s="2"/>
      <c r="QWG49" s="2"/>
      <c r="QWO49" s="2"/>
      <c r="QWW49" s="2"/>
      <c r="QXE49" s="2"/>
      <c r="QXM49" s="2"/>
      <c r="QXU49" s="2"/>
      <c r="QYC49" s="2"/>
      <c r="QYK49" s="2"/>
      <c r="QYS49" s="2"/>
      <c r="QZA49" s="2"/>
      <c r="QZI49" s="2"/>
      <c r="QZQ49" s="2"/>
      <c r="QZY49" s="2"/>
      <c r="RAG49" s="2"/>
      <c r="RAO49" s="2"/>
      <c r="RAW49" s="2"/>
      <c r="RBE49" s="2"/>
      <c r="RBM49" s="2"/>
      <c r="RBU49" s="2"/>
      <c r="RCC49" s="2"/>
      <c r="RCK49" s="2"/>
      <c r="RCS49" s="2"/>
      <c r="RDA49" s="2"/>
      <c r="RDI49" s="2"/>
      <c r="RDQ49" s="2"/>
      <c r="RDY49" s="2"/>
      <c r="REG49" s="2"/>
      <c r="REO49" s="2"/>
      <c r="REW49" s="2"/>
      <c r="RFE49" s="2"/>
      <c r="RFM49" s="2"/>
      <c r="RFU49" s="2"/>
      <c r="RGC49" s="2"/>
      <c r="RGK49" s="2"/>
      <c r="RGS49" s="2"/>
      <c r="RHA49" s="2"/>
      <c r="RHI49" s="2"/>
      <c r="RHQ49" s="2"/>
      <c r="RHY49" s="2"/>
      <c r="RIG49" s="2"/>
      <c r="RIO49" s="2"/>
      <c r="RIW49" s="2"/>
      <c r="RJE49" s="2"/>
      <c r="RJM49" s="2"/>
      <c r="RJU49" s="2"/>
      <c r="RKC49" s="2"/>
      <c r="RKK49" s="2"/>
      <c r="RKS49" s="2"/>
      <c r="RLA49" s="2"/>
      <c r="RLI49" s="2"/>
      <c r="RLQ49" s="2"/>
      <c r="RLY49" s="2"/>
      <c r="RMG49" s="2"/>
      <c r="RMO49" s="2"/>
      <c r="RMW49" s="2"/>
      <c r="RNE49" s="2"/>
      <c r="RNM49" s="2"/>
      <c r="RNU49" s="2"/>
      <c r="ROC49" s="2"/>
      <c r="ROK49" s="2"/>
      <c r="ROS49" s="2"/>
      <c r="RPA49" s="2"/>
      <c r="RPI49" s="2"/>
      <c r="RPQ49" s="2"/>
      <c r="RPY49" s="2"/>
      <c r="RQG49" s="2"/>
      <c r="RQO49" s="2"/>
      <c r="RQW49" s="2"/>
      <c r="RRE49" s="2"/>
      <c r="RRM49" s="2"/>
      <c r="RRU49" s="2"/>
      <c r="RSC49" s="2"/>
      <c r="RSK49" s="2"/>
      <c r="RSS49" s="2"/>
      <c r="RTA49" s="2"/>
      <c r="RTI49" s="2"/>
      <c r="RTQ49" s="2"/>
      <c r="RTY49" s="2"/>
      <c r="RUG49" s="2"/>
      <c r="RUO49" s="2"/>
      <c r="RUW49" s="2"/>
      <c r="RVE49" s="2"/>
      <c r="RVM49" s="2"/>
      <c r="RVU49" s="2"/>
      <c r="RWC49" s="2"/>
      <c r="RWK49" s="2"/>
      <c r="RWS49" s="2"/>
      <c r="RXA49" s="2"/>
      <c r="RXI49" s="2"/>
      <c r="RXQ49" s="2"/>
      <c r="RXY49" s="2"/>
      <c r="RYG49" s="2"/>
      <c r="RYO49" s="2"/>
      <c r="RYW49" s="2"/>
      <c r="RZE49" s="2"/>
      <c r="RZM49" s="2"/>
      <c r="RZU49" s="2"/>
      <c r="SAC49" s="2"/>
      <c r="SAK49" s="2"/>
      <c r="SAS49" s="2"/>
      <c r="SBA49" s="2"/>
      <c r="SBI49" s="2"/>
      <c r="SBQ49" s="2"/>
      <c r="SBY49" s="2"/>
      <c r="SCG49" s="2"/>
      <c r="SCO49" s="2"/>
      <c r="SCW49" s="2"/>
      <c r="SDE49" s="2"/>
      <c r="SDM49" s="2"/>
      <c r="SDU49" s="2"/>
      <c r="SEC49" s="2"/>
      <c r="SEK49" s="2"/>
      <c r="SES49" s="2"/>
      <c r="SFA49" s="2"/>
      <c r="SFI49" s="2"/>
      <c r="SFQ49" s="2"/>
      <c r="SFY49" s="2"/>
      <c r="SGG49" s="2"/>
      <c r="SGO49" s="2"/>
      <c r="SGW49" s="2"/>
      <c r="SHE49" s="2"/>
      <c r="SHM49" s="2"/>
      <c r="SHU49" s="2"/>
      <c r="SIC49" s="2"/>
      <c r="SIK49" s="2"/>
      <c r="SIS49" s="2"/>
      <c r="SJA49" s="2"/>
      <c r="SJI49" s="2"/>
      <c r="SJQ49" s="2"/>
      <c r="SJY49" s="2"/>
      <c r="SKG49" s="2"/>
      <c r="SKO49" s="2"/>
      <c r="SKW49" s="2"/>
      <c r="SLE49" s="2"/>
      <c r="SLM49" s="2"/>
      <c r="SLU49" s="2"/>
      <c r="SMC49" s="2"/>
      <c r="SMK49" s="2"/>
      <c r="SMS49" s="2"/>
      <c r="SNA49" s="2"/>
      <c r="SNI49" s="2"/>
      <c r="SNQ49" s="2"/>
      <c r="SNY49" s="2"/>
      <c r="SOG49" s="2"/>
      <c r="SOO49" s="2"/>
      <c r="SOW49" s="2"/>
      <c r="SPE49" s="2"/>
      <c r="SPM49" s="2"/>
      <c r="SPU49" s="2"/>
      <c r="SQC49" s="2"/>
      <c r="SQK49" s="2"/>
      <c r="SQS49" s="2"/>
      <c r="SRA49" s="2"/>
      <c r="SRI49" s="2"/>
      <c r="SRQ49" s="2"/>
      <c r="SRY49" s="2"/>
      <c r="SSG49" s="2"/>
      <c r="SSO49" s="2"/>
      <c r="SSW49" s="2"/>
      <c r="STE49" s="2"/>
      <c r="STM49" s="2"/>
      <c r="STU49" s="2"/>
      <c r="SUC49" s="2"/>
      <c r="SUK49" s="2"/>
      <c r="SUS49" s="2"/>
      <c r="SVA49" s="2"/>
      <c r="SVI49" s="2"/>
      <c r="SVQ49" s="2"/>
      <c r="SVY49" s="2"/>
      <c r="SWG49" s="2"/>
      <c r="SWO49" s="2"/>
      <c r="SWW49" s="2"/>
      <c r="SXE49" s="2"/>
      <c r="SXM49" s="2"/>
      <c r="SXU49" s="2"/>
      <c r="SYC49" s="2"/>
      <c r="SYK49" s="2"/>
      <c r="SYS49" s="2"/>
      <c r="SZA49" s="2"/>
      <c r="SZI49" s="2"/>
      <c r="SZQ49" s="2"/>
      <c r="SZY49" s="2"/>
      <c r="TAG49" s="2"/>
      <c r="TAO49" s="2"/>
      <c r="TAW49" s="2"/>
      <c r="TBE49" s="2"/>
      <c r="TBM49" s="2"/>
      <c r="TBU49" s="2"/>
      <c r="TCC49" s="2"/>
      <c r="TCK49" s="2"/>
      <c r="TCS49" s="2"/>
      <c r="TDA49" s="2"/>
      <c r="TDI49" s="2"/>
      <c r="TDQ49" s="2"/>
      <c r="TDY49" s="2"/>
      <c r="TEG49" s="2"/>
      <c r="TEO49" s="2"/>
      <c r="TEW49" s="2"/>
      <c r="TFE49" s="2"/>
      <c r="TFM49" s="2"/>
      <c r="TFU49" s="2"/>
      <c r="TGC49" s="2"/>
      <c r="TGK49" s="2"/>
      <c r="TGS49" s="2"/>
      <c r="THA49" s="2"/>
      <c r="THI49" s="2"/>
      <c r="THQ49" s="2"/>
      <c r="THY49" s="2"/>
      <c r="TIG49" s="2"/>
      <c r="TIO49" s="2"/>
      <c r="TIW49" s="2"/>
      <c r="TJE49" s="2"/>
      <c r="TJM49" s="2"/>
      <c r="TJU49" s="2"/>
      <c r="TKC49" s="2"/>
      <c r="TKK49" s="2"/>
      <c r="TKS49" s="2"/>
      <c r="TLA49" s="2"/>
      <c r="TLI49" s="2"/>
      <c r="TLQ49" s="2"/>
      <c r="TLY49" s="2"/>
      <c r="TMG49" s="2"/>
      <c r="TMO49" s="2"/>
      <c r="TMW49" s="2"/>
      <c r="TNE49" s="2"/>
      <c r="TNM49" s="2"/>
      <c r="TNU49" s="2"/>
      <c r="TOC49" s="2"/>
      <c r="TOK49" s="2"/>
      <c r="TOS49" s="2"/>
      <c r="TPA49" s="2"/>
      <c r="TPI49" s="2"/>
      <c r="TPQ49" s="2"/>
      <c r="TPY49" s="2"/>
      <c r="TQG49" s="2"/>
      <c r="TQO49" s="2"/>
      <c r="TQW49" s="2"/>
      <c r="TRE49" s="2"/>
      <c r="TRM49" s="2"/>
      <c r="TRU49" s="2"/>
      <c r="TSC49" s="2"/>
      <c r="TSK49" s="2"/>
      <c r="TSS49" s="2"/>
      <c r="TTA49" s="2"/>
      <c r="TTI49" s="2"/>
      <c r="TTQ49" s="2"/>
      <c r="TTY49" s="2"/>
      <c r="TUG49" s="2"/>
      <c r="TUO49" s="2"/>
      <c r="TUW49" s="2"/>
      <c r="TVE49" s="2"/>
      <c r="TVM49" s="2"/>
      <c r="TVU49" s="2"/>
      <c r="TWC49" s="2"/>
      <c r="TWK49" s="2"/>
      <c r="TWS49" s="2"/>
      <c r="TXA49" s="2"/>
      <c r="TXI49" s="2"/>
      <c r="TXQ49" s="2"/>
      <c r="TXY49" s="2"/>
      <c r="TYG49" s="2"/>
      <c r="TYO49" s="2"/>
      <c r="TYW49" s="2"/>
      <c r="TZE49" s="2"/>
      <c r="TZM49" s="2"/>
      <c r="TZU49" s="2"/>
      <c r="UAC49" s="2"/>
      <c r="UAK49" s="2"/>
      <c r="UAS49" s="2"/>
      <c r="UBA49" s="2"/>
      <c r="UBI49" s="2"/>
      <c r="UBQ49" s="2"/>
      <c r="UBY49" s="2"/>
      <c r="UCG49" s="2"/>
      <c r="UCO49" s="2"/>
      <c r="UCW49" s="2"/>
      <c r="UDE49" s="2"/>
      <c r="UDM49" s="2"/>
      <c r="UDU49" s="2"/>
      <c r="UEC49" s="2"/>
      <c r="UEK49" s="2"/>
      <c r="UES49" s="2"/>
      <c r="UFA49" s="2"/>
      <c r="UFI49" s="2"/>
      <c r="UFQ49" s="2"/>
      <c r="UFY49" s="2"/>
      <c r="UGG49" s="2"/>
      <c r="UGO49" s="2"/>
      <c r="UGW49" s="2"/>
      <c r="UHE49" s="2"/>
      <c r="UHM49" s="2"/>
      <c r="UHU49" s="2"/>
      <c r="UIC49" s="2"/>
      <c r="UIK49" s="2"/>
      <c r="UIS49" s="2"/>
      <c r="UJA49" s="2"/>
      <c r="UJI49" s="2"/>
      <c r="UJQ49" s="2"/>
      <c r="UJY49" s="2"/>
      <c r="UKG49" s="2"/>
      <c r="UKO49" s="2"/>
      <c r="UKW49" s="2"/>
      <c r="ULE49" s="2"/>
      <c r="ULM49" s="2"/>
      <c r="ULU49" s="2"/>
      <c r="UMC49" s="2"/>
      <c r="UMK49" s="2"/>
      <c r="UMS49" s="2"/>
      <c r="UNA49" s="2"/>
      <c r="UNI49" s="2"/>
      <c r="UNQ49" s="2"/>
      <c r="UNY49" s="2"/>
      <c r="UOG49" s="2"/>
      <c r="UOO49" s="2"/>
      <c r="UOW49" s="2"/>
      <c r="UPE49" s="2"/>
      <c r="UPM49" s="2"/>
      <c r="UPU49" s="2"/>
      <c r="UQC49" s="2"/>
      <c r="UQK49" s="2"/>
      <c r="UQS49" s="2"/>
      <c r="URA49" s="2"/>
      <c r="URI49" s="2"/>
      <c r="URQ49" s="2"/>
      <c r="URY49" s="2"/>
      <c r="USG49" s="2"/>
      <c r="USO49" s="2"/>
      <c r="USW49" s="2"/>
      <c r="UTE49" s="2"/>
      <c r="UTM49" s="2"/>
      <c r="UTU49" s="2"/>
      <c r="UUC49" s="2"/>
      <c r="UUK49" s="2"/>
      <c r="UUS49" s="2"/>
      <c r="UVA49" s="2"/>
      <c r="UVI49" s="2"/>
      <c r="UVQ49" s="2"/>
      <c r="UVY49" s="2"/>
      <c r="UWG49" s="2"/>
      <c r="UWO49" s="2"/>
      <c r="UWW49" s="2"/>
      <c r="UXE49" s="2"/>
      <c r="UXM49" s="2"/>
      <c r="UXU49" s="2"/>
      <c r="UYC49" s="2"/>
      <c r="UYK49" s="2"/>
      <c r="UYS49" s="2"/>
      <c r="UZA49" s="2"/>
      <c r="UZI49" s="2"/>
      <c r="UZQ49" s="2"/>
      <c r="UZY49" s="2"/>
      <c r="VAG49" s="2"/>
      <c r="VAO49" s="2"/>
      <c r="VAW49" s="2"/>
      <c r="VBE49" s="2"/>
      <c r="VBM49" s="2"/>
      <c r="VBU49" s="2"/>
      <c r="VCC49" s="2"/>
      <c r="VCK49" s="2"/>
      <c r="VCS49" s="2"/>
      <c r="VDA49" s="2"/>
      <c r="VDI49" s="2"/>
      <c r="VDQ49" s="2"/>
      <c r="VDY49" s="2"/>
      <c r="VEG49" s="2"/>
      <c r="VEO49" s="2"/>
      <c r="VEW49" s="2"/>
      <c r="VFE49" s="2"/>
      <c r="VFM49" s="2"/>
      <c r="VFU49" s="2"/>
      <c r="VGC49" s="2"/>
      <c r="VGK49" s="2"/>
      <c r="VGS49" s="2"/>
      <c r="VHA49" s="2"/>
      <c r="VHI49" s="2"/>
      <c r="VHQ49" s="2"/>
      <c r="VHY49" s="2"/>
      <c r="VIG49" s="2"/>
      <c r="VIO49" s="2"/>
      <c r="VIW49" s="2"/>
      <c r="VJE49" s="2"/>
      <c r="VJM49" s="2"/>
      <c r="VJU49" s="2"/>
      <c r="VKC49" s="2"/>
      <c r="VKK49" s="2"/>
      <c r="VKS49" s="2"/>
      <c r="VLA49" s="2"/>
      <c r="VLI49" s="2"/>
      <c r="VLQ49" s="2"/>
      <c r="VLY49" s="2"/>
      <c r="VMG49" s="2"/>
      <c r="VMO49" s="2"/>
      <c r="VMW49" s="2"/>
      <c r="VNE49" s="2"/>
      <c r="VNM49" s="2"/>
      <c r="VNU49" s="2"/>
      <c r="VOC49" s="2"/>
      <c r="VOK49" s="2"/>
      <c r="VOS49" s="2"/>
      <c r="VPA49" s="2"/>
      <c r="VPI49" s="2"/>
      <c r="VPQ49" s="2"/>
      <c r="VPY49" s="2"/>
      <c r="VQG49" s="2"/>
      <c r="VQO49" s="2"/>
      <c r="VQW49" s="2"/>
      <c r="VRE49" s="2"/>
      <c r="VRM49" s="2"/>
      <c r="VRU49" s="2"/>
      <c r="VSC49" s="2"/>
      <c r="VSK49" s="2"/>
      <c r="VSS49" s="2"/>
      <c r="VTA49" s="2"/>
      <c r="VTI49" s="2"/>
      <c r="VTQ49" s="2"/>
      <c r="VTY49" s="2"/>
      <c r="VUG49" s="2"/>
      <c r="VUO49" s="2"/>
      <c r="VUW49" s="2"/>
      <c r="VVE49" s="2"/>
      <c r="VVM49" s="2"/>
      <c r="VVU49" s="2"/>
      <c r="VWC49" s="2"/>
      <c r="VWK49" s="2"/>
      <c r="VWS49" s="2"/>
      <c r="VXA49" s="2"/>
      <c r="VXI49" s="2"/>
      <c r="VXQ49" s="2"/>
      <c r="VXY49" s="2"/>
      <c r="VYG49" s="2"/>
      <c r="VYO49" s="2"/>
      <c r="VYW49" s="2"/>
      <c r="VZE49" s="2"/>
      <c r="VZM49" s="2"/>
      <c r="VZU49" s="2"/>
      <c r="WAC49" s="2"/>
      <c r="WAK49" s="2"/>
      <c r="WAS49" s="2"/>
      <c r="WBA49" s="2"/>
      <c r="WBI49" s="2"/>
      <c r="WBQ49" s="2"/>
      <c r="WBY49" s="2"/>
      <c r="WCG49" s="2"/>
      <c r="WCO49" s="2"/>
      <c r="WCW49" s="2"/>
      <c r="WDE49" s="2"/>
      <c r="WDM49" s="2"/>
      <c r="WDU49" s="2"/>
      <c r="WEC49" s="2"/>
      <c r="WEK49" s="2"/>
      <c r="WES49" s="2"/>
      <c r="WFA49" s="2"/>
      <c r="WFI49" s="2"/>
      <c r="WFQ49" s="2"/>
      <c r="WFY49" s="2"/>
      <c r="WGG49" s="2"/>
      <c r="WGO49" s="2"/>
      <c r="WGW49" s="2"/>
      <c r="WHE49" s="2"/>
      <c r="WHM49" s="2"/>
      <c r="WHU49" s="2"/>
      <c r="WIC49" s="2"/>
      <c r="WIK49" s="2"/>
      <c r="WIS49" s="2"/>
      <c r="WJA49" s="2"/>
      <c r="WJI49" s="2"/>
      <c r="WJQ49" s="2"/>
      <c r="WJY49" s="2"/>
      <c r="WKG49" s="2"/>
      <c r="WKO49" s="2"/>
      <c r="WKW49" s="2"/>
      <c r="WLE49" s="2"/>
      <c r="WLM49" s="2"/>
      <c r="WLU49" s="2"/>
      <c r="WMC49" s="2"/>
      <c r="WMK49" s="2"/>
      <c r="WMS49" s="2"/>
      <c r="WNA49" s="2"/>
      <c r="WNI49" s="2"/>
      <c r="WNQ49" s="2"/>
      <c r="WNY49" s="2"/>
      <c r="WOG49" s="2"/>
      <c r="WOO49" s="2"/>
      <c r="WOW49" s="2"/>
      <c r="WPE49" s="2"/>
      <c r="WPM49" s="2"/>
      <c r="WPU49" s="2"/>
      <c r="WQC49" s="2"/>
      <c r="WQK49" s="2"/>
      <c r="WQS49" s="2"/>
      <c r="WRA49" s="2"/>
      <c r="WRI49" s="2"/>
      <c r="WRQ49" s="2"/>
      <c r="WRY49" s="2"/>
      <c r="WSG49" s="2"/>
      <c r="WSO49" s="2"/>
      <c r="WSW49" s="2"/>
      <c r="WTE49" s="2"/>
      <c r="WTM49" s="2"/>
      <c r="WTU49" s="2"/>
      <c r="WUC49" s="2"/>
      <c r="WUK49" s="2"/>
      <c r="WUS49" s="2"/>
      <c r="WVA49" s="2"/>
      <c r="WVI49" s="2"/>
      <c r="WVQ49" s="2"/>
      <c r="WVY49" s="2"/>
      <c r="WWG49" s="2"/>
      <c r="WWO49" s="2"/>
      <c r="WWW49" s="2"/>
      <c r="WXE49" s="2"/>
      <c r="WXM49" s="2"/>
      <c r="WXU49" s="2"/>
      <c r="WYC49" s="2"/>
      <c r="WYK49" s="2"/>
      <c r="WYS49" s="2"/>
      <c r="WZA49" s="2"/>
      <c r="WZI49" s="2"/>
      <c r="WZQ49" s="2"/>
      <c r="WZY49" s="2"/>
      <c r="XAG49" s="2"/>
      <c r="XAO49" s="2"/>
      <c r="XAW49" s="2"/>
      <c r="XBE49" s="2"/>
      <c r="XBM49" s="2"/>
      <c r="XBU49" s="2"/>
      <c r="XCC49" s="2"/>
      <c r="XCK49" s="2"/>
      <c r="XCS49" s="2"/>
      <c r="XDA49" s="2"/>
      <c r="XDI49" s="2"/>
      <c r="XDQ49" s="2"/>
      <c r="XDY49" s="2"/>
      <c r="XEG49" s="2"/>
      <c r="XEO49" s="2"/>
      <c r="XEW49" s="2"/>
    </row>
    <row r="50" spans="1:1017 1025:2041 2049:3065 3073:4089 4097:5113 5121:6137 6145:7161 7169:8185 8193:9209 9217:10233 10241:11257 11265:12281 12289:13305 13313:14329 14337:15353 15361:16377" s="3" customFormat="1" x14ac:dyDescent="0.35">
      <c r="A50" s="2" t="s">
        <v>209</v>
      </c>
      <c r="B50" s="3" t="s">
        <v>210</v>
      </c>
      <c r="C50" s="3" t="s">
        <v>180</v>
      </c>
      <c r="D50" s="3" t="s">
        <v>26</v>
      </c>
      <c r="E50" s="18" t="s">
        <v>181</v>
      </c>
      <c r="F50" s="3" t="s">
        <v>211</v>
      </c>
      <c r="G50" s="3" t="s">
        <v>212</v>
      </c>
      <c r="H50" s="3" t="s">
        <v>213</v>
      </c>
    </row>
    <row r="55" spans="1:1017 1025:2041 2049:3065 3073:4089 4097:5113 5121:6137 6145:7161 7169:8185 8193:9209 9217:10233 10241:11257 11265:12281 12289:13305 13313:14329 14337:15353 15361:16377" ht="18.5" x14ac:dyDescent="0.45">
      <c r="E55" s="20"/>
    </row>
    <row r="56" spans="1:1017 1025:2041 2049:3065 3073:4089 4097:5113 5121:6137 6145:7161 7169:8185 8193:9209 9217:10233 10241:11257 11265:12281 12289:13305 13313:14329 14337:15353 15361:16377" ht="18.5" x14ac:dyDescent="0.45">
      <c r="E56" s="20"/>
    </row>
    <row r="57" spans="1:1017 1025:2041 2049:3065 3073:4089 4097:5113 5121:6137 6145:7161 7169:8185 8193:9209 9217:10233 10241:11257 11265:12281 12289:13305 13313:14329 14337:15353 15361:16377" ht="18.5" x14ac:dyDescent="0.45">
      <c r="E57" s="21"/>
    </row>
    <row r="58" spans="1:1017 1025:2041 2049:3065 3073:4089 4097:5113 5121:6137 6145:7161 7169:8185 8193:9209 9217:10233 10241:11257 11265:12281 12289:13305 13313:14329 14337:15353 15361:16377" ht="18.5" x14ac:dyDescent="0.45">
      <c r="E58" s="21"/>
    </row>
    <row r="59" spans="1:1017 1025:2041 2049:3065 3073:4089 4097:5113 5121:6137 6145:7161 7169:8185 8193:9209 9217:10233 10241:11257 11265:12281 12289:13305 13313:14329 14337:15353 15361:16377" ht="18.5" x14ac:dyDescent="0.45">
      <c r="E59" s="21"/>
    </row>
  </sheetData>
  <hyperlinks>
    <hyperlink ref="H25" r:id="rId1" xr:uid="{AFCB5318-BD1A-4BA4-AC9C-887123D10F3C}"/>
    <hyperlink ref="H38" r:id="rId2" tooltip="Persistent link using digital object identifier" xr:uid="{94CC0686-9F92-4A78-877C-75A12D7AD3B7}"/>
    <hyperlink ref="I13" r:id="rId3" tooltip="DOI: https://doi.org/10.1108/EC-03-2019-0106" xr:uid="{2C9B992F-A7C8-4DB2-B72D-DC2A168578A8}"/>
    <hyperlink ref="J13" r:id="rId4" xr:uid="{F593E11B-CBC9-4A8E-87F0-38CA741B02E2}"/>
    <hyperlink ref="I38" r:id="rId5" tooltip="Persistent link using digital object identifier" xr:uid="{FAEF7F59-BC46-495B-BA99-45D2F6892F32}"/>
    <hyperlink ref="J8" r:id="rId6" tooltip="Persistent link using digital object identifier" xr:uid="{96540909-C622-4A4F-8E1B-80CE7469B7EA}"/>
  </hyperlinks>
  <pageMargins left="0.7" right="0.7" top="0.75" bottom="0.75" header="0.3" footer="0.3"/>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424E4-934D-4F6B-BFA5-A22F5C5064DC}">
  <dimension ref="A1:G43"/>
  <sheetViews>
    <sheetView zoomScale="86" zoomScaleNormal="86" workbookViewId="0">
      <pane ySplit="1" topLeftCell="A2" activePane="bottomLeft" state="frozen"/>
      <selection pane="bottomLeft" activeCell="D10" sqref="D10"/>
    </sheetView>
  </sheetViews>
  <sheetFormatPr defaultColWidth="9.1796875" defaultRowHeight="14.5" x14ac:dyDescent="0.35"/>
  <cols>
    <col min="1" max="1" width="9.1796875" style="142"/>
    <col min="2" max="2" width="27" style="142" customWidth="1"/>
    <col min="3" max="3" width="26" style="142" customWidth="1"/>
    <col min="4" max="4" width="22.453125" style="142" customWidth="1"/>
    <col min="5" max="5" width="25" style="142" customWidth="1"/>
    <col min="6" max="6" width="15.453125" style="142" bestFit="1" customWidth="1"/>
    <col min="7" max="7" width="12.7265625" style="142" customWidth="1"/>
    <col min="8" max="8" width="9.26953125" style="142" bestFit="1" customWidth="1"/>
    <col min="9" max="16384" width="9.1796875" style="142"/>
  </cols>
  <sheetData>
    <row r="1" spans="1:7" s="141" customFormat="1" x14ac:dyDescent="0.35">
      <c r="A1" s="141" t="s">
        <v>924</v>
      </c>
      <c r="B1" s="141" t="s">
        <v>1320</v>
      </c>
      <c r="C1" s="140" t="s">
        <v>1321</v>
      </c>
      <c r="D1" s="140" t="s">
        <v>1322</v>
      </c>
      <c r="E1" s="140" t="s">
        <v>1322</v>
      </c>
      <c r="F1" s="199" t="s">
        <v>1323</v>
      </c>
      <c r="G1" s="199" t="s">
        <v>1323</v>
      </c>
    </row>
    <row r="2" spans="1:7" x14ac:dyDescent="0.35">
      <c r="C2" s="142" t="s">
        <v>315</v>
      </c>
      <c r="D2" s="139" t="s">
        <v>939</v>
      </c>
      <c r="E2" s="139" t="s">
        <v>937</v>
      </c>
      <c r="F2" s="197" t="s">
        <v>859</v>
      </c>
      <c r="G2" s="197" t="s">
        <v>1324</v>
      </c>
    </row>
    <row r="3" spans="1:7" x14ac:dyDescent="0.35">
      <c r="A3" s="143">
        <f>1</f>
        <v>1</v>
      </c>
      <c r="B3" s="144" t="s">
        <v>940</v>
      </c>
      <c r="C3" s="146">
        <f>'EoL Material Flow Analysis'!B46</f>
        <v>10440000</v>
      </c>
      <c r="D3" s="145">
        <f>C3*AVERAGE(828,1044)</f>
        <v>9771840000</v>
      </c>
      <c r="E3" s="145">
        <f>D3*0.00000011416</f>
        <v>1115.5532544</v>
      </c>
      <c r="F3" s="197">
        <f>D3*0.018</f>
        <v>175893120</v>
      </c>
      <c r="G3" s="197">
        <f>F3/10^9</f>
        <v>0.17589311999999999</v>
      </c>
    </row>
    <row r="4" spans="1:7" x14ac:dyDescent="0.35">
      <c r="A4" s="143">
        <f>A3+1</f>
        <v>2</v>
      </c>
      <c r="B4" s="144" t="s">
        <v>940</v>
      </c>
      <c r="C4" s="146">
        <f>'EoL Material Flow Analysis'!C46</f>
        <v>3654000</v>
      </c>
      <c r="D4" s="145">
        <f t="shared" ref="D4:D37" si="0">C4*AVERAGE(828,1044)</f>
        <v>3420144000</v>
      </c>
      <c r="E4" s="145">
        <f>D4*0.00000011416</f>
        <v>390.44363903999999</v>
      </c>
      <c r="F4" s="197">
        <f t="shared" ref="F4:F36" si="1">D4*0.018</f>
        <v>61562591.999999993</v>
      </c>
      <c r="G4" s="197">
        <f t="shared" ref="G4:G37" si="2">F4/10^9</f>
        <v>6.1562591999999992E-2</v>
      </c>
    </row>
    <row r="5" spans="1:7" x14ac:dyDescent="0.35">
      <c r="A5" s="143">
        <f t="shared" ref="A5:A37" si="3">A4+1</f>
        <v>3</v>
      </c>
      <c r="B5" s="144" t="s">
        <v>940</v>
      </c>
      <c r="C5" s="146">
        <f>'EoL Material Flow Analysis'!D46</f>
        <v>21435277.5</v>
      </c>
      <c r="D5" s="145">
        <f t="shared" si="0"/>
        <v>20063419740</v>
      </c>
      <c r="E5" s="145">
        <f t="shared" ref="E5:E36" si="4">D5*0.00000011416</f>
        <v>2290.4399975184001</v>
      </c>
      <c r="F5" s="197">
        <f t="shared" si="1"/>
        <v>361141555.31999999</v>
      </c>
      <c r="G5" s="197">
        <f t="shared" si="2"/>
        <v>0.36114155531999997</v>
      </c>
    </row>
    <row r="6" spans="1:7" x14ac:dyDescent="0.35">
      <c r="A6" s="143">
        <f t="shared" si="3"/>
        <v>4</v>
      </c>
      <c r="B6" s="144" t="s">
        <v>940</v>
      </c>
      <c r="C6" s="146">
        <f>'EoL Material Flow Analysis'!E46</f>
        <v>6786000</v>
      </c>
      <c r="D6" s="145">
        <f t="shared" si="0"/>
        <v>6351696000</v>
      </c>
      <c r="E6" s="145">
        <f t="shared" si="4"/>
        <v>725.10961536000002</v>
      </c>
      <c r="F6" s="197">
        <f t="shared" si="1"/>
        <v>114330527.99999999</v>
      </c>
      <c r="G6" s="197">
        <f t="shared" si="2"/>
        <v>0.11433052799999999</v>
      </c>
    </row>
    <row r="7" spans="1:7" x14ac:dyDescent="0.35">
      <c r="A7" s="143">
        <f t="shared" si="3"/>
        <v>5</v>
      </c>
      <c r="B7" s="144" t="s">
        <v>940</v>
      </c>
      <c r="C7" s="146">
        <f>'EoL Material Flow Analysis'!F46</f>
        <v>25089277.5</v>
      </c>
      <c r="D7" s="145">
        <f t="shared" si="0"/>
        <v>23483563740</v>
      </c>
      <c r="E7" s="145">
        <f t="shared" si="4"/>
        <v>2680.8836365583998</v>
      </c>
      <c r="F7" s="197">
        <f t="shared" si="1"/>
        <v>422704147.31999999</v>
      </c>
      <c r="G7" s="197">
        <f t="shared" si="2"/>
        <v>0.42270414732</v>
      </c>
    </row>
    <row r="8" spans="1:7" x14ac:dyDescent="0.35">
      <c r="A8" s="143">
        <f t="shared" si="3"/>
        <v>6</v>
      </c>
      <c r="B8" s="144" t="s">
        <v>944</v>
      </c>
      <c r="C8" s="146">
        <f>'EoL Material Flow Analysis'!G46</f>
        <v>3305956.5</v>
      </c>
      <c r="D8" s="145">
        <f t="shared" si="0"/>
        <v>3094375284</v>
      </c>
      <c r="E8" s="145">
        <f t="shared" si="4"/>
        <v>353.25388242143998</v>
      </c>
      <c r="F8" s="197">
        <f t="shared" si="1"/>
        <v>55698755.111999996</v>
      </c>
      <c r="G8" s="197">
        <f t="shared" si="2"/>
        <v>5.5698755111999995E-2</v>
      </c>
    </row>
    <row r="9" spans="1:7" x14ac:dyDescent="0.35">
      <c r="A9" s="143">
        <f t="shared" si="3"/>
        <v>7</v>
      </c>
      <c r="B9" s="144" t="s">
        <v>1325</v>
      </c>
      <c r="C9" s="146">
        <f>'EoL Material Flow Analysis'!H46</f>
        <v>21783321</v>
      </c>
      <c r="D9" s="145">
        <f t="shared" si="0"/>
        <v>20389188456</v>
      </c>
      <c r="E9" s="145">
        <f t="shared" si="4"/>
        <v>2327.6297541369599</v>
      </c>
      <c r="F9" s="197">
        <f t="shared" si="1"/>
        <v>367005392.20799994</v>
      </c>
      <c r="G9" s="197">
        <f t="shared" si="2"/>
        <v>0.36700539220799994</v>
      </c>
    </row>
    <row r="10" spans="1:7" x14ac:dyDescent="0.35">
      <c r="A10" s="143">
        <f t="shared" si="3"/>
        <v>8</v>
      </c>
      <c r="B10" s="144" t="s">
        <v>1325</v>
      </c>
      <c r="C10" s="146">
        <f>'EoL Material Flow Analysis'!I46</f>
        <v>182288.92499999999</v>
      </c>
      <c r="D10" s="145">
        <f t="shared" si="0"/>
        <v>170622433.79999998</v>
      </c>
      <c r="E10" s="145">
        <f t="shared" si="4"/>
        <v>19.478257042607996</v>
      </c>
      <c r="F10" s="197">
        <f t="shared" si="1"/>
        <v>3071203.8083999995</v>
      </c>
      <c r="G10" s="197">
        <f t="shared" si="2"/>
        <v>3.0712038083999995E-3</v>
      </c>
    </row>
    <row r="11" spans="1:7" x14ac:dyDescent="0.35">
      <c r="A11" s="143">
        <f t="shared" si="3"/>
        <v>9</v>
      </c>
      <c r="B11" s="144" t="s">
        <v>1325</v>
      </c>
      <c r="C11" s="146">
        <v>0</v>
      </c>
      <c r="D11" s="145">
        <f t="shared" si="0"/>
        <v>0</v>
      </c>
      <c r="E11" s="145">
        <v>0</v>
      </c>
      <c r="F11" s="197">
        <v>0</v>
      </c>
      <c r="G11" s="197">
        <v>0</v>
      </c>
    </row>
    <row r="12" spans="1:7" x14ac:dyDescent="0.35">
      <c r="A12" s="143">
        <f t="shared" si="3"/>
        <v>10</v>
      </c>
      <c r="B12" s="144" t="s">
        <v>1325</v>
      </c>
      <c r="C12" s="146">
        <f>'EoL Material Flow Analysis'!K46</f>
        <v>182287.78467795</v>
      </c>
      <c r="D12" s="145">
        <f t="shared" si="0"/>
        <v>170621366.45856118</v>
      </c>
      <c r="E12" s="145">
        <f t="shared" si="4"/>
        <v>19.478135194909346</v>
      </c>
      <c r="F12" s="197">
        <f t="shared" si="1"/>
        <v>3071184.596254101</v>
      </c>
      <c r="G12" s="197">
        <f t="shared" si="2"/>
        <v>3.071184596254101E-3</v>
      </c>
    </row>
    <row r="13" spans="1:7" x14ac:dyDescent="0.35">
      <c r="A13" s="143">
        <f t="shared" si="3"/>
        <v>11</v>
      </c>
      <c r="B13" s="144" t="s">
        <v>1325</v>
      </c>
      <c r="C13" s="146">
        <f>'EoL Material Flow Analysis'!L46</f>
        <v>21601032.074999999</v>
      </c>
      <c r="D13" s="145">
        <f t="shared" si="0"/>
        <v>20218566022.200001</v>
      </c>
      <c r="E13" s="145">
        <f t="shared" si="4"/>
        <v>2308.1514970943522</v>
      </c>
      <c r="F13" s="197">
        <f t="shared" si="1"/>
        <v>363934188.39959997</v>
      </c>
      <c r="G13" s="197">
        <f t="shared" si="2"/>
        <v>0.36393418839959996</v>
      </c>
    </row>
    <row r="14" spans="1:7" x14ac:dyDescent="0.35">
      <c r="A14" s="143">
        <f t="shared" si="3"/>
        <v>12</v>
      </c>
      <c r="B14" s="144" t="s">
        <v>1325</v>
      </c>
      <c r="C14" s="146">
        <v>0</v>
      </c>
      <c r="D14" s="145">
        <f t="shared" si="0"/>
        <v>0</v>
      </c>
      <c r="E14" s="145">
        <v>0</v>
      </c>
      <c r="F14" s="197">
        <v>0</v>
      </c>
      <c r="G14" s="197">
        <v>0</v>
      </c>
    </row>
    <row r="15" spans="1:7" x14ac:dyDescent="0.35">
      <c r="A15" s="143">
        <f t="shared" si="3"/>
        <v>13</v>
      </c>
      <c r="B15" s="144" t="s">
        <v>1325</v>
      </c>
      <c r="C15" s="146">
        <f>'EoL Material Flow Analysis'!N46</f>
        <v>21385021.754250001</v>
      </c>
      <c r="D15" s="145">
        <f t="shared" si="0"/>
        <v>20016380361.978001</v>
      </c>
      <c r="E15" s="145">
        <f t="shared" si="4"/>
        <v>2285.0699821234084</v>
      </c>
      <c r="F15" s="197">
        <f t="shared" si="1"/>
        <v>360294846.51560396</v>
      </c>
      <c r="G15" s="197">
        <f t="shared" si="2"/>
        <v>0.36029484651560395</v>
      </c>
    </row>
    <row r="16" spans="1:7" x14ac:dyDescent="0.35">
      <c r="A16" s="143">
        <f t="shared" si="3"/>
        <v>14</v>
      </c>
      <c r="B16" s="144" t="s">
        <v>1325</v>
      </c>
      <c r="C16" s="146">
        <f>'EoL Material Flow Analysis'!O46</f>
        <v>773.23207500000001</v>
      </c>
      <c r="D16" s="145">
        <f t="shared" si="0"/>
        <v>723745.22219999996</v>
      </c>
      <c r="E16" s="145">
        <f t="shared" si="4"/>
        <v>8.2622754566352E-2</v>
      </c>
      <c r="F16" s="197">
        <f t="shared" si="1"/>
        <v>13027.413999599998</v>
      </c>
      <c r="G16" s="197">
        <f t="shared" si="2"/>
        <v>1.3027413999599997E-5</v>
      </c>
    </row>
    <row r="17" spans="1:7" x14ac:dyDescent="0.35">
      <c r="A17" s="143">
        <f t="shared" si="3"/>
        <v>15</v>
      </c>
      <c r="B17" s="144" t="s">
        <v>1325</v>
      </c>
      <c r="C17" s="146">
        <f>'EoL Material Flow Analysis'!P46</f>
        <v>0</v>
      </c>
      <c r="D17" s="145">
        <f t="shared" si="0"/>
        <v>0</v>
      </c>
      <c r="E17" s="145">
        <f t="shared" si="4"/>
        <v>0</v>
      </c>
      <c r="F17" s="197">
        <f t="shared" si="1"/>
        <v>0</v>
      </c>
      <c r="G17" s="197">
        <f t="shared" si="2"/>
        <v>0</v>
      </c>
    </row>
    <row r="18" spans="1:7" x14ac:dyDescent="0.35">
      <c r="A18" s="143">
        <f t="shared" si="3"/>
        <v>16</v>
      </c>
      <c r="B18" s="144" t="s">
        <v>1325</v>
      </c>
      <c r="C18" s="146">
        <f>'EoL Material Flow Analysis'!Q46</f>
        <v>21384248.522175003</v>
      </c>
      <c r="D18" s="145">
        <f t="shared" si="0"/>
        <v>20015656616.755802</v>
      </c>
      <c r="E18" s="145">
        <f t="shared" si="4"/>
        <v>2284.9873593688421</v>
      </c>
      <c r="F18" s="197">
        <f t="shared" si="1"/>
        <v>360281819.1016044</v>
      </c>
      <c r="G18" s="197">
        <f t="shared" si="2"/>
        <v>0.36028181910160439</v>
      </c>
    </row>
    <row r="19" spans="1:7" x14ac:dyDescent="0.35">
      <c r="A19" s="143">
        <f t="shared" si="3"/>
        <v>17</v>
      </c>
      <c r="B19" s="144" t="s">
        <v>940</v>
      </c>
      <c r="C19" s="146">
        <f>'EoL Material Flow Analysis'!R46</f>
        <v>6786000</v>
      </c>
      <c r="D19" s="145">
        <f t="shared" si="0"/>
        <v>6351696000</v>
      </c>
      <c r="E19" s="145">
        <f t="shared" si="4"/>
        <v>725.10961536000002</v>
      </c>
      <c r="F19" s="197">
        <f t="shared" si="1"/>
        <v>114330527.99999999</v>
      </c>
      <c r="G19" s="197">
        <f t="shared" si="2"/>
        <v>0.11433052799999999</v>
      </c>
    </row>
    <row r="20" spans="1:7" x14ac:dyDescent="0.35">
      <c r="A20" s="143">
        <f t="shared" si="3"/>
        <v>18</v>
      </c>
      <c r="B20" s="144" t="s">
        <v>944</v>
      </c>
      <c r="C20" s="146">
        <f>'EoL Material Flow Analysis'!S46</f>
        <v>6107400</v>
      </c>
      <c r="D20" s="145">
        <f t="shared" si="0"/>
        <v>5716526400</v>
      </c>
      <c r="E20" s="145">
        <f t="shared" si="4"/>
        <v>652.59865382399994</v>
      </c>
      <c r="F20" s="197">
        <f t="shared" si="1"/>
        <v>102897475.19999999</v>
      </c>
      <c r="G20" s="197">
        <f t="shared" si="2"/>
        <v>0.10289747519999999</v>
      </c>
    </row>
    <row r="21" spans="1:7" x14ac:dyDescent="0.35">
      <c r="A21" s="143">
        <f t="shared" si="3"/>
        <v>19</v>
      </c>
      <c r="B21" s="144" t="s">
        <v>944</v>
      </c>
      <c r="C21" s="146">
        <f>'EoL Material Flow Analysis'!T46</f>
        <v>9405135</v>
      </c>
      <c r="D21" s="145">
        <f t="shared" si="0"/>
        <v>8803206360</v>
      </c>
      <c r="E21" s="145">
        <f t="shared" si="4"/>
        <v>1004.9740380576</v>
      </c>
      <c r="F21" s="197">
        <f t="shared" si="1"/>
        <v>158457714.47999999</v>
      </c>
      <c r="G21" s="197">
        <f t="shared" si="2"/>
        <v>0.15845771447999998</v>
      </c>
    </row>
    <row r="22" spans="1:7" x14ac:dyDescent="0.35">
      <c r="A22" s="143">
        <f t="shared" si="3"/>
        <v>20</v>
      </c>
      <c r="B22" s="144" t="s">
        <v>1325</v>
      </c>
      <c r="C22" s="146">
        <f>'EoL Material Flow Analysis'!U46</f>
        <v>9405135</v>
      </c>
      <c r="D22" s="145">
        <f t="shared" si="0"/>
        <v>8803206360</v>
      </c>
      <c r="E22" s="145">
        <f t="shared" si="4"/>
        <v>1004.9740380576</v>
      </c>
      <c r="F22" s="197">
        <f t="shared" si="1"/>
        <v>158457714.47999999</v>
      </c>
      <c r="G22" s="197">
        <f t="shared" si="2"/>
        <v>0.15845771447999998</v>
      </c>
    </row>
    <row r="23" spans="1:7" x14ac:dyDescent="0.35">
      <c r="A23" s="143">
        <f t="shared" si="3"/>
        <v>21</v>
      </c>
      <c r="B23" s="144" t="s">
        <v>1325</v>
      </c>
      <c r="C23" s="146">
        <f>'EoL Material Flow Analysis'!V46</f>
        <v>678600</v>
      </c>
      <c r="D23" s="145">
        <f t="shared" si="0"/>
        <v>635169600</v>
      </c>
      <c r="E23" s="145">
        <f t="shared" si="4"/>
        <v>72.510961535999996</v>
      </c>
      <c r="F23" s="197">
        <f t="shared" si="1"/>
        <v>11433052.799999999</v>
      </c>
      <c r="G23" s="197">
        <f t="shared" si="2"/>
        <v>1.1433052799999999E-2</v>
      </c>
    </row>
    <row r="24" spans="1:7" x14ac:dyDescent="0.35">
      <c r="A24" s="143">
        <f t="shared" si="3"/>
        <v>22</v>
      </c>
      <c r="B24" s="144" t="s">
        <v>1325</v>
      </c>
      <c r="C24" s="146">
        <f>'EoL Material Flow Analysis'!W46</f>
        <v>0</v>
      </c>
      <c r="D24" s="145">
        <f t="shared" si="0"/>
        <v>0</v>
      </c>
      <c r="E24" s="145">
        <f t="shared" si="4"/>
        <v>0</v>
      </c>
      <c r="F24" s="197">
        <f t="shared" si="1"/>
        <v>0</v>
      </c>
      <c r="G24" s="197">
        <f t="shared" si="2"/>
        <v>0</v>
      </c>
    </row>
    <row r="25" spans="1:7" x14ac:dyDescent="0.35">
      <c r="A25" s="143">
        <f t="shared" si="3"/>
        <v>23</v>
      </c>
      <c r="B25" s="144" t="s">
        <v>1325</v>
      </c>
      <c r="C25" s="146">
        <f>'EoL Material Flow Analysis'!X46</f>
        <v>678600</v>
      </c>
      <c r="D25" s="145">
        <f t="shared" si="0"/>
        <v>635169600</v>
      </c>
      <c r="E25" s="145">
        <f t="shared" si="4"/>
        <v>72.510961535999996</v>
      </c>
      <c r="F25" s="197">
        <f t="shared" si="1"/>
        <v>11433052.799999999</v>
      </c>
      <c r="G25" s="197">
        <f t="shared" si="2"/>
        <v>1.1433052799999999E-2</v>
      </c>
    </row>
    <row r="26" spans="1:7" x14ac:dyDescent="0.35">
      <c r="A26" s="143">
        <f t="shared" si="3"/>
        <v>24</v>
      </c>
      <c r="B26" s="144" t="s">
        <v>1325</v>
      </c>
      <c r="C26" s="146">
        <f>'EoL Material Flow Analysis'!Y46</f>
        <v>10266022.784677951</v>
      </c>
      <c r="D26" s="145">
        <f t="shared" si="0"/>
        <v>9608997326.4585609</v>
      </c>
      <c r="E26" s="145">
        <f t="shared" si="4"/>
        <v>1096.9631347885093</v>
      </c>
      <c r="F26" s="197">
        <f t="shared" si="1"/>
        <v>172961951.87625408</v>
      </c>
      <c r="G26" s="197">
        <f t="shared" si="2"/>
        <v>0.17296195187625407</v>
      </c>
    </row>
    <row r="27" spans="1:7" x14ac:dyDescent="0.35">
      <c r="A27" s="143">
        <f t="shared" si="3"/>
        <v>25</v>
      </c>
      <c r="B27" s="144" t="s">
        <v>1325</v>
      </c>
      <c r="C27" s="146">
        <v>0</v>
      </c>
      <c r="D27" s="145">
        <f>C27*AVERAGE(828,1044)</f>
        <v>0</v>
      </c>
      <c r="E27" s="145">
        <v>0</v>
      </c>
      <c r="F27" s="197">
        <v>0</v>
      </c>
      <c r="G27" s="197">
        <v>0</v>
      </c>
    </row>
    <row r="28" spans="1:7" x14ac:dyDescent="0.35">
      <c r="A28" s="143">
        <f t="shared" si="3"/>
        <v>26</v>
      </c>
      <c r="B28" s="144" t="s">
        <v>1325</v>
      </c>
      <c r="C28" s="146">
        <f>'EoL Material Flow Analysis'!AA46</f>
        <v>10067662.784677951</v>
      </c>
      <c r="D28" s="145">
        <f t="shared" si="0"/>
        <v>9423332366.4585609</v>
      </c>
      <c r="E28" s="145">
        <f t="shared" si="4"/>
        <v>1075.7676229549093</v>
      </c>
      <c r="F28" s="197">
        <f t="shared" si="1"/>
        <v>169619982.59625408</v>
      </c>
      <c r="G28" s="197">
        <f t="shared" si="2"/>
        <v>0.16961998259625408</v>
      </c>
    </row>
    <row r="29" spans="1:7" x14ac:dyDescent="0.35">
      <c r="A29" s="143">
        <f t="shared" si="3"/>
        <v>27</v>
      </c>
      <c r="B29" s="144" t="s">
        <v>1325</v>
      </c>
      <c r="C29" s="146">
        <f>'EoL Material Flow Analysis'!AB46</f>
        <v>31451911.306852952</v>
      </c>
      <c r="D29" s="145">
        <f t="shared" si="0"/>
        <v>29438988983.214363</v>
      </c>
      <c r="E29" s="145">
        <f t="shared" si="4"/>
        <v>3360.7549823237518</v>
      </c>
      <c r="F29" s="197">
        <f t="shared" si="1"/>
        <v>529901801.69785851</v>
      </c>
      <c r="G29" s="197">
        <f t="shared" si="2"/>
        <v>0.5299018016978585</v>
      </c>
    </row>
    <row r="30" spans="1:7" x14ac:dyDescent="0.35">
      <c r="A30" s="143">
        <f t="shared" si="3"/>
        <v>28</v>
      </c>
      <c r="B30" s="144" t="s">
        <v>1325</v>
      </c>
      <c r="C30" s="146">
        <f>'EoL Material Flow Analysis'!AC46</f>
        <v>2779753.9110070257</v>
      </c>
      <c r="D30" s="145">
        <f t="shared" si="0"/>
        <v>2601849660.7025762</v>
      </c>
      <c r="E30" s="145">
        <f t="shared" si="4"/>
        <v>297.02715726580607</v>
      </c>
      <c r="F30" s="197">
        <f t="shared" si="1"/>
        <v>46833293.892646365</v>
      </c>
      <c r="G30" s="197">
        <f t="shared" si="2"/>
        <v>4.6833293892646365E-2</v>
      </c>
    </row>
    <row r="31" spans="1:7" x14ac:dyDescent="0.35">
      <c r="A31" s="143">
        <f t="shared" si="3"/>
        <v>29</v>
      </c>
      <c r="B31" s="144" t="s">
        <v>1325</v>
      </c>
      <c r="C31" s="146">
        <v>0</v>
      </c>
      <c r="D31" s="145">
        <f t="shared" si="0"/>
        <v>0</v>
      </c>
      <c r="E31" s="145">
        <v>0</v>
      </c>
      <c r="F31" s="197">
        <v>0</v>
      </c>
      <c r="G31" s="197">
        <v>0</v>
      </c>
    </row>
    <row r="32" spans="1:7" x14ac:dyDescent="0.35">
      <c r="A32" s="143">
        <f t="shared" si="3"/>
        <v>30</v>
      </c>
      <c r="B32" s="144" t="s">
        <v>1325</v>
      </c>
      <c r="C32" s="146">
        <f>'EoL Material Flow Analysis'!AE46</f>
        <v>22782848.262356464</v>
      </c>
      <c r="D32" s="145">
        <f t="shared" si="0"/>
        <v>21324745973.565651</v>
      </c>
      <c r="E32" s="145">
        <f t="shared" si="4"/>
        <v>2434.4330003422547</v>
      </c>
      <c r="F32" s="197">
        <f t="shared" si="1"/>
        <v>383845427.52418166</v>
      </c>
      <c r="G32" s="197">
        <f t="shared" si="2"/>
        <v>0.38384542752418166</v>
      </c>
    </row>
    <row r="33" spans="1:7" x14ac:dyDescent="0.35">
      <c r="A33" s="143">
        <f t="shared" si="3"/>
        <v>31</v>
      </c>
      <c r="B33" s="144" t="s">
        <v>1325</v>
      </c>
      <c r="C33" s="146">
        <v>0</v>
      </c>
      <c r="D33" s="145">
        <f t="shared" si="0"/>
        <v>0</v>
      </c>
      <c r="E33" s="145">
        <v>0</v>
      </c>
      <c r="F33" s="197">
        <v>0</v>
      </c>
      <c r="G33" s="197">
        <f t="shared" si="2"/>
        <v>0</v>
      </c>
    </row>
    <row r="34" spans="1:7" x14ac:dyDescent="0.35">
      <c r="A34" s="143">
        <f t="shared" si="3"/>
        <v>32</v>
      </c>
      <c r="B34" s="144" t="s">
        <v>1325</v>
      </c>
      <c r="C34" s="146">
        <f>'EoL Material Flow Analysis'!AG46</f>
        <v>4522499.5333055202</v>
      </c>
      <c r="D34" s="145">
        <f t="shared" si="0"/>
        <v>4233059563.1739669</v>
      </c>
      <c r="E34" s="145">
        <f t="shared" si="4"/>
        <v>483.24607973194003</v>
      </c>
      <c r="F34" s="197">
        <f t="shared" si="1"/>
        <v>76195072.137131393</v>
      </c>
      <c r="G34" s="197">
        <f t="shared" si="2"/>
        <v>7.6195072137131392E-2</v>
      </c>
    </row>
    <row r="35" spans="1:7" x14ac:dyDescent="0.35">
      <c r="A35" s="143">
        <f t="shared" si="3"/>
        <v>33</v>
      </c>
      <c r="B35" s="144" t="s">
        <v>1325</v>
      </c>
      <c r="C35" s="146">
        <f>'EoL Material Flow Analysis'!AH46</f>
        <v>5889309.1334894607</v>
      </c>
      <c r="D35" s="145">
        <f t="shared" si="0"/>
        <v>5512393348.9461355</v>
      </c>
      <c r="E35" s="145">
        <f t="shared" si="4"/>
        <v>629.29482471569077</v>
      </c>
      <c r="F35" s="197">
        <f t="shared" si="1"/>
        <v>99223080.281030431</v>
      </c>
      <c r="G35" s="197">
        <f t="shared" si="2"/>
        <v>9.9223080281030426E-2</v>
      </c>
    </row>
    <row r="36" spans="1:7" x14ac:dyDescent="0.35">
      <c r="A36" s="143">
        <f t="shared" si="3"/>
        <v>34</v>
      </c>
      <c r="B36" s="144" t="s">
        <v>1325</v>
      </c>
      <c r="C36" s="146">
        <f>'EoL Material Flow Analysis'!AI46</f>
        <v>5890082.3655644609</v>
      </c>
      <c r="D36" s="145">
        <f t="shared" si="0"/>
        <v>5513117094.168335</v>
      </c>
      <c r="E36" s="145">
        <f t="shared" si="4"/>
        <v>629.37744747025715</v>
      </c>
      <c r="F36" s="197">
        <f t="shared" si="1"/>
        <v>99236107.695030019</v>
      </c>
      <c r="G36" s="197">
        <f t="shared" si="2"/>
        <v>9.9236107695030024E-2</v>
      </c>
    </row>
    <row r="37" spans="1:7" x14ac:dyDescent="0.35">
      <c r="A37" s="143">
        <f t="shared" si="3"/>
        <v>35</v>
      </c>
      <c r="B37" s="144" t="s">
        <v>1325</v>
      </c>
      <c r="C37" s="146">
        <v>0</v>
      </c>
      <c r="D37" s="145">
        <f t="shared" si="0"/>
        <v>0</v>
      </c>
      <c r="E37" s="145">
        <v>0</v>
      </c>
      <c r="F37" s="197">
        <v>0</v>
      </c>
      <c r="G37" s="197">
        <f t="shared" si="2"/>
        <v>0</v>
      </c>
    </row>
    <row r="38" spans="1:7" x14ac:dyDescent="0.35">
      <c r="A38" s="142" t="s">
        <v>1326</v>
      </c>
      <c r="B38" s="142" t="s">
        <v>1327</v>
      </c>
      <c r="C38" s="143">
        <f>SUM(C3:C37)</f>
        <v>283940444.87510973</v>
      </c>
      <c r="D38" s="143">
        <f t="shared" ref="D38:F38" si="5">SUM(D3:D37)</f>
        <v>265768256403.10269</v>
      </c>
      <c r="E38" s="143">
        <f t="shared" si="5"/>
        <v>30340.104150978208</v>
      </c>
      <c r="F38" s="198">
        <f t="shared" si="5"/>
        <v>4783828615.2558489</v>
      </c>
      <c r="G38" s="197">
        <f>SUM(G3:G37)</f>
        <v>4.7838286152558478</v>
      </c>
    </row>
    <row r="39" spans="1:7" x14ac:dyDescent="0.35">
      <c r="F39" s="197"/>
      <c r="G39" s="197"/>
    </row>
    <row r="40" spans="1:7" x14ac:dyDescent="0.35">
      <c r="F40" s="197"/>
      <c r="G40" s="197"/>
    </row>
    <row r="41" spans="1:7" x14ac:dyDescent="0.35">
      <c r="B41" s="142" t="s">
        <v>1328</v>
      </c>
      <c r="C41" s="143">
        <f>SUM(C3,C4,C5,C6,C7,C19)</f>
        <v>74190555</v>
      </c>
      <c r="D41" s="143">
        <f t="shared" ref="D41:G41" si="6">SUM(D3,D4,D5,D6,D7,D19)</f>
        <v>69442359480</v>
      </c>
      <c r="E41" s="143">
        <f t="shared" si="6"/>
        <v>7927.5397582367996</v>
      </c>
      <c r="F41" s="198">
        <f t="shared" si="6"/>
        <v>1249962470.6399999</v>
      </c>
      <c r="G41" s="197">
        <f t="shared" si="6"/>
        <v>1.2499624706399999</v>
      </c>
    </row>
    <row r="42" spans="1:7" x14ac:dyDescent="0.35">
      <c r="B42" s="142" t="s">
        <v>1329</v>
      </c>
      <c r="C42" s="143">
        <f>SUM(C8,C20,C21)</f>
        <v>18818491.5</v>
      </c>
      <c r="D42" s="143">
        <f t="shared" ref="D42:G42" si="7">SUM(D8,D20,D21)</f>
        <v>17614108044</v>
      </c>
      <c r="E42" s="143">
        <f t="shared" si="7"/>
        <v>2010.8265743030399</v>
      </c>
      <c r="F42" s="198">
        <f t="shared" si="7"/>
        <v>317053944.79199994</v>
      </c>
      <c r="G42" s="197">
        <f t="shared" si="7"/>
        <v>0.317053944792</v>
      </c>
    </row>
    <row r="43" spans="1:7" x14ac:dyDescent="0.35">
      <c r="B43" s="142" t="s">
        <v>1330</v>
      </c>
      <c r="C43" s="143">
        <f>SUM(C9,C10,C11,C12,C13,C14,C15,C16,C17,C18,C22:C37)</f>
        <v>190931398.37510973</v>
      </c>
      <c r="D43" s="143">
        <f t="shared" ref="D43:G43" si="8">SUM(D9,D10,D11,D12,D13,D14,D15,D16,D17,D18,D22:D37)</f>
        <v>178711788879.10269</v>
      </c>
      <c r="E43" s="143">
        <f t="shared" si="8"/>
        <v>20401.737818438367</v>
      </c>
      <c r="F43" s="198">
        <f t="shared" si="8"/>
        <v>3216812199.8238487</v>
      </c>
      <c r="G43" s="198">
        <f t="shared" si="8"/>
        <v>3.2168121998238486</v>
      </c>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B9781-E67C-4900-B10C-4B0BF67E012B}">
  <dimension ref="A1:G43"/>
  <sheetViews>
    <sheetView zoomScale="86" zoomScaleNormal="86" workbookViewId="0">
      <pane ySplit="1" topLeftCell="A2" activePane="bottomLeft" state="frozen"/>
      <selection pane="bottomLeft" activeCell="C20" sqref="C20"/>
    </sheetView>
  </sheetViews>
  <sheetFormatPr defaultColWidth="9.1796875" defaultRowHeight="14.5" x14ac:dyDescent="0.35"/>
  <cols>
    <col min="1" max="1" width="9.1796875" style="142"/>
    <col min="2" max="2" width="27" style="142" customWidth="1"/>
    <col min="3" max="3" width="26" style="142" customWidth="1"/>
    <col min="4" max="4" width="22.453125" style="142" customWidth="1"/>
    <col min="5" max="5" width="25" style="142" customWidth="1"/>
    <col min="6" max="6" width="15.453125" style="142" bestFit="1" customWidth="1"/>
    <col min="7" max="7" width="12.7265625" style="142" customWidth="1"/>
    <col min="8" max="8" width="9.26953125" style="142" bestFit="1" customWidth="1"/>
    <col min="9" max="16384" width="9.1796875" style="142"/>
  </cols>
  <sheetData>
    <row r="1" spans="1:7" s="141" customFormat="1" x14ac:dyDescent="0.35">
      <c r="A1" s="141" t="s">
        <v>924</v>
      </c>
      <c r="B1" s="141" t="s">
        <v>1320</v>
      </c>
      <c r="C1" s="140" t="s">
        <v>1321</v>
      </c>
      <c r="D1" s="140" t="s">
        <v>1322</v>
      </c>
      <c r="E1" s="140" t="s">
        <v>1322</v>
      </c>
      <c r="F1" s="199" t="s">
        <v>1323</v>
      </c>
      <c r="G1" s="199" t="s">
        <v>1323</v>
      </c>
    </row>
    <row r="2" spans="1:7" x14ac:dyDescent="0.35">
      <c r="C2" s="142" t="s">
        <v>315</v>
      </c>
      <c r="D2" s="139" t="s">
        <v>939</v>
      </c>
      <c r="E2" s="139" t="s">
        <v>937</v>
      </c>
      <c r="F2" s="197" t="s">
        <v>859</v>
      </c>
      <c r="G2" s="197" t="s">
        <v>1324</v>
      </c>
    </row>
    <row r="3" spans="1:7" x14ac:dyDescent="0.35">
      <c r="A3" s="143">
        <f>1</f>
        <v>1</v>
      </c>
      <c r="B3" s="144" t="s">
        <v>940</v>
      </c>
      <c r="C3" s="146">
        <f>'EoL Material Flow Analysis'!B64</f>
        <v>10440000</v>
      </c>
      <c r="D3" s="145">
        <f>C3*AVERAGE(828,1044)</f>
        <v>9771840000</v>
      </c>
      <c r="E3" s="145">
        <f>D3*0.00000011416</f>
        <v>1115.5532544</v>
      </c>
      <c r="F3" s="197">
        <f>D3*0.018</f>
        <v>175893120</v>
      </c>
      <c r="G3" s="197">
        <f>F3/10^9</f>
        <v>0.17589311999999999</v>
      </c>
    </row>
    <row r="4" spans="1:7" x14ac:dyDescent="0.35">
      <c r="A4" s="143">
        <f>A3+1</f>
        <v>2</v>
      </c>
      <c r="B4" s="144" t="s">
        <v>940</v>
      </c>
      <c r="C4" s="146">
        <f>'EoL Material Flow Analysis'!C64</f>
        <v>3654000</v>
      </c>
      <c r="D4" s="145">
        <f t="shared" ref="D4:D37" si="0">C4*AVERAGE(828,1044)</f>
        <v>3420144000</v>
      </c>
      <c r="E4" s="145">
        <f>D4*0.00000011416</f>
        <v>390.44363903999999</v>
      </c>
      <c r="F4" s="197">
        <f t="shared" ref="F4:F36" si="1">D4*0.018</f>
        <v>61562591.999999993</v>
      </c>
      <c r="G4" s="197">
        <f t="shared" ref="G4:G37" si="2">F4/10^9</f>
        <v>6.1562591999999992E-2</v>
      </c>
    </row>
    <row r="5" spans="1:7" x14ac:dyDescent="0.35">
      <c r="A5" s="143">
        <f t="shared" ref="A5:A37" si="3">A4+1</f>
        <v>3</v>
      </c>
      <c r="B5" s="144" t="s">
        <v>940</v>
      </c>
      <c r="C5" s="146">
        <f>'EoL Material Flow Analysis'!D64</f>
        <v>1071763.875</v>
      </c>
      <c r="D5" s="145">
        <f t="shared" si="0"/>
        <v>1003170987</v>
      </c>
      <c r="E5" s="145">
        <f t="shared" ref="E5:E36" si="4">D5*0.00000011416</f>
        <v>114.52199987592</v>
      </c>
      <c r="F5" s="197">
        <f t="shared" si="1"/>
        <v>18057077.765999999</v>
      </c>
      <c r="G5" s="197">
        <f t="shared" si="2"/>
        <v>1.8057077765999997E-2</v>
      </c>
    </row>
    <row r="6" spans="1:7" x14ac:dyDescent="0.35">
      <c r="A6" s="143">
        <f t="shared" si="3"/>
        <v>4</v>
      </c>
      <c r="B6" s="144" t="s">
        <v>940</v>
      </c>
      <c r="C6" s="146">
        <f>'EoL Material Flow Analysis'!E64</f>
        <v>6112412.1779859485</v>
      </c>
      <c r="D6" s="145">
        <f t="shared" si="0"/>
        <v>5721217798.5948477</v>
      </c>
      <c r="E6" s="145">
        <f t="shared" si="4"/>
        <v>653.13422388758784</v>
      </c>
      <c r="F6" s="197">
        <f t="shared" si="1"/>
        <v>102981920.37470725</v>
      </c>
      <c r="G6" s="197">
        <f t="shared" si="2"/>
        <v>0.10298192037470726</v>
      </c>
    </row>
    <row r="7" spans="1:7" x14ac:dyDescent="0.35">
      <c r="A7" s="143">
        <f t="shared" si="3"/>
        <v>5</v>
      </c>
      <c r="B7" s="144" t="s">
        <v>940</v>
      </c>
      <c r="C7" s="146">
        <f>'EoL Material Flow Analysis'!F64</f>
        <v>4725763.875</v>
      </c>
      <c r="D7" s="145">
        <f t="shared" si="0"/>
        <v>4423314987</v>
      </c>
      <c r="E7" s="145">
        <f t="shared" si="4"/>
        <v>504.96563891592001</v>
      </c>
      <c r="F7" s="197">
        <f t="shared" si="1"/>
        <v>79619669.765999988</v>
      </c>
      <c r="G7" s="197">
        <f t="shared" si="2"/>
        <v>7.961966976599999E-2</v>
      </c>
    </row>
    <row r="8" spans="1:7" x14ac:dyDescent="0.35">
      <c r="A8" s="143">
        <f t="shared" si="3"/>
        <v>6</v>
      </c>
      <c r="B8" s="144" t="s">
        <v>944</v>
      </c>
      <c r="C8" s="146">
        <f>'EoL Material Flow Analysis'!G64</f>
        <v>3305956.5</v>
      </c>
      <c r="D8" s="145">
        <f t="shared" si="0"/>
        <v>3094375284</v>
      </c>
      <c r="E8" s="145">
        <f t="shared" si="4"/>
        <v>353.25388242143998</v>
      </c>
      <c r="F8" s="197">
        <f t="shared" si="1"/>
        <v>55698755.111999996</v>
      </c>
      <c r="G8" s="197">
        <f t="shared" si="2"/>
        <v>5.5698755111999995E-2</v>
      </c>
    </row>
    <row r="9" spans="1:7" x14ac:dyDescent="0.35">
      <c r="A9" s="143">
        <f t="shared" si="3"/>
        <v>7</v>
      </c>
      <c r="B9" s="144" t="s">
        <v>1325</v>
      </c>
      <c r="C9" s="146">
        <f>'EoL Material Flow Analysis'!H64</f>
        <v>1419807.375</v>
      </c>
      <c r="D9" s="145">
        <f t="shared" si="0"/>
        <v>1328939703</v>
      </c>
      <c r="E9" s="145">
        <f t="shared" si="4"/>
        <v>151.71175649448</v>
      </c>
      <c r="F9" s="197">
        <f t="shared" si="1"/>
        <v>23920914.653999999</v>
      </c>
      <c r="G9" s="197">
        <f t="shared" si="2"/>
        <v>2.3920914653999998E-2</v>
      </c>
    </row>
    <row r="10" spans="1:7" x14ac:dyDescent="0.35">
      <c r="A10" s="143">
        <f t="shared" si="3"/>
        <v>8</v>
      </c>
      <c r="B10" s="144" t="s">
        <v>1325</v>
      </c>
      <c r="C10" s="146">
        <f>'EoL Material Flow Analysis'!I64</f>
        <v>208415.02499999999</v>
      </c>
      <c r="D10" s="145">
        <f t="shared" si="0"/>
        <v>195076463.40000001</v>
      </c>
      <c r="E10" s="145">
        <f t="shared" si="4"/>
        <v>22.269929061744001</v>
      </c>
      <c r="F10" s="197">
        <f t="shared" si="1"/>
        <v>3511376.3411999997</v>
      </c>
      <c r="G10" s="197">
        <f t="shared" si="2"/>
        <v>3.5113763411999998E-3</v>
      </c>
    </row>
    <row r="11" spans="1:7" x14ac:dyDescent="0.35">
      <c r="A11" s="143">
        <f t="shared" si="3"/>
        <v>9</v>
      </c>
      <c r="B11" s="144" t="s">
        <v>1325</v>
      </c>
      <c r="C11" s="146">
        <v>0</v>
      </c>
      <c r="D11" s="145">
        <f t="shared" si="0"/>
        <v>0</v>
      </c>
      <c r="E11" s="145">
        <v>0</v>
      </c>
      <c r="F11" s="197">
        <v>0</v>
      </c>
      <c r="G11" s="197">
        <v>0</v>
      </c>
    </row>
    <row r="12" spans="1:7" x14ac:dyDescent="0.35">
      <c r="A12" s="143">
        <f t="shared" si="3"/>
        <v>10</v>
      </c>
      <c r="B12" s="144" t="s">
        <v>1325</v>
      </c>
      <c r="C12" s="146">
        <f>'EoL Material Flow Analysis'!K64</f>
        <v>208414.99965951001</v>
      </c>
      <c r="D12" s="145">
        <f t="shared" si="0"/>
        <v>195076439.68130136</v>
      </c>
      <c r="E12" s="145">
        <f t="shared" si="4"/>
        <v>22.269926354017361</v>
      </c>
      <c r="F12" s="197">
        <f t="shared" si="1"/>
        <v>3511375.914263424</v>
      </c>
      <c r="G12" s="197">
        <f t="shared" si="2"/>
        <v>3.5113759142634238E-3</v>
      </c>
    </row>
    <row r="13" spans="1:7" x14ac:dyDescent="0.35">
      <c r="A13" s="143">
        <f t="shared" si="3"/>
        <v>11</v>
      </c>
      <c r="B13" s="144" t="s">
        <v>1325</v>
      </c>
      <c r="C13" s="146">
        <f>'EoL Material Flow Analysis'!L64</f>
        <v>1211392.3500000001</v>
      </c>
      <c r="D13" s="145">
        <f t="shared" si="0"/>
        <v>1133863239.6000001</v>
      </c>
      <c r="E13" s="145">
        <f t="shared" si="4"/>
        <v>129.44182743273601</v>
      </c>
      <c r="F13" s="197">
        <f t="shared" si="1"/>
        <v>20409538.312800001</v>
      </c>
      <c r="G13" s="197">
        <f t="shared" si="2"/>
        <v>2.0409538312800003E-2</v>
      </c>
    </row>
    <row r="14" spans="1:7" x14ac:dyDescent="0.35">
      <c r="A14" s="143">
        <f t="shared" si="3"/>
        <v>12</v>
      </c>
      <c r="B14" s="144" t="s">
        <v>1325</v>
      </c>
      <c r="C14" s="146">
        <v>0</v>
      </c>
      <c r="D14" s="145">
        <f t="shared" si="0"/>
        <v>0</v>
      </c>
      <c r="E14" s="145">
        <v>0</v>
      </c>
      <c r="F14" s="197">
        <v>0</v>
      </c>
      <c r="G14" s="197">
        <v>0</v>
      </c>
    </row>
    <row r="15" spans="1:7" x14ac:dyDescent="0.35">
      <c r="A15" s="143">
        <f t="shared" si="3"/>
        <v>13</v>
      </c>
      <c r="B15" s="144" t="s">
        <v>1325</v>
      </c>
      <c r="C15" s="146">
        <f>'EoL Material Flow Analysis'!N64</f>
        <v>1199278.4265000001</v>
      </c>
      <c r="D15" s="145">
        <f t="shared" si="0"/>
        <v>1122524607.204</v>
      </c>
      <c r="E15" s="145">
        <f t="shared" si="4"/>
        <v>128.14740915840864</v>
      </c>
      <c r="F15" s="197">
        <f t="shared" si="1"/>
        <v>20205442.929671999</v>
      </c>
      <c r="G15" s="197">
        <f t="shared" si="2"/>
        <v>2.0205442929672E-2</v>
      </c>
    </row>
    <row r="16" spans="1:7" x14ac:dyDescent="0.35">
      <c r="A16" s="143">
        <f t="shared" si="3"/>
        <v>14</v>
      </c>
      <c r="B16" s="144" t="s">
        <v>1325</v>
      </c>
      <c r="C16" s="146">
        <f>'EoL Material Flow Analysis'!O64</f>
        <v>84.558127499999998</v>
      </c>
      <c r="D16" s="145">
        <f t="shared" si="0"/>
        <v>79146.407339999991</v>
      </c>
      <c r="E16" s="145">
        <f t="shared" si="4"/>
        <v>9.0353538619343983E-3</v>
      </c>
      <c r="F16" s="197">
        <f t="shared" si="1"/>
        <v>1424.6353321199997</v>
      </c>
      <c r="G16" s="197">
        <f t="shared" si="2"/>
        <v>1.4246353321199997E-6</v>
      </c>
    </row>
    <row r="17" spans="1:7" x14ac:dyDescent="0.35">
      <c r="A17" s="143">
        <f t="shared" si="3"/>
        <v>15</v>
      </c>
      <c r="B17" s="144" t="s">
        <v>1325</v>
      </c>
      <c r="C17" s="146">
        <f>'EoL Material Flow Analysis'!P64</f>
        <v>0</v>
      </c>
      <c r="D17" s="145">
        <f t="shared" si="0"/>
        <v>0</v>
      </c>
      <c r="E17" s="145">
        <f t="shared" si="4"/>
        <v>0</v>
      </c>
      <c r="F17" s="197">
        <f t="shared" si="1"/>
        <v>0</v>
      </c>
      <c r="G17" s="197">
        <f t="shared" si="2"/>
        <v>0</v>
      </c>
    </row>
    <row r="18" spans="1:7" x14ac:dyDescent="0.35">
      <c r="A18" s="143">
        <f t="shared" si="3"/>
        <v>16</v>
      </c>
      <c r="B18" s="144" t="s">
        <v>1325</v>
      </c>
      <c r="C18" s="146">
        <f>'EoL Material Flow Analysis'!Q64</f>
        <v>1199193.8683725002</v>
      </c>
      <c r="D18" s="145">
        <f t="shared" si="0"/>
        <v>1122445460.7966602</v>
      </c>
      <c r="E18" s="145">
        <f t="shared" si="4"/>
        <v>128.13837380454672</v>
      </c>
      <c r="F18" s="197">
        <f t="shared" si="1"/>
        <v>20204018.29433988</v>
      </c>
      <c r="G18" s="197">
        <f t="shared" si="2"/>
        <v>2.020401829433988E-2</v>
      </c>
    </row>
    <row r="19" spans="1:7" x14ac:dyDescent="0.35">
      <c r="A19" s="143">
        <f t="shared" si="3"/>
        <v>17</v>
      </c>
      <c r="B19" s="144" t="s">
        <v>940</v>
      </c>
      <c r="C19" s="146">
        <f>'EoL Material Flow Analysis'!R64</f>
        <v>6112412.1779859485</v>
      </c>
      <c r="D19" s="145">
        <f t="shared" si="0"/>
        <v>5721217798.5948477</v>
      </c>
      <c r="E19" s="145">
        <f t="shared" si="4"/>
        <v>653.13422388758784</v>
      </c>
      <c r="F19" s="197">
        <f t="shared" si="1"/>
        <v>102981920.37470725</v>
      </c>
      <c r="G19" s="197">
        <f t="shared" si="2"/>
        <v>0.10298192037470726</v>
      </c>
    </row>
    <row r="20" spans="1:7" x14ac:dyDescent="0.35">
      <c r="A20" s="143">
        <f t="shared" si="3"/>
        <v>18</v>
      </c>
      <c r="B20" s="144" t="s">
        <v>944</v>
      </c>
      <c r="C20" s="146">
        <f>'EoL Material Flow Analysis'!S64</f>
        <v>5745667.4473067923</v>
      </c>
      <c r="D20" s="145">
        <f t="shared" si="0"/>
        <v>5377944730.6791573</v>
      </c>
      <c r="E20" s="145">
        <f t="shared" si="4"/>
        <v>613.94617045433256</v>
      </c>
      <c r="F20" s="197">
        <f t="shared" si="1"/>
        <v>96803005.152224824</v>
      </c>
      <c r="G20" s="197">
        <f t="shared" si="2"/>
        <v>9.6803005152224827E-2</v>
      </c>
    </row>
    <row r="21" spans="1:7" x14ac:dyDescent="0.35">
      <c r="A21" s="143">
        <f t="shared" si="3"/>
        <v>19</v>
      </c>
      <c r="B21" s="144" t="s">
        <v>944</v>
      </c>
      <c r="C21" s="146">
        <f>'EoL Material Flow Analysis'!T64</f>
        <v>9043402.4473067932</v>
      </c>
      <c r="D21" s="145">
        <f t="shared" si="0"/>
        <v>8464624690.6791582</v>
      </c>
      <c r="E21" s="145">
        <f t="shared" si="4"/>
        <v>966.32155468793269</v>
      </c>
      <c r="F21" s="197">
        <f t="shared" si="1"/>
        <v>152363244.43222484</v>
      </c>
      <c r="G21" s="197">
        <f t="shared" si="2"/>
        <v>0.15236324443222485</v>
      </c>
    </row>
    <row r="22" spans="1:7" x14ac:dyDescent="0.35">
      <c r="A22" s="143">
        <f t="shared" si="3"/>
        <v>20</v>
      </c>
      <c r="B22" s="144" t="s">
        <v>1325</v>
      </c>
      <c r="C22" s="146">
        <f>'EoL Material Flow Analysis'!U64</f>
        <v>9043402.4473067932</v>
      </c>
      <c r="D22" s="145">
        <f t="shared" si="0"/>
        <v>8464624690.6791582</v>
      </c>
      <c r="E22" s="145">
        <f t="shared" si="4"/>
        <v>966.32155468793269</v>
      </c>
      <c r="F22" s="197">
        <f t="shared" si="1"/>
        <v>152363244.43222484</v>
      </c>
      <c r="G22" s="197">
        <f t="shared" si="2"/>
        <v>0.15236324443222485</v>
      </c>
    </row>
    <row r="23" spans="1:7" x14ac:dyDescent="0.35">
      <c r="A23" s="143">
        <f t="shared" si="3"/>
        <v>21</v>
      </c>
      <c r="B23" s="144" t="s">
        <v>1325</v>
      </c>
      <c r="C23" s="146">
        <f>'EoL Material Flow Analysis'!V64</f>
        <v>366744.7306791569</v>
      </c>
      <c r="D23" s="145">
        <f t="shared" si="0"/>
        <v>343273067.91569084</v>
      </c>
      <c r="E23" s="145">
        <f t="shared" si="4"/>
        <v>39.188053433255263</v>
      </c>
      <c r="F23" s="197">
        <f t="shared" si="1"/>
        <v>6178915.2224824345</v>
      </c>
      <c r="G23" s="197">
        <f t="shared" si="2"/>
        <v>6.1789152224824345E-3</v>
      </c>
    </row>
    <row r="24" spans="1:7" x14ac:dyDescent="0.35">
      <c r="A24" s="143">
        <f t="shared" si="3"/>
        <v>22</v>
      </c>
      <c r="B24" s="144" t="s">
        <v>1325</v>
      </c>
      <c r="C24" s="146">
        <f>'EoL Material Flow Analysis'!W64</f>
        <v>0</v>
      </c>
      <c r="D24" s="145">
        <f t="shared" si="0"/>
        <v>0</v>
      </c>
      <c r="E24" s="145">
        <f t="shared" si="4"/>
        <v>0</v>
      </c>
      <c r="F24" s="197">
        <f t="shared" si="1"/>
        <v>0</v>
      </c>
      <c r="G24" s="197">
        <f t="shared" si="2"/>
        <v>0</v>
      </c>
    </row>
    <row r="25" spans="1:7" x14ac:dyDescent="0.35">
      <c r="A25" s="143">
        <f t="shared" si="3"/>
        <v>23</v>
      </c>
      <c r="B25" s="144" t="s">
        <v>1325</v>
      </c>
      <c r="C25" s="146">
        <f>'EoL Material Flow Analysis'!X64</f>
        <v>366744.7306791569</v>
      </c>
      <c r="D25" s="145">
        <f t="shared" si="0"/>
        <v>343273067.91569084</v>
      </c>
      <c r="E25" s="145">
        <f t="shared" si="4"/>
        <v>39.188053433255263</v>
      </c>
      <c r="F25" s="197">
        <f t="shared" si="1"/>
        <v>6178915.2224824345</v>
      </c>
      <c r="G25" s="197">
        <f t="shared" si="2"/>
        <v>6.1789152224824345E-3</v>
      </c>
    </row>
    <row r="26" spans="1:7" x14ac:dyDescent="0.35">
      <c r="A26" s="143">
        <f t="shared" si="3"/>
        <v>24</v>
      </c>
      <c r="B26" s="144" t="s">
        <v>1325</v>
      </c>
      <c r="C26" s="146">
        <f>'EoL Material Flow Analysis'!Y64</f>
        <v>9618562.1776454598</v>
      </c>
      <c r="D26" s="145">
        <f t="shared" si="0"/>
        <v>9002974198.2761497</v>
      </c>
      <c r="E26" s="145">
        <f t="shared" si="4"/>
        <v>1027.7795344752053</v>
      </c>
      <c r="F26" s="197">
        <f t="shared" si="1"/>
        <v>162053535.56897068</v>
      </c>
      <c r="G26" s="197">
        <f t="shared" si="2"/>
        <v>0.16205353556897067</v>
      </c>
    </row>
    <row r="27" spans="1:7" x14ac:dyDescent="0.35">
      <c r="A27" s="143">
        <f t="shared" si="3"/>
        <v>25</v>
      </c>
      <c r="B27" s="144" t="s">
        <v>1325</v>
      </c>
      <c r="C27" s="146">
        <v>0</v>
      </c>
      <c r="D27" s="145">
        <f>C27*AVERAGE(828,1044)</f>
        <v>0</v>
      </c>
      <c r="E27" s="145">
        <v>0</v>
      </c>
      <c r="F27" s="197">
        <v>0</v>
      </c>
      <c r="G27" s="197">
        <v>0</v>
      </c>
    </row>
    <row r="28" spans="1:7" x14ac:dyDescent="0.35">
      <c r="A28" s="143">
        <f t="shared" si="3"/>
        <v>26</v>
      </c>
      <c r="B28" s="144" t="s">
        <v>1325</v>
      </c>
      <c r="C28" s="146">
        <f>'EoL Material Flow Analysis'!AA64</f>
        <v>9433000.3462637272</v>
      </c>
      <c r="D28" s="145">
        <f t="shared" si="0"/>
        <v>8829288324.1028481</v>
      </c>
      <c r="E28" s="145">
        <f t="shared" si="4"/>
        <v>1007.9515550795811</v>
      </c>
      <c r="F28" s="197">
        <f t="shared" si="1"/>
        <v>158927189.83385125</v>
      </c>
      <c r="G28" s="197">
        <f t="shared" si="2"/>
        <v>0.15892718983385123</v>
      </c>
    </row>
    <row r="29" spans="1:7" x14ac:dyDescent="0.35">
      <c r="A29" s="143">
        <f t="shared" si="3"/>
        <v>27</v>
      </c>
      <c r="B29" s="144" t="s">
        <v>1325</v>
      </c>
      <c r="C29" s="146">
        <f>'EoL Material Flow Analysis'!AB64</f>
        <v>10632194.214636227</v>
      </c>
      <c r="D29" s="145">
        <f t="shared" si="0"/>
        <v>9951733784.8995094</v>
      </c>
      <c r="E29" s="145">
        <f t="shared" si="4"/>
        <v>1136.0899288841281</v>
      </c>
      <c r="F29" s="197">
        <f t="shared" si="1"/>
        <v>179131208.12819114</v>
      </c>
      <c r="G29" s="197">
        <f t="shared" si="2"/>
        <v>0.17913120812819114</v>
      </c>
    </row>
    <row r="30" spans="1:7" x14ac:dyDescent="0.35">
      <c r="A30" s="143">
        <f t="shared" si="3"/>
        <v>28</v>
      </c>
      <c r="B30" s="144" t="s">
        <v>1325</v>
      </c>
      <c r="C30" s="146">
        <f>'EoL Material Flow Analysis'!AC64</f>
        <v>2597146.934190392</v>
      </c>
      <c r="D30" s="145">
        <f t="shared" si="0"/>
        <v>2430929530.4022069</v>
      </c>
      <c r="E30" s="145">
        <f t="shared" si="4"/>
        <v>277.51491519071595</v>
      </c>
      <c r="F30" s="197">
        <f t="shared" si="1"/>
        <v>43756731.547239721</v>
      </c>
      <c r="G30" s="197">
        <f t="shared" si="2"/>
        <v>4.3756731547239719E-2</v>
      </c>
    </row>
    <row r="31" spans="1:7" x14ac:dyDescent="0.35">
      <c r="A31" s="143">
        <f t="shared" si="3"/>
        <v>29</v>
      </c>
      <c r="B31" s="144" t="s">
        <v>1325</v>
      </c>
      <c r="C31" s="146">
        <v>0</v>
      </c>
      <c r="D31" s="145">
        <f t="shared" si="0"/>
        <v>0</v>
      </c>
      <c r="E31" s="145">
        <v>0</v>
      </c>
      <c r="F31" s="197">
        <v>0</v>
      </c>
      <c r="G31" s="197">
        <v>0</v>
      </c>
    </row>
    <row r="32" spans="1:7" x14ac:dyDescent="0.35">
      <c r="A32" s="143">
        <f t="shared" si="3"/>
        <v>30</v>
      </c>
      <c r="B32" s="144" t="s">
        <v>1325</v>
      </c>
      <c r="C32" s="146">
        <f>'EoL Material Flow Analysis'!AE64</f>
        <v>2532617.3351272065</v>
      </c>
      <c r="D32" s="145">
        <f t="shared" si="0"/>
        <v>2370529825.6790652</v>
      </c>
      <c r="E32" s="145">
        <f t="shared" si="4"/>
        <v>270.6196848995221</v>
      </c>
      <c r="F32" s="197">
        <f t="shared" si="1"/>
        <v>42669536.862223171</v>
      </c>
      <c r="G32" s="197">
        <f t="shared" si="2"/>
        <v>4.2669536862223169E-2</v>
      </c>
    </row>
    <row r="33" spans="1:7" x14ac:dyDescent="0.35">
      <c r="A33" s="143">
        <f t="shared" si="3"/>
        <v>31</v>
      </c>
      <c r="B33" s="144" t="s">
        <v>1325</v>
      </c>
      <c r="C33" s="146">
        <v>0</v>
      </c>
      <c r="D33" s="145">
        <f t="shared" si="0"/>
        <v>0</v>
      </c>
      <c r="E33" s="145">
        <v>0</v>
      </c>
      <c r="F33" s="197">
        <v>0</v>
      </c>
      <c r="G33" s="197">
        <f t="shared" si="2"/>
        <v>0</v>
      </c>
    </row>
    <row r="34" spans="1:7" x14ac:dyDescent="0.35">
      <c r="A34" s="143">
        <f t="shared" si="3"/>
        <v>32</v>
      </c>
      <c r="B34" s="144" t="s">
        <v>1325</v>
      </c>
      <c r="C34" s="146">
        <f>'EoL Material Flow Analysis'!AG64</f>
        <v>431218.31221207517</v>
      </c>
      <c r="D34" s="145">
        <f t="shared" si="0"/>
        <v>403620340.23050237</v>
      </c>
      <c r="E34" s="145">
        <f t="shared" si="4"/>
        <v>46.077298040714147</v>
      </c>
      <c r="F34" s="197">
        <f t="shared" si="1"/>
        <v>7265166.1241490422</v>
      </c>
      <c r="G34" s="197">
        <f t="shared" si="2"/>
        <v>7.2651661241490426E-3</v>
      </c>
    </row>
    <row r="35" spans="1:7" x14ac:dyDescent="0.35">
      <c r="A35" s="143">
        <f t="shared" si="3"/>
        <v>33</v>
      </c>
      <c r="B35" s="144" t="s">
        <v>1325</v>
      </c>
      <c r="C35" s="146">
        <f>'EoL Material Flow Analysis'!AH64</f>
        <v>5502429.9453186281</v>
      </c>
      <c r="D35" s="145">
        <f t="shared" si="0"/>
        <v>5150274428.8182364</v>
      </c>
      <c r="E35" s="145">
        <f t="shared" si="4"/>
        <v>587.95532879388986</v>
      </c>
      <c r="F35" s="197">
        <f t="shared" si="1"/>
        <v>92704939.718728244</v>
      </c>
      <c r="G35" s="197">
        <f t="shared" si="2"/>
        <v>9.2704939718728244E-2</v>
      </c>
    </row>
    <row r="36" spans="1:7" x14ac:dyDescent="0.35">
      <c r="A36" s="143">
        <f t="shared" si="3"/>
        <v>34</v>
      </c>
      <c r="B36" s="144" t="s">
        <v>1325</v>
      </c>
      <c r="C36" s="146">
        <f>'EoL Material Flow Analysis'!AI64</f>
        <v>5502514.5034461282</v>
      </c>
      <c r="D36" s="145">
        <f t="shared" si="0"/>
        <v>5150353575.2255764</v>
      </c>
      <c r="E36" s="145">
        <f t="shared" si="4"/>
        <v>587.96436414775178</v>
      </c>
      <c r="F36" s="197">
        <f t="shared" si="1"/>
        <v>92706364.354060367</v>
      </c>
      <c r="G36" s="197">
        <f t="shared" si="2"/>
        <v>9.2706364354060364E-2</v>
      </c>
    </row>
    <row r="37" spans="1:7" x14ac:dyDescent="0.35">
      <c r="A37" s="143">
        <f t="shared" si="3"/>
        <v>35</v>
      </c>
      <c r="B37" s="144" t="s">
        <v>1325</v>
      </c>
      <c r="C37" s="146">
        <v>0</v>
      </c>
      <c r="D37" s="145">
        <f t="shared" si="0"/>
        <v>0</v>
      </c>
      <c r="E37" s="145">
        <v>0</v>
      </c>
      <c r="F37" s="197">
        <v>0</v>
      </c>
      <c r="G37" s="197">
        <f t="shared" si="2"/>
        <v>0</v>
      </c>
    </row>
    <row r="38" spans="1:7" x14ac:dyDescent="0.35">
      <c r="A38" s="142" t="s">
        <v>1326</v>
      </c>
      <c r="B38" s="142" t="s">
        <v>1327</v>
      </c>
      <c r="C38" s="143">
        <f>SUM(C3:C37)</f>
        <v>111684540.78074993</v>
      </c>
      <c r="D38" s="143">
        <f t="shared" ref="D38:F38" si="5">SUM(D3:D37)</f>
        <v>104536730170.78194</v>
      </c>
      <c r="E38" s="143">
        <f t="shared" si="5"/>
        <v>11933.913116296468</v>
      </c>
      <c r="F38" s="198">
        <f t="shared" si="5"/>
        <v>1881661143.0740752</v>
      </c>
      <c r="G38" s="197">
        <f>SUM(G3:G37)</f>
        <v>1.8816611430740753</v>
      </c>
    </row>
    <row r="39" spans="1:7" x14ac:dyDescent="0.35">
      <c r="F39" s="197"/>
      <c r="G39" s="197"/>
    </row>
    <row r="40" spans="1:7" x14ac:dyDescent="0.35">
      <c r="F40" s="197"/>
      <c r="G40" s="197"/>
    </row>
    <row r="41" spans="1:7" x14ac:dyDescent="0.35">
      <c r="B41" s="142" t="s">
        <v>1328</v>
      </c>
      <c r="C41" s="143">
        <f>SUM(C3,C4,C5,C6,C7,C19)</f>
        <v>32116352.105971895</v>
      </c>
      <c r="D41" s="143">
        <f t="shared" ref="D41:G41" si="6">SUM(D3,D4,D5,D6,D7,D19)</f>
        <v>30060905571.189697</v>
      </c>
      <c r="E41" s="143">
        <f t="shared" si="6"/>
        <v>3431.7529800070156</v>
      </c>
      <c r="F41" s="198">
        <f t="shared" si="6"/>
        <v>541096300.28141451</v>
      </c>
      <c r="G41" s="197">
        <f t="shared" si="6"/>
        <v>0.54109630028141453</v>
      </c>
    </row>
    <row r="42" spans="1:7" x14ac:dyDescent="0.35">
      <c r="B42" s="142" t="s">
        <v>1329</v>
      </c>
      <c r="C42" s="143">
        <f>SUM(C8,C20,C21)</f>
        <v>18095026.394613586</v>
      </c>
      <c r="D42" s="143">
        <f t="shared" ref="D42:G42" si="7">SUM(D8,D20,D21)</f>
        <v>16936944705.358315</v>
      </c>
      <c r="E42" s="143">
        <f t="shared" si="7"/>
        <v>1933.5216075637054</v>
      </c>
      <c r="F42" s="198">
        <f t="shared" si="7"/>
        <v>304865004.69644964</v>
      </c>
      <c r="G42" s="197">
        <f t="shared" si="7"/>
        <v>0.30486500469644967</v>
      </c>
    </row>
    <row r="43" spans="1:7" x14ac:dyDescent="0.35">
      <c r="B43" s="142" t="s">
        <v>1330</v>
      </c>
      <c r="C43" s="143">
        <f>SUM(C9,C10,C11,C12,C13,C14,C15,C16,C17,C18,C22:C37)</f>
        <v>61473162.280164465</v>
      </c>
      <c r="D43" s="143">
        <f t="shared" ref="D43:G43" si="8">SUM(D9,D10,D11,D12,D13,D14,D15,D16,D17,D18,D22:D37)</f>
        <v>57538879894.233932</v>
      </c>
      <c r="E43" s="143">
        <f t="shared" si="8"/>
        <v>6568.6385287257472</v>
      </c>
      <c r="F43" s="198">
        <f t="shared" si="8"/>
        <v>1035699838.096211</v>
      </c>
      <c r="G43" s="198">
        <f t="shared" si="8"/>
        <v>1.0356998380962108</v>
      </c>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7052E-4E08-49D3-AF24-671054207C7C}">
  <dimension ref="A1:J54"/>
  <sheetViews>
    <sheetView topLeftCell="A29" workbookViewId="0">
      <selection activeCell="A13" sqref="A13:F30"/>
    </sheetView>
  </sheetViews>
  <sheetFormatPr defaultColWidth="9.1796875" defaultRowHeight="14" x14ac:dyDescent="0.3"/>
  <cols>
    <col min="1" max="1" width="12.1796875" style="122" customWidth="1"/>
    <col min="2" max="2" width="9.1796875" style="122"/>
    <col min="3" max="3" width="8.81640625" style="122" customWidth="1"/>
    <col min="4" max="4" width="5" style="122" customWidth="1"/>
    <col min="5" max="5" width="12.26953125" style="122" customWidth="1"/>
    <col min="6" max="6" width="43.1796875" style="122" customWidth="1"/>
    <col min="7" max="7" width="61" style="122" customWidth="1"/>
    <col min="8" max="8" width="27.26953125" style="122" customWidth="1"/>
    <col min="9" max="9" width="12.54296875" style="122" bestFit="1" customWidth="1"/>
    <col min="10" max="10" width="18.7265625" style="122" customWidth="1"/>
    <col min="11" max="16384" width="9.1796875" style="122"/>
  </cols>
  <sheetData>
    <row r="1" spans="1:10" ht="14.5" thickBot="1" x14ac:dyDescent="0.35">
      <c r="A1" s="132" t="s">
        <v>1331</v>
      </c>
      <c r="B1" s="131" t="s">
        <v>1332</v>
      </c>
    </row>
    <row r="2" spans="1:10" x14ac:dyDescent="0.3">
      <c r="A2" s="277" t="s">
        <v>645</v>
      </c>
      <c r="B2" s="278"/>
      <c r="C2" s="278"/>
      <c r="D2" s="279"/>
      <c r="E2" s="118" t="s">
        <v>1333</v>
      </c>
      <c r="F2" s="119" t="s">
        <v>1334</v>
      </c>
      <c r="G2" s="120" t="s">
        <v>1335</v>
      </c>
      <c r="H2" s="118" t="s">
        <v>1336</v>
      </c>
      <c r="I2" s="121" t="s">
        <v>1337</v>
      </c>
      <c r="J2" s="121" t="s">
        <v>1338</v>
      </c>
    </row>
    <row r="3" spans="1:10" ht="60.75" customHeight="1" x14ac:dyDescent="0.3">
      <c r="A3" s="123">
        <v>1</v>
      </c>
      <c r="B3" s="287" t="s">
        <v>1339</v>
      </c>
      <c r="C3" s="287"/>
      <c r="D3" s="287"/>
      <c r="E3" s="111" t="s">
        <v>1340</v>
      </c>
      <c r="F3" s="114" t="s">
        <v>1341</v>
      </c>
      <c r="G3" s="124"/>
      <c r="H3" s="110" t="s">
        <v>1342</v>
      </c>
      <c r="I3" s="224">
        <f>'GREENSCOPE Calculation'!E3</f>
        <v>343.99454648711946</v>
      </c>
      <c r="J3" s="186">
        <f>'GREENSCOPE Calculation'!F3</f>
        <v>13759.781859484778</v>
      </c>
    </row>
    <row r="4" spans="1:10" ht="78" customHeight="1" x14ac:dyDescent="0.3">
      <c r="A4" s="123">
        <f>A3+1</f>
        <v>2</v>
      </c>
      <c r="B4" s="287" t="s">
        <v>1343</v>
      </c>
      <c r="C4" s="287"/>
      <c r="D4" s="287"/>
      <c r="E4" s="111" t="s">
        <v>1344</v>
      </c>
      <c r="F4" s="109" t="s">
        <v>1345</v>
      </c>
      <c r="G4" s="124"/>
      <c r="H4" s="110" t="s">
        <v>1346</v>
      </c>
      <c r="I4" s="224">
        <f>'GREENSCOPE Calculation'!E4</f>
        <v>1</v>
      </c>
      <c r="J4" s="186">
        <f>'GREENSCOPE Calculation'!F4</f>
        <v>40</v>
      </c>
    </row>
    <row r="5" spans="1:10" ht="81" customHeight="1" x14ac:dyDescent="0.3">
      <c r="A5" s="123">
        <v>3</v>
      </c>
      <c r="B5" s="287" t="s">
        <v>655</v>
      </c>
      <c r="C5" s="287"/>
      <c r="D5" s="287"/>
      <c r="E5" s="111" t="s">
        <v>1347</v>
      </c>
      <c r="F5" s="114" t="s">
        <v>1348</v>
      </c>
      <c r="G5" s="113"/>
      <c r="H5" s="110" t="s">
        <v>1349</v>
      </c>
      <c r="I5" s="224">
        <f>'GREENSCOPE Calculation'!E5</f>
        <v>1</v>
      </c>
      <c r="J5" s="186">
        <f>'GREENSCOPE Calculation'!F5</f>
        <v>0</v>
      </c>
    </row>
    <row r="6" spans="1:10" ht="68.25" customHeight="1" x14ac:dyDescent="0.3">
      <c r="A6" s="123">
        <f t="shared" ref="A6:A10" si="0">A5+1</f>
        <v>4</v>
      </c>
      <c r="B6" s="287" t="s">
        <v>657</v>
      </c>
      <c r="C6" s="287"/>
      <c r="D6" s="287"/>
      <c r="E6" s="117" t="s">
        <v>1350</v>
      </c>
      <c r="F6" s="109" t="s">
        <v>1351</v>
      </c>
      <c r="G6" s="125"/>
      <c r="H6" s="110" t="s">
        <v>1349</v>
      </c>
      <c r="I6" s="224">
        <f>'GREENSCOPE Calculation'!E6</f>
        <v>0</v>
      </c>
      <c r="J6" s="186">
        <f>'GREENSCOPE Calculation'!F6</f>
        <v>39</v>
      </c>
    </row>
    <row r="7" spans="1:10" ht="63" customHeight="1" x14ac:dyDescent="0.3">
      <c r="A7" s="123">
        <f t="shared" si="0"/>
        <v>5</v>
      </c>
      <c r="B7" s="287" t="s">
        <v>659</v>
      </c>
      <c r="C7" s="287"/>
      <c r="D7" s="287"/>
      <c r="E7" s="111" t="s">
        <v>1352</v>
      </c>
      <c r="F7" s="114" t="s">
        <v>1353</v>
      </c>
      <c r="G7" s="113"/>
      <c r="H7" s="110" t="s">
        <v>1349</v>
      </c>
      <c r="I7" s="224">
        <f>'GREENSCOPE Calculation'!E7</f>
        <v>0</v>
      </c>
      <c r="J7" s="186">
        <f>'GREENSCOPE Calculation'!F7</f>
        <v>100</v>
      </c>
    </row>
    <row r="8" spans="1:10" ht="42" x14ac:dyDescent="0.3">
      <c r="A8" s="123">
        <v>6</v>
      </c>
      <c r="B8" s="287" t="s">
        <v>1354</v>
      </c>
      <c r="C8" s="287"/>
      <c r="D8" s="287"/>
      <c r="E8" s="111" t="s">
        <v>1355</v>
      </c>
      <c r="F8" s="109" t="s">
        <v>1356</v>
      </c>
      <c r="G8" s="125"/>
      <c r="H8" s="110" t="s">
        <v>1349</v>
      </c>
      <c r="I8" s="224">
        <f>'GREENSCOPE Calculation'!E8</f>
        <v>1</v>
      </c>
      <c r="J8" s="186">
        <f>'GREENSCOPE Calculation'!F8</f>
        <v>0</v>
      </c>
    </row>
    <row r="9" spans="1:10" ht="75.75" customHeight="1" x14ac:dyDescent="0.3">
      <c r="A9" s="123">
        <f t="shared" si="0"/>
        <v>7</v>
      </c>
      <c r="B9" s="287" t="s">
        <v>664</v>
      </c>
      <c r="C9" s="287"/>
      <c r="D9" s="287"/>
      <c r="E9" s="111" t="s">
        <v>1357</v>
      </c>
      <c r="F9" s="109" t="s">
        <v>1358</v>
      </c>
      <c r="G9" s="125"/>
      <c r="H9" s="110" t="s">
        <v>1349</v>
      </c>
      <c r="I9" s="224">
        <f>'GREENSCOPE Calculation'!E9</f>
        <v>10</v>
      </c>
      <c r="J9" s="186">
        <f>'GREENSCOPE Calculation'!F9</f>
        <v>0</v>
      </c>
    </row>
    <row r="10" spans="1:10" ht="72.75" customHeight="1" x14ac:dyDescent="0.3">
      <c r="A10" s="123">
        <f t="shared" si="0"/>
        <v>8</v>
      </c>
      <c r="B10" s="276" t="s">
        <v>666</v>
      </c>
      <c r="C10" s="276"/>
      <c r="D10" s="276"/>
      <c r="E10" s="111" t="s">
        <v>1359</v>
      </c>
      <c r="F10" s="114" t="s">
        <v>1360</v>
      </c>
      <c r="G10" s="124"/>
      <c r="H10" s="110" t="s">
        <v>1349</v>
      </c>
      <c r="I10" s="224">
        <f>'GREENSCOPE Calculation'!E10</f>
        <v>1</v>
      </c>
      <c r="J10" s="186">
        <f>'GREENSCOPE Calculation'!F10</f>
        <v>0</v>
      </c>
    </row>
    <row r="11" spans="1:10" ht="61.5" customHeight="1" thickBot="1" x14ac:dyDescent="0.35">
      <c r="A11" s="123">
        <v>10</v>
      </c>
      <c r="B11" s="287" t="s">
        <v>1361</v>
      </c>
      <c r="C11" s="287"/>
      <c r="D11" s="287"/>
      <c r="E11" s="111" t="s">
        <v>1362</v>
      </c>
      <c r="F11" s="114" t="s">
        <v>1363</v>
      </c>
      <c r="G11" s="116"/>
      <c r="H11" s="110" t="s">
        <v>1349</v>
      </c>
      <c r="I11" s="224">
        <f>'GREENSCOPE Calculation'!E11</f>
        <v>1</v>
      </c>
      <c r="J11" s="186">
        <f>'GREENSCOPE Calculation'!F11</f>
        <v>0</v>
      </c>
    </row>
    <row r="12" spans="1:10" x14ac:dyDescent="0.3">
      <c r="A12" s="277" t="s">
        <v>672</v>
      </c>
      <c r="B12" s="278"/>
      <c r="C12" s="278"/>
      <c r="D12" s="279"/>
      <c r="E12" s="118" t="s">
        <v>1333</v>
      </c>
      <c r="F12" s="119" t="s">
        <v>1334</v>
      </c>
      <c r="G12" s="120" t="s">
        <v>1335</v>
      </c>
      <c r="H12" s="118" t="s">
        <v>1336</v>
      </c>
      <c r="I12" s="121" t="s">
        <v>1337</v>
      </c>
      <c r="J12" s="121" t="s">
        <v>1338</v>
      </c>
    </row>
    <row r="13" spans="1:10" ht="68.25" customHeight="1" x14ac:dyDescent="0.3">
      <c r="A13" s="123">
        <v>1</v>
      </c>
      <c r="B13" s="276" t="s">
        <v>677</v>
      </c>
      <c r="C13" s="276"/>
      <c r="D13" s="276"/>
      <c r="E13" s="126" t="s">
        <v>1364</v>
      </c>
      <c r="F13" s="248" t="s">
        <v>1365</v>
      </c>
      <c r="G13" s="113"/>
      <c r="H13" s="115" t="s">
        <v>1342</v>
      </c>
      <c r="I13" s="129">
        <f>'GREENSCOPE Calculation'!E14</f>
        <v>0</v>
      </c>
      <c r="J13" s="225">
        <f>'GREENSCOPE Calculation'!F14</f>
        <v>3984.4096875</v>
      </c>
    </row>
    <row r="14" spans="1:10" ht="85.5" customHeight="1" x14ac:dyDescent="0.3">
      <c r="A14" s="123">
        <f>A13+1</f>
        <v>2</v>
      </c>
      <c r="B14" s="276" t="s">
        <v>679</v>
      </c>
      <c r="C14" s="276"/>
      <c r="D14" s="276"/>
      <c r="E14" s="126" t="s">
        <v>1366</v>
      </c>
      <c r="F14" s="248" t="s">
        <v>1367</v>
      </c>
      <c r="G14" s="124"/>
      <c r="H14" s="110" t="s">
        <v>1368</v>
      </c>
      <c r="I14" s="129">
        <f>'GREENSCOPE Calculation'!E15</f>
        <v>0</v>
      </c>
      <c r="J14" s="225">
        <f>'GREENSCOPE Calculation'!F15</f>
        <v>11.582769925247034</v>
      </c>
    </row>
    <row r="15" spans="1:10" ht="409.5" customHeight="1" x14ac:dyDescent="0.3">
      <c r="A15" s="123">
        <f t="shared" ref="A15:A30" si="1">A14+1</f>
        <v>3</v>
      </c>
      <c r="B15" s="276" t="s">
        <v>681</v>
      </c>
      <c r="C15" s="276"/>
      <c r="D15" s="276"/>
      <c r="E15" s="127" t="s">
        <v>1369</v>
      </c>
      <c r="F15" s="248" t="s">
        <v>1370</v>
      </c>
      <c r="G15" s="125"/>
      <c r="H15" s="115" t="s">
        <v>1371</v>
      </c>
      <c r="I15" s="129">
        <f>'GREENSCOPE Calculation'!E16</f>
        <v>0</v>
      </c>
      <c r="J15" s="225">
        <f>'GREENSCOPE Calculation'!F16</f>
        <v>10000</v>
      </c>
    </row>
    <row r="16" spans="1:10" ht="137.25" customHeight="1" x14ac:dyDescent="0.3">
      <c r="A16" s="123">
        <f t="shared" si="1"/>
        <v>4</v>
      </c>
      <c r="B16" s="276" t="s">
        <v>1372</v>
      </c>
      <c r="C16" s="276"/>
      <c r="D16" s="276"/>
      <c r="E16" s="127" t="s">
        <v>1373</v>
      </c>
      <c r="F16" s="112" t="s">
        <v>1374</v>
      </c>
      <c r="G16" s="124"/>
      <c r="H16" s="110" t="s">
        <v>1375</v>
      </c>
      <c r="I16" s="130">
        <f>'GREENSCOPE Calculation'!E36</f>
        <v>0</v>
      </c>
      <c r="J16" s="128">
        <f>'GREENSCOPE Calculation'!F36</f>
        <v>339.97874453563685</v>
      </c>
    </row>
    <row r="17" spans="1:10" ht="409.5" customHeight="1" x14ac:dyDescent="0.35">
      <c r="A17" s="123">
        <f t="shared" si="1"/>
        <v>5</v>
      </c>
      <c r="B17" s="276" t="s">
        <v>741</v>
      </c>
      <c r="C17" s="276"/>
      <c r="D17" s="276"/>
      <c r="E17" s="127" t="s">
        <v>1376</v>
      </c>
      <c r="F17" s="248" t="s">
        <v>1377</v>
      </c>
      <c r="G17" s="108"/>
      <c r="H17" s="110" t="s">
        <v>1375</v>
      </c>
      <c r="I17" s="130">
        <f>'GREENSCOPE Calculation'!E49</f>
        <v>0</v>
      </c>
      <c r="J17" s="128">
        <f>'GREENSCOPE Calculation'!F49</f>
        <v>10000000</v>
      </c>
    </row>
    <row r="18" spans="1:10" ht="322.5" customHeight="1" x14ac:dyDescent="0.3">
      <c r="A18" s="123">
        <f t="shared" si="1"/>
        <v>6</v>
      </c>
      <c r="B18" s="276" t="s">
        <v>744</v>
      </c>
      <c r="C18" s="276"/>
      <c r="D18" s="276"/>
      <c r="E18" s="127" t="s">
        <v>1378</v>
      </c>
      <c r="F18" s="248" t="s">
        <v>1379</v>
      </c>
      <c r="G18" s="125"/>
      <c r="H18" s="110" t="s">
        <v>1375</v>
      </c>
      <c r="I18" s="130">
        <f>'GREENSCOPE Calculation'!E69</f>
        <v>0</v>
      </c>
      <c r="J18" s="128">
        <f>'GREENSCOPE Calculation'!F69</f>
        <v>100000</v>
      </c>
    </row>
    <row r="19" spans="1:10" ht="96" customHeight="1" x14ac:dyDescent="0.3">
      <c r="A19" s="123">
        <f t="shared" si="1"/>
        <v>7</v>
      </c>
      <c r="B19" s="276" t="s">
        <v>768</v>
      </c>
      <c r="C19" s="276"/>
      <c r="D19" s="276"/>
      <c r="E19" s="127" t="s">
        <v>1380</v>
      </c>
      <c r="F19" s="248" t="s">
        <v>1381</v>
      </c>
      <c r="G19" s="247"/>
      <c r="H19" s="115" t="s">
        <v>1382</v>
      </c>
      <c r="I19" s="130">
        <f>'GREENSCOPE Calculation'!E89</f>
        <v>0</v>
      </c>
      <c r="J19" s="128">
        <f>'GREENSCOPE Calculation'!F89</f>
        <v>1</v>
      </c>
    </row>
    <row r="20" spans="1:10" ht="363.75" customHeight="1" x14ac:dyDescent="0.3">
      <c r="A20" s="123">
        <f t="shared" si="1"/>
        <v>8</v>
      </c>
      <c r="B20" s="276" t="s">
        <v>1383</v>
      </c>
      <c r="C20" s="276"/>
      <c r="D20" s="276"/>
      <c r="E20" s="127" t="s">
        <v>1384</v>
      </c>
      <c r="F20" s="248" t="s">
        <v>1385</v>
      </c>
      <c r="G20" s="125"/>
      <c r="H20" s="115" t="s">
        <v>1382</v>
      </c>
      <c r="I20" s="130">
        <f>'GREENSCOPE Calculation'!E90</f>
        <v>0</v>
      </c>
      <c r="J20" s="128">
        <f>'GREENSCOPE Calculation'!F90</f>
        <v>100</v>
      </c>
    </row>
    <row r="21" spans="1:10" ht="90" customHeight="1" x14ac:dyDescent="0.3">
      <c r="A21" s="123">
        <f t="shared" si="1"/>
        <v>9</v>
      </c>
      <c r="B21" s="276" t="s">
        <v>812</v>
      </c>
      <c r="C21" s="276"/>
      <c r="D21" s="276"/>
      <c r="E21" s="127" t="s">
        <v>1386</v>
      </c>
      <c r="F21" s="248" t="s">
        <v>1387</v>
      </c>
      <c r="G21" s="124"/>
      <c r="H21" s="115" t="s">
        <v>1388</v>
      </c>
      <c r="I21" s="130">
        <f>'GREENSCOPE Calculation'!E115</f>
        <v>0</v>
      </c>
      <c r="J21" s="228">
        <f>'GREENSCOPE Calculation'!F115</f>
        <v>1282.27560271875</v>
      </c>
    </row>
    <row r="22" spans="1:10" ht="90" customHeight="1" x14ac:dyDescent="0.3">
      <c r="A22" s="123">
        <f t="shared" si="1"/>
        <v>10</v>
      </c>
      <c r="B22" s="276" t="s">
        <v>815</v>
      </c>
      <c r="C22" s="276"/>
      <c r="D22" s="276"/>
      <c r="E22" s="127" t="s">
        <v>1389</v>
      </c>
      <c r="F22" s="248" t="s">
        <v>1390</v>
      </c>
      <c r="G22" s="124"/>
      <c r="H22" s="115" t="s">
        <v>1382</v>
      </c>
      <c r="I22" s="130">
        <f>'GREENSCOPE Calculation'!E116</f>
        <v>0</v>
      </c>
      <c r="J22" s="228">
        <f>'GREENSCOPE Calculation'!F116</f>
        <v>3.7276044513303455</v>
      </c>
    </row>
    <row r="23" spans="1:10" ht="78" customHeight="1" x14ac:dyDescent="0.3">
      <c r="A23" s="123">
        <f t="shared" si="1"/>
        <v>11</v>
      </c>
      <c r="B23" s="276" t="s">
        <v>817</v>
      </c>
      <c r="C23" s="276"/>
      <c r="D23" s="276"/>
      <c r="E23" s="127" t="s">
        <v>1391</v>
      </c>
      <c r="F23" s="248" t="s">
        <v>1392</v>
      </c>
      <c r="G23" s="124"/>
      <c r="H23" s="115" t="s">
        <v>1388</v>
      </c>
      <c r="I23" s="130">
        <f>'GREENSCOPE Calculation'!E117</f>
        <v>1257.4806027187501</v>
      </c>
      <c r="J23" s="228">
        <f>'GREENSCOPE Calculation'!F117</f>
        <v>0</v>
      </c>
    </row>
    <row r="24" spans="1:10" ht="75.75" customHeight="1" x14ac:dyDescent="0.3">
      <c r="A24" s="123">
        <f t="shared" si="1"/>
        <v>12</v>
      </c>
      <c r="B24" s="276" t="s">
        <v>820</v>
      </c>
      <c r="C24" s="276"/>
      <c r="D24" s="276"/>
      <c r="E24" s="127" t="s">
        <v>1393</v>
      </c>
      <c r="F24" s="248" t="s">
        <v>1394</v>
      </c>
      <c r="G24" s="124"/>
      <c r="H24" s="115" t="s">
        <v>1388</v>
      </c>
      <c r="I24" s="130">
        <f>'GREENSCOPE Calculation'!E118</f>
        <v>0</v>
      </c>
      <c r="J24" s="228">
        <f>'GREENSCOPE Calculation'!F118</f>
        <v>1257.4806027187501</v>
      </c>
    </row>
    <row r="25" spans="1:10" ht="106.5" customHeight="1" x14ac:dyDescent="0.3">
      <c r="A25" s="123">
        <f t="shared" si="1"/>
        <v>13</v>
      </c>
      <c r="B25" s="276" t="s">
        <v>822</v>
      </c>
      <c r="C25" s="276"/>
      <c r="D25" s="276"/>
      <c r="E25" s="127" t="s">
        <v>1395</v>
      </c>
      <c r="F25" s="248" t="s">
        <v>1396</v>
      </c>
      <c r="G25" s="124"/>
      <c r="H25" s="115" t="s">
        <v>1397</v>
      </c>
      <c r="I25" s="130">
        <f>'GREENSCOPE Calculation'!E119</f>
        <v>1</v>
      </c>
      <c r="J25" s="228">
        <f>'GREENSCOPE Calculation'!F119</f>
        <v>0</v>
      </c>
    </row>
    <row r="26" spans="1:10" ht="90" customHeight="1" x14ac:dyDescent="0.3">
      <c r="A26" s="123">
        <f t="shared" si="1"/>
        <v>14</v>
      </c>
      <c r="B26" s="276" t="s">
        <v>824</v>
      </c>
      <c r="C26" s="276"/>
      <c r="D26" s="276"/>
      <c r="E26" s="127" t="s">
        <v>1398</v>
      </c>
      <c r="F26" s="248" t="s">
        <v>1399</v>
      </c>
      <c r="G26" s="124"/>
      <c r="H26" s="115" t="s">
        <v>1397</v>
      </c>
      <c r="I26" s="130">
        <f>'GREENSCOPE Calculation'!E120</f>
        <v>0</v>
      </c>
      <c r="J26" s="228">
        <f>'GREENSCOPE Calculation'!F120</f>
        <v>1</v>
      </c>
    </row>
    <row r="27" spans="1:10" ht="117" customHeight="1" x14ac:dyDescent="0.3">
      <c r="A27" s="123">
        <f t="shared" si="1"/>
        <v>15</v>
      </c>
      <c r="B27" s="276" t="s">
        <v>826</v>
      </c>
      <c r="C27" s="276"/>
      <c r="D27" s="276"/>
      <c r="E27" s="127" t="s">
        <v>1400</v>
      </c>
      <c r="F27" s="248" t="s">
        <v>1401</v>
      </c>
      <c r="G27" s="113"/>
      <c r="H27" s="110" t="s">
        <v>1402</v>
      </c>
      <c r="I27" s="130">
        <f>'GREENSCOPE Calculation'!E121</f>
        <v>0</v>
      </c>
      <c r="J27" s="228">
        <f>'GREENSCOPE Calculation'!F121</f>
        <v>1</v>
      </c>
    </row>
    <row r="28" spans="1:10" ht="90" customHeight="1" x14ac:dyDescent="0.3">
      <c r="A28" s="123">
        <f t="shared" si="1"/>
        <v>16</v>
      </c>
      <c r="B28" s="276" t="s">
        <v>829</v>
      </c>
      <c r="C28" s="276"/>
      <c r="D28" s="276"/>
      <c r="E28" s="127" t="s">
        <v>1403</v>
      </c>
      <c r="F28" s="248" t="s">
        <v>1404</v>
      </c>
      <c r="G28" s="124"/>
      <c r="H28" s="115" t="s">
        <v>1405</v>
      </c>
      <c r="I28" s="130">
        <f>'GREENSCOPE Calculation'!E122</f>
        <v>0</v>
      </c>
      <c r="J28" s="228">
        <f>'GREENSCOPE Calculation'!F122</f>
        <v>1257.4806027187501</v>
      </c>
    </row>
    <row r="29" spans="1:10" ht="90" customHeight="1" x14ac:dyDescent="0.3">
      <c r="A29" s="123">
        <f t="shared" si="1"/>
        <v>17</v>
      </c>
      <c r="B29" s="276" t="s">
        <v>831</v>
      </c>
      <c r="C29" s="276"/>
      <c r="D29" s="276"/>
      <c r="E29" s="127" t="s">
        <v>1406</v>
      </c>
      <c r="F29" s="248" t="s">
        <v>1407</v>
      </c>
      <c r="G29" s="113"/>
      <c r="H29" s="115" t="s">
        <v>1408</v>
      </c>
      <c r="I29" s="130">
        <f>'GREENSCOPE Calculation'!E123</f>
        <v>0</v>
      </c>
      <c r="J29" s="228">
        <f>'GREENSCOPE Calculation'!F123</f>
        <v>1</v>
      </c>
    </row>
    <row r="30" spans="1:10" ht="90" customHeight="1" thickBot="1" x14ac:dyDescent="0.35">
      <c r="A30" s="123">
        <f t="shared" si="1"/>
        <v>18</v>
      </c>
      <c r="B30" s="276" t="s">
        <v>833</v>
      </c>
      <c r="C30" s="276"/>
      <c r="D30" s="276"/>
      <c r="E30" s="127" t="s">
        <v>1409</v>
      </c>
      <c r="F30" s="248" t="s">
        <v>1410</v>
      </c>
      <c r="G30" s="124"/>
      <c r="H30" s="115" t="s">
        <v>1411</v>
      </c>
      <c r="I30" s="130">
        <f>'GREENSCOPE Calculation'!E124</f>
        <v>910.0113638428719</v>
      </c>
      <c r="J30" s="228">
        <f>'GREENSCOPE Calculation'!F124</f>
        <v>0</v>
      </c>
    </row>
    <row r="31" spans="1:10" ht="15" customHeight="1" x14ac:dyDescent="0.3">
      <c r="A31" s="277" t="s">
        <v>835</v>
      </c>
      <c r="B31" s="278"/>
      <c r="C31" s="278"/>
      <c r="D31" s="279"/>
      <c r="E31" s="118" t="s">
        <v>1333</v>
      </c>
      <c r="F31" s="119" t="s">
        <v>1334</v>
      </c>
      <c r="G31" s="120" t="s">
        <v>1335</v>
      </c>
      <c r="H31" s="188" t="s">
        <v>1336</v>
      </c>
      <c r="I31" s="121" t="s">
        <v>1337</v>
      </c>
      <c r="J31" s="121" t="s">
        <v>1338</v>
      </c>
    </row>
    <row r="32" spans="1:10" ht="178.5" customHeight="1" x14ac:dyDescent="0.3">
      <c r="A32" s="123">
        <v>1</v>
      </c>
      <c r="B32" s="281" t="s">
        <v>836</v>
      </c>
      <c r="C32" s="282"/>
      <c r="D32" s="283"/>
      <c r="E32" s="111" t="s">
        <v>1412</v>
      </c>
      <c r="F32" s="114" t="s">
        <v>1413</v>
      </c>
      <c r="G32" s="124"/>
      <c r="H32" s="190" t="s">
        <v>837</v>
      </c>
      <c r="I32" s="226">
        <f>'GREENSCOPE Calculation'!E126</f>
        <v>44769.383521902935</v>
      </c>
      <c r="J32" s="227">
        <f>'GREENSCOPE Calculation'!F126</f>
        <v>447693.83521902934</v>
      </c>
    </row>
    <row r="33" spans="1:10" ht="163.5" customHeight="1" x14ac:dyDescent="0.3">
      <c r="A33" s="123">
        <f>A32+1</f>
        <v>2</v>
      </c>
      <c r="B33" s="280" t="s">
        <v>839</v>
      </c>
      <c r="C33" s="280"/>
      <c r="D33" s="280"/>
      <c r="E33" s="111" t="s">
        <v>1414</v>
      </c>
      <c r="F33" s="187" t="s">
        <v>1415</v>
      </c>
      <c r="G33" s="124"/>
      <c r="H33" s="190" t="s">
        <v>840</v>
      </c>
      <c r="I33" s="226">
        <f>'GREENSCOPE Calculation'!E127</f>
        <v>1.6268202497353865E-2</v>
      </c>
      <c r="J33" s="227">
        <f>'GREENSCOPE Calculation'!F127</f>
        <v>0.16268202497353865</v>
      </c>
    </row>
    <row r="34" spans="1:10" ht="127.5" customHeight="1" x14ac:dyDescent="0.3">
      <c r="A34" s="123">
        <v>3</v>
      </c>
      <c r="B34" s="280" t="s">
        <v>842</v>
      </c>
      <c r="C34" s="280"/>
      <c r="D34" s="280"/>
      <c r="E34" s="111" t="s">
        <v>1416</v>
      </c>
      <c r="F34" s="114" t="s">
        <v>1417</v>
      </c>
      <c r="G34" s="113"/>
      <c r="H34" s="190" t="s">
        <v>843</v>
      </c>
      <c r="I34" s="226">
        <f>'GREENSCOPE Calculation'!E128</f>
        <v>3.0231270610645975E-5</v>
      </c>
      <c r="J34" s="227">
        <f>'GREENSCOPE Calculation'!F128</f>
        <v>3.0231270610645976E-4</v>
      </c>
    </row>
    <row r="35" spans="1:10" ht="112" x14ac:dyDescent="0.3">
      <c r="A35" s="123">
        <f t="shared" ref="A35:A40" si="2">A34+1</f>
        <v>4</v>
      </c>
      <c r="B35" s="280" t="s">
        <v>844</v>
      </c>
      <c r="C35" s="280"/>
      <c r="D35" s="280"/>
      <c r="E35" s="111" t="s">
        <v>1418</v>
      </c>
      <c r="F35" s="114" t="s">
        <v>1419</v>
      </c>
      <c r="G35" s="125"/>
      <c r="H35" s="190" t="s">
        <v>840</v>
      </c>
      <c r="I35" s="226">
        <f>'GREENSCOPE Calculation'!E129</f>
        <v>0</v>
      </c>
      <c r="J35" s="227">
        <f>'GREENSCOPE Calculation'!F129</f>
        <v>2.2984984512833752E-3</v>
      </c>
    </row>
    <row r="36" spans="1:10" ht="150.75" customHeight="1" x14ac:dyDescent="0.3">
      <c r="A36" s="123">
        <f t="shared" si="2"/>
        <v>5</v>
      </c>
      <c r="B36" s="280" t="s">
        <v>846</v>
      </c>
      <c r="C36" s="280"/>
      <c r="D36" s="280"/>
      <c r="E36" s="111" t="s">
        <v>1420</v>
      </c>
      <c r="F36" s="114" t="s">
        <v>1421</v>
      </c>
      <c r="G36" s="113"/>
      <c r="H36" s="190" t="s">
        <v>840</v>
      </c>
      <c r="I36" s="226">
        <f>'GREENSCOPE Calculation'!E130</f>
        <v>0</v>
      </c>
      <c r="J36" s="227">
        <f>'GREENSCOPE Calculation'!F130</f>
        <v>2.2984984512833752E-3</v>
      </c>
    </row>
    <row r="37" spans="1:10" ht="121.5" customHeight="1" x14ac:dyDescent="0.3">
      <c r="A37" s="123">
        <v>6</v>
      </c>
      <c r="B37" s="280" t="s">
        <v>848</v>
      </c>
      <c r="C37" s="280"/>
      <c r="D37" s="280"/>
      <c r="E37" s="111" t="s">
        <v>1422</v>
      </c>
      <c r="F37" s="114" t="s">
        <v>1423</v>
      </c>
      <c r="G37" s="125"/>
      <c r="H37" s="190" t="s">
        <v>849</v>
      </c>
      <c r="I37" s="226">
        <f>'GREENSCOPE Calculation'!E131</f>
        <v>1</v>
      </c>
      <c r="J37" s="227">
        <f>'GREENSCOPE Calculation'!F131</f>
        <v>0</v>
      </c>
    </row>
    <row r="38" spans="1:10" ht="87" customHeight="1" x14ac:dyDescent="0.3">
      <c r="A38" s="123">
        <f t="shared" si="2"/>
        <v>7</v>
      </c>
      <c r="B38" s="280" t="s">
        <v>851</v>
      </c>
      <c r="C38" s="280"/>
      <c r="D38" s="280"/>
      <c r="E38" s="111" t="s">
        <v>1424</v>
      </c>
      <c r="F38" s="114" t="s">
        <v>1425</v>
      </c>
      <c r="G38" s="125"/>
      <c r="H38" s="190" t="s">
        <v>852</v>
      </c>
      <c r="I38" s="226">
        <f>'GREENSCOPE Calculation'!E132</f>
        <v>1</v>
      </c>
      <c r="J38" s="227">
        <f>'GREENSCOPE Calculation'!F132</f>
        <v>0</v>
      </c>
    </row>
    <row r="39" spans="1:10" ht="80.25" customHeight="1" x14ac:dyDescent="0.3">
      <c r="A39" s="123">
        <f t="shared" si="2"/>
        <v>8</v>
      </c>
      <c r="B39" s="284" t="s">
        <v>853</v>
      </c>
      <c r="C39" s="285"/>
      <c r="D39" s="286"/>
      <c r="E39" s="111" t="s">
        <v>1426</v>
      </c>
      <c r="F39" s="187" t="s">
        <v>1427</v>
      </c>
      <c r="G39" s="125"/>
      <c r="H39" s="190" t="s">
        <v>854</v>
      </c>
      <c r="I39" s="226">
        <f>'GREENSCOPE Calculation'!E133</f>
        <v>10</v>
      </c>
      <c r="J39" s="227">
        <f>'GREENSCOPE Calculation'!F133</f>
        <v>0</v>
      </c>
    </row>
    <row r="40" spans="1:10" ht="159" customHeight="1" thickBot="1" x14ac:dyDescent="0.35">
      <c r="A40" s="123">
        <f t="shared" si="2"/>
        <v>9</v>
      </c>
      <c r="B40" s="284" t="s">
        <v>855</v>
      </c>
      <c r="C40" s="285"/>
      <c r="D40" s="286"/>
      <c r="E40" s="111" t="s">
        <v>1428</v>
      </c>
      <c r="F40" s="114" t="s">
        <v>1429</v>
      </c>
      <c r="G40" s="125"/>
      <c r="H40" s="190" t="s">
        <v>840</v>
      </c>
      <c r="I40" s="226">
        <f>'GREENSCOPE Calculation'!E134</f>
        <v>0</v>
      </c>
      <c r="J40" s="227">
        <f>'GREENSCOPE Calculation'!F134</f>
        <v>2.2984984512833752E-3</v>
      </c>
    </row>
    <row r="41" spans="1:10" x14ac:dyDescent="0.3">
      <c r="A41" s="277" t="s">
        <v>857</v>
      </c>
      <c r="B41" s="278"/>
      <c r="C41" s="278"/>
      <c r="D41" s="279"/>
      <c r="E41" s="118" t="s">
        <v>1333</v>
      </c>
      <c r="F41" s="119" t="s">
        <v>1334</v>
      </c>
      <c r="G41" s="120" t="s">
        <v>1335</v>
      </c>
      <c r="H41" s="189" t="s">
        <v>1336</v>
      </c>
      <c r="I41" s="121" t="s">
        <v>1337</v>
      </c>
      <c r="J41" s="121" t="s">
        <v>1338</v>
      </c>
    </row>
    <row r="42" spans="1:10" ht="62" x14ac:dyDescent="0.3">
      <c r="A42" s="123">
        <v>1</v>
      </c>
      <c r="B42" s="275" t="s">
        <v>858</v>
      </c>
      <c r="C42" s="275"/>
      <c r="D42" s="275"/>
      <c r="E42" s="126" t="s">
        <v>1430</v>
      </c>
      <c r="F42" s="218" t="s">
        <v>1431</v>
      </c>
      <c r="G42" s="222" t="s">
        <v>1432</v>
      </c>
      <c r="H42" s="223" t="s">
        <v>859</v>
      </c>
      <c r="I42" s="224">
        <f>'GREENSCOPE Calculation'!E136</f>
        <v>22631357.883351143</v>
      </c>
      <c r="J42" s="225">
        <f>'GREENSCOPE Calculation'!F136</f>
        <v>35203908.924578257</v>
      </c>
    </row>
    <row r="43" spans="1:10" ht="79.5" customHeight="1" x14ac:dyDescent="0.35">
      <c r="A43" s="123">
        <f>A42+1</f>
        <v>2</v>
      </c>
      <c r="B43" s="288" t="s">
        <v>1433</v>
      </c>
      <c r="C43" s="289"/>
      <c r="D43" s="290"/>
      <c r="E43" s="126" t="s">
        <v>1434</v>
      </c>
      <c r="F43" s="218" t="s">
        <v>1435</v>
      </c>
      <c r="G43" s="108"/>
      <c r="H43" s="223" t="s">
        <v>859</v>
      </c>
      <c r="I43" s="224">
        <f>'GREENSCOPE Calculation'!E137</f>
        <v>9801518.4294619821</v>
      </c>
      <c r="J43" s="225">
        <f>'GREENSCOPE Calculation'!F137</f>
        <v>43848898.237066761</v>
      </c>
    </row>
    <row r="44" spans="1:10" ht="91.5" customHeight="1" x14ac:dyDescent="0.35">
      <c r="A44" s="123">
        <f t="shared" ref="A44:A54" si="3">A43+1</f>
        <v>3</v>
      </c>
      <c r="B44" s="288" t="s">
        <v>862</v>
      </c>
      <c r="C44" s="289"/>
      <c r="D44" s="290"/>
      <c r="E44" s="126" t="s">
        <v>1436</v>
      </c>
      <c r="F44" s="219" t="s">
        <v>1437</v>
      </c>
      <c r="G44" s="108"/>
      <c r="H44" s="223" t="s">
        <v>863</v>
      </c>
      <c r="I44" s="224">
        <f>'GREENSCOPE Calculation'!E138</f>
        <v>0.7342619870378887</v>
      </c>
      <c r="J44" s="225">
        <f>'GREENSCOPE Calculation'!F138</f>
        <v>10.660267390162085</v>
      </c>
    </row>
    <row r="45" spans="1:10" ht="99" customHeight="1" x14ac:dyDescent="0.3">
      <c r="A45" s="123">
        <f t="shared" si="3"/>
        <v>4</v>
      </c>
      <c r="B45" s="275" t="s">
        <v>865</v>
      </c>
      <c r="C45" s="275"/>
      <c r="D45" s="275"/>
      <c r="E45" s="126" t="s">
        <v>1438</v>
      </c>
      <c r="F45" s="218" t="s">
        <v>1439</v>
      </c>
      <c r="G45" s="221"/>
      <c r="H45" s="223" t="s">
        <v>859</v>
      </c>
      <c r="I45" s="224">
        <f>'GREENSCOPE Calculation'!E139</f>
        <v>2020656.9538706378</v>
      </c>
      <c r="J45" s="225">
        <f>'GREENSCOPE Calculation'!F139</f>
        <v>29336590.770481881</v>
      </c>
    </row>
    <row r="46" spans="1:10" ht="62" x14ac:dyDescent="0.35">
      <c r="A46" s="123">
        <f t="shared" si="3"/>
        <v>5</v>
      </c>
      <c r="B46" s="275" t="s">
        <v>866</v>
      </c>
      <c r="C46" s="275"/>
      <c r="D46" s="275"/>
      <c r="E46" s="126" t="s">
        <v>1440</v>
      </c>
      <c r="F46" s="220" t="s">
        <v>1441</v>
      </c>
      <c r="G46" s="108"/>
      <c r="H46" s="223" t="s">
        <v>859</v>
      </c>
      <c r="I46" s="224">
        <f>'GREENSCOPE Calculation'!E140</f>
        <v>821013.25597680127</v>
      </c>
      <c r="J46" s="225">
        <f>'GREENSCOPE Calculation'!F140</f>
        <v>8019199.2444245694</v>
      </c>
    </row>
    <row r="47" spans="1:10" ht="78.75" customHeight="1" x14ac:dyDescent="0.35">
      <c r="A47" s="123">
        <f t="shared" si="3"/>
        <v>6</v>
      </c>
      <c r="B47" s="275" t="s">
        <v>868</v>
      </c>
      <c r="C47" s="275"/>
      <c r="D47" s="275"/>
      <c r="E47" s="126" t="s">
        <v>1442</v>
      </c>
      <c r="F47" s="220" t="s">
        <v>1443</v>
      </c>
      <c r="G47" s="108"/>
      <c r="H47" s="223" t="s">
        <v>869</v>
      </c>
      <c r="I47" s="224">
        <f>'GREENSCOPE Calculation'!E141</f>
        <v>1.72E-6</v>
      </c>
      <c r="J47" s="225">
        <f>'GREENSCOPE Calculation'!F141</f>
        <v>1.6799999999999998E-5</v>
      </c>
    </row>
    <row r="48" spans="1:10" ht="62" x14ac:dyDescent="0.35">
      <c r="A48" s="123">
        <f t="shared" si="3"/>
        <v>7</v>
      </c>
      <c r="B48" s="275" t="s">
        <v>870</v>
      </c>
      <c r="C48" s="275"/>
      <c r="D48" s="275"/>
      <c r="E48" s="126" t="s">
        <v>1444</v>
      </c>
      <c r="F48" s="220" t="s">
        <v>1445</v>
      </c>
      <c r="G48" s="108"/>
      <c r="H48" s="223" t="s">
        <v>871</v>
      </c>
      <c r="I48" s="224">
        <f>'GREENSCOPE Calculation'!E142</f>
        <v>4.063100638651812E-2</v>
      </c>
      <c r="J48" s="225">
        <f>'GREENSCOPE Calculation'!F142</f>
        <v>0.21868114961724566</v>
      </c>
    </row>
    <row r="49" spans="1:10" ht="93" x14ac:dyDescent="0.35">
      <c r="A49" s="123">
        <f t="shared" si="3"/>
        <v>8</v>
      </c>
      <c r="B49" s="275" t="s">
        <v>872</v>
      </c>
      <c r="C49" s="275"/>
      <c r="D49" s="275"/>
      <c r="E49" s="217" t="s">
        <v>1446</v>
      </c>
      <c r="F49" s="220" t="s">
        <v>1447</v>
      </c>
      <c r="G49" s="108"/>
      <c r="H49" s="223" t="s">
        <v>859</v>
      </c>
      <c r="I49" s="224">
        <f>'GREENSCOPE Calculation'!E143</f>
        <v>0</v>
      </c>
      <c r="J49" s="225">
        <f>'GREENSCOPE Calculation'!F143</f>
        <v>20463519.627855901</v>
      </c>
    </row>
    <row r="50" spans="1:10" ht="91.5" customHeight="1" x14ac:dyDescent="0.35">
      <c r="A50" s="123">
        <f t="shared" si="3"/>
        <v>9</v>
      </c>
      <c r="B50" s="275" t="s">
        <v>874</v>
      </c>
      <c r="C50" s="275"/>
      <c r="D50" s="275"/>
      <c r="E50" s="217" t="s">
        <v>1448</v>
      </c>
      <c r="F50" s="220" t="s">
        <v>1449</v>
      </c>
      <c r="G50" s="108"/>
      <c r="H50" s="223" t="s">
        <v>875</v>
      </c>
      <c r="I50" s="224">
        <f>'GREENSCOPE Calculation'!E144</f>
        <v>0</v>
      </c>
      <c r="J50" s="225">
        <f>'GREENSCOPE Calculation'!F144</f>
        <v>0.79336048945347792</v>
      </c>
    </row>
    <row r="51" spans="1:10" ht="77.5" x14ac:dyDescent="0.35">
      <c r="A51" s="123">
        <f t="shared" si="3"/>
        <v>10</v>
      </c>
      <c r="B51" s="275" t="s">
        <v>876</v>
      </c>
      <c r="C51" s="275"/>
      <c r="D51" s="275"/>
      <c r="E51" s="217" t="s">
        <v>1450</v>
      </c>
      <c r="F51" s="220" t="s">
        <v>1451</v>
      </c>
      <c r="G51" s="108"/>
      <c r="H51" s="223" t="s">
        <v>859</v>
      </c>
      <c r="I51" s="224">
        <f>'GREENSCOPE Calculation'!E145</f>
        <v>0</v>
      </c>
      <c r="J51" s="225">
        <f>'GREENSCOPE Calculation'!F145</f>
        <v>42441849.450000003</v>
      </c>
    </row>
    <row r="52" spans="1:10" ht="86.25" customHeight="1" x14ac:dyDescent="0.35">
      <c r="A52" s="123">
        <f t="shared" si="3"/>
        <v>11</v>
      </c>
      <c r="B52" s="275" t="s">
        <v>877</v>
      </c>
      <c r="C52" s="275"/>
      <c r="D52" s="275"/>
      <c r="E52" s="217" t="s">
        <v>1452</v>
      </c>
      <c r="F52" s="220" t="s">
        <v>1453</v>
      </c>
      <c r="G52" s="108"/>
      <c r="H52" s="223" t="s">
        <v>878</v>
      </c>
      <c r="I52" s="224">
        <f>'GREENSCOPE Calculation'!E146</f>
        <v>0</v>
      </c>
      <c r="J52" s="225">
        <f>'GREENSCOPE Calculation'!F146</f>
        <v>1.645449417563895</v>
      </c>
    </row>
    <row r="53" spans="1:10" ht="67.5" customHeight="1" x14ac:dyDescent="0.35">
      <c r="A53" s="123">
        <f t="shared" si="3"/>
        <v>12</v>
      </c>
      <c r="B53" s="275" t="s">
        <v>879</v>
      </c>
      <c r="C53" s="275"/>
      <c r="D53" s="275"/>
      <c r="E53" s="217" t="s">
        <v>1454</v>
      </c>
      <c r="F53" s="218" t="s">
        <v>1455</v>
      </c>
      <c r="G53" s="108"/>
      <c r="H53" s="223" t="s">
        <v>859</v>
      </c>
      <c r="I53" s="224">
        <f>'GREENSCOPE Calculation'!E147</f>
        <v>762740.9842597798</v>
      </c>
      <c r="J53" s="225">
        <f>'GREENSCOPE Calculation'!F147</f>
        <v>0</v>
      </c>
    </row>
    <row r="54" spans="1:10" ht="69.75" customHeight="1" x14ac:dyDescent="0.35">
      <c r="A54" s="123">
        <f t="shared" si="3"/>
        <v>13</v>
      </c>
      <c r="B54" s="275" t="s">
        <v>1456</v>
      </c>
      <c r="C54" s="275"/>
      <c r="D54" s="275"/>
      <c r="E54" s="217" t="s">
        <v>1457</v>
      </c>
      <c r="F54" s="218" t="s">
        <v>1458</v>
      </c>
      <c r="G54" s="108"/>
      <c r="H54" s="223" t="s">
        <v>882</v>
      </c>
      <c r="I54" s="224">
        <f>'GREENSCOPE Calculation'!E148</f>
        <v>1</v>
      </c>
      <c r="J54" s="225">
        <f>'GREENSCOPE Calculation'!F148</f>
        <v>0</v>
      </c>
    </row>
  </sheetData>
  <mergeCells count="53">
    <mergeCell ref="B52:D52"/>
    <mergeCell ref="B49:D49"/>
    <mergeCell ref="B50:D50"/>
    <mergeCell ref="A41:D41"/>
    <mergeCell ref="B42:D42"/>
    <mergeCell ref="B46:D46"/>
    <mergeCell ref="B47:D47"/>
    <mergeCell ref="B48:D48"/>
    <mergeCell ref="B45:D45"/>
    <mergeCell ref="B43:D43"/>
    <mergeCell ref="B44:D44"/>
    <mergeCell ref="A2:D2"/>
    <mergeCell ref="B3:D3"/>
    <mergeCell ref="B4:D4"/>
    <mergeCell ref="B5:D5"/>
    <mergeCell ref="B6:D6"/>
    <mergeCell ref="B7:D7"/>
    <mergeCell ref="B15:D15"/>
    <mergeCell ref="B13:D13"/>
    <mergeCell ref="A12:D12"/>
    <mergeCell ref="B14:D14"/>
    <mergeCell ref="B8:D8"/>
    <mergeCell ref="B9:D9"/>
    <mergeCell ref="B10:D10"/>
    <mergeCell ref="B11:D11"/>
    <mergeCell ref="B27:D27"/>
    <mergeCell ref="B21:D21"/>
    <mergeCell ref="B20:D20"/>
    <mergeCell ref="B16:D16"/>
    <mergeCell ref="B17:D17"/>
    <mergeCell ref="B18:D18"/>
    <mergeCell ref="B19:D19"/>
    <mergeCell ref="B22:D22"/>
    <mergeCell ref="B23:D23"/>
    <mergeCell ref="B24:D24"/>
    <mergeCell ref="B25:D25"/>
    <mergeCell ref="B26:D26"/>
    <mergeCell ref="B53:D53"/>
    <mergeCell ref="B54:D54"/>
    <mergeCell ref="B28:D28"/>
    <mergeCell ref="B29:D29"/>
    <mergeCell ref="B30:D30"/>
    <mergeCell ref="A31:D31"/>
    <mergeCell ref="B33:D33"/>
    <mergeCell ref="B34:D34"/>
    <mergeCell ref="B35:D35"/>
    <mergeCell ref="B32:D32"/>
    <mergeCell ref="B36:D36"/>
    <mergeCell ref="B37:D37"/>
    <mergeCell ref="B38:D38"/>
    <mergeCell ref="B39:D39"/>
    <mergeCell ref="B40:D40"/>
    <mergeCell ref="B51:D51"/>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11305" r:id="rId4">
          <objectPr defaultSize="0" autoPict="0" r:id="rId5">
            <anchor moveWithCells="1" sizeWithCells="1">
              <from>
                <xdr:col>6</xdr:col>
                <xdr:colOff>1295400</xdr:colOff>
                <xdr:row>15</xdr:row>
                <xdr:rowOff>190500</xdr:rowOff>
              </from>
              <to>
                <xdr:col>6</xdr:col>
                <xdr:colOff>2279650</xdr:colOff>
                <xdr:row>15</xdr:row>
                <xdr:rowOff>457200</xdr:rowOff>
              </to>
            </anchor>
          </objectPr>
        </oleObject>
      </mc:Choice>
      <mc:Fallback>
        <oleObject progId="Equation.DSMT4" shapeId="11305" r:id="rId4"/>
      </mc:Fallback>
    </mc:AlternateContent>
    <mc:AlternateContent xmlns:mc="http://schemas.openxmlformats.org/markup-compatibility/2006">
      <mc:Choice Requires="x14">
        <oleObject progId="Equation.DSMT4" shapeId="11306" r:id="rId6">
          <objectPr defaultSize="0" autoPict="0" r:id="rId7">
            <anchor moveWithCells="1" sizeWithCells="1">
              <from>
                <xdr:col>6</xdr:col>
                <xdr:colOff>1003300</xdr:colOff>
                <xdr:row>15</xdr:row>
                <xdr:rowOff>603250</xdr:rowOff>
              </from>
              <to>
                <xdr:col>6</xdr:col>
                <xdr:colOff>2451100</xdr:colOff>
                <xdr:row>15</xdr:row>
                <xdr:rowOff>1238250</xdr:rowOff>
              </to>
            </anchor>
          </objectPr>
        </oleObject>
      </mc:Choice>
      <mc:Fallback>
        <oleObject progId="Equation.DSMT4" shapeId="11306" r:id="rId6"/>
      </mc:Fallback>
    </mc:AlternateContent>
    <mc:AlternateContent xmlns:mc="http://schemas.openxmlformats.org/markup-compatibility/2006">
      <mc:Choice Requires="x14">
        <oleObject progId="Equation.DSMT4" shapeId="11308" r:id="rId8">
          <objectPr defaultSize="0" autoPict="0" r:id="rId9">
            <anchor moveWithCells="1" sizeWithCells="1">
              <from>
                <xdr:col>6</xdr:col>
                <xdr:colOff>1174750</xdr:colOff>
                <xdr:row>16</xdr:row>
                <xdr:rowOff>69850</xdr:rowOff>
              </from>
              <to>
                <xdr:col>6</xdr:col>
                <xdr:colOff>2800350</xdr:colOff>
                <xdr:row>16</xdr:row>
                <xdr:rowOff>355600</xdr:rowOff>
              </to>
            </anchor>
          </objectPr>
        </oleObject>
      </mc:Choice>
      <mc:Fallback>
        <oleObject progId="Equation.DSMT4" shapeId="11308" r:id="rId8"/>
      </mc:Fallback>
    </mc:AlternateContent>
    <mc:AlternateContent xmlns:mc="http://schemas.openxmlformats.org/markup-compatibility/2006">
      <mc:Choice Requires="x14">
        <oleObject progId="Equation.DSMT4" shapeId="11343" r:id="rId10">
          <objectPr defaultSize="0" autoPict="0" r:id="rId11">
            <anchor moveWithCells="1" sizeWithCells="1">
              <from>
                <xdr:col>6</xdr:col>
                <xdr:colOff>184150</xdr:colOff>
                <xdr:row>30</xdr:row>
                <xdr:rowOff>0</xdr:rowOff>
              </from>
              <to>
                <xdr:col>6</xdr:col>
                <xdr:colOff>4857750</xdr:colOff>
                <xdr:row>30</xdr:row>
                <xdr:rowOff>0</xdr:rowOff>
              </to>
            </anchor>
          </objectPr>
        </oleObject>
      </mc:Choice>
      <mc:Fallback>
        <oleObject progId="Equation.DSMT4" shapeId="11343" r:id="rId10"/>
      </mc:Fallback>
    </mc:AlternateContent>
    <mc:AlternateContent xmlns:mc="http://schemas.openxmlformats.org/markup-compatibility/2006">
      <mc:Choice Requires="x14">
        <oleObject progId="Equation.DSMT4" shapeId="11358" r:id="rId12">
          <objectPr defaultSize="0" autoPict="0" r:id="rId13">
            <anchor moveWithCells="1" sizeWithCells="1">
              <from>
                <xdr:col>6</xdr:col>
                <xdr:colOff>342900</xdr:colOff>
                <xdr:row>17</xdr:row>
                <xdr:rowOff>184150</xdr:rowOff>
              </from>
              <to>
                <xdr:col>6</xdr:col>
                <xdr:colOff>4775200</xdr:colOff>
                <xdr:row>17</xdr:row>
                <xdr:rowOff>4489450</xdr:rowOff>
              </to>
            </anchor>
          </objectPr>
        </oleObject>
      </mc:Choice>
      <mc:Fallback>
        <oleObject progId="Equation.DSMT4" shapeId="11358" r:id="rId12"/>
      </mc:Fallback>
    </mc:AlternateContent>
    <mc:AlternateContent xmlns:mc="http://schemas.openxmlformats.org/markup-compatibility/2006">
      <mc:Choice Requires="x14">
        <oleObject progId="Equation.DSMT4" shapeId="11359" r:id="rId14">
          <objectPr defaultSize="0" autoPict="0" r:id="rId15">
            <anchor moveWithCells="1" sizeWithCells="1">
              <from>
                <xdr:col>6</xdr:col>
                <xdr:colOff>88900</xdr:colOff>
                <xdr:row>16</xdr:row>
                <xdr:rowOff>0</xdr:rowOff>
              </from>
              <to>
                <xdr:col>6</xdr:col>
                <xdr:colOff>4876800</xdr:colOff>
                <xdr:row>16</xdr:row>
                <xdr:rowOff>0</xdr:rowOff>
              </to>
            </anchor>
          </objectPr>
        </oleObject>
      </mc:Choice>
      <mc:Fallback>
        <oleObject progId="Equation.DSMT4" shapeId="11359" r:id="rId14"/>
      </mc:Fallback>
    </mc:AlternateContent>
    <mc:AlternateContent xmlns:mc="http://schemas.openxmlformats.org/markup-compatibility/2006">
      <mc:Choice Requires="x14">
        <oleObject progId="Equation.DSMT4" shapeId="11369" r:id="rId16">
          <objectPr defaultSize="0" autoPict="0" r:id="rId17">
            <anchor moveWithCells="1" sizeWithCells="1">
              <from>
                <xdr:col>6</xdr:col>
                <xdr:colOff>127000</xdr:colOff>
                <xdr:row>16</xdr:row>
                <xdr:rowOff>361950</xdr:rowOff>
              </from>
              <to>
                <xdr:col>6</xdr:col>
                <xdr:colOff>4070350</xdr:colOff>
                <xdr:row>16</xdr:row>
                <xdr:rowOff>5143500</xdr:rowOff>
              </to>
            </anchor>
          </objectPr>
        </oleObject>
      </mc:Choice>
      <mc:Fallback>
        <oleObject progId="Equation.DSMT4" shapeId="11369" r:id="rId16"/>
      </mc:Fallback>
    </mc:AlternateContent>
    <mc:AlternateContent xmlns:mc="http://schemas.openxmlformats.org/markup-compatibility/2006">
      <mc:Choice Requires="x14">
        <oleObject progId="Equation.DSMT4" shapeId="11266" r:id="rId18">
          <objectPr defaultSize="0" autoPict="0" r:id="rId19">
            <anchor moveWithCells="1" sizeWithCells="1">
              <from>
                <xdr:col>6</xdr:col>
                <xdr:colOff>1136650</xdr:colOff>
                <xdr:row>3</xdr:row>
                <xdr:rowOff>114300</xdr:rowOff>
              </from>
              <to>
                <xdr:col>6</xdr:col>
                <xdr:colOff>2209800</xdr:colOff>
                <xdr:row>3</xdr:row>
                <xdr:rowOff>895350</xdr:rowOff>
              </to>
            </anchor>
          </objectPr>
        </oleObject>
      </mc:Choice>
      <mc:Fallback>
        <oleObject progId="Equation.DSMT4" shapeId="11266" r:id="rId18"/>
      </mc:Fallback>
    </mc:AlternateContent>
    <mc:AlternateContent xmlns:mc="http://schemas.openxmlformats.org/markup-compatibility/2006">
      <mc:Choice Requires="x14">
        <oleObject progId="Equation.DSMT4" shapeId="11267" r:id="rId20">
          <objectPr defaultSize="0" autoPict="0" r:id="rId7">
            <anchor moveWithCells="1" sizeWithCells="1">
              <from>
                <xdr:col>6</xdr:col>
                <xdr:colOff>971550</xdr:colOff>
                <xdr:row>5</xdr:row>
                <xdr:rowOff>222250</xdr:rowOff>
              </from>
              <to>
                <xdr:col>6</xdr:col>
                <xdr:colOff>2324100</xdr:colOff>
                <xdr:row>5</xdr:row>
                <xdr:rowOff>781050</xdr:rowOff>
              </to>
            </anchor>
          </objectPr>
        </oleObject>
      </mc:Choice>
      <mc:Fallback>
        <oleObject progId="Equation.DSMT4" shapeId="11267" r:id="rId20"/>
      </mc:Fallback>
    </mc:AlternateContent>
    <mc:AlternateContent xmlns:mc="http://schemas.openxmlformats.org/markup-compatibility/2006">
      <mc:Choice Requires="x14">
        <oleObject progId="Equation.DSMT4" shapeId="11277" r:id="rId21">
          <objectPr defaultSize="0" autoPict="0" r:id="rId22">
            <anchor moveWithCells="1" sizeWithCells="1">
              <from>
                <xdr:col>6</xdr:col>
                <xdr:colOff>1136650</xdr:colOff>
                <xdr:row>4</xdr:row>
                <xdr:rowOff>165100</xdr:rowOff>
              </from>
              <to>
                <xdr:col>6</xdr:col>
                <xdr:colOff>2165350</xdr:colOff>
                <xdr:row>4</xdr:row>
                <xdr:rowOff>965200</xdr:rowOff>
              </to>
            </anchor>
          </objectPr>
        </oleObject>
      </mc:Choice>
      <mc:Fallback>
        <oleObject progId="Equation.DSMT4" shapeId="11277" r:id="rId21"/>
      </mc:Fallback>
    </mc:AlternateContent>
    <mc:AlternateContent xmlns:mc="http://schemas.openxmlformats.org/markup-compatibility/2006">
      <mc:Choice Requires="x14">
        <oleObject progId="Equation.DSMT4" shapeId="11278" r:id="rId23">
          <objectPr defaultSize="0" autoPict="0" r:id="rId24">
            <anchor moveWithCells="1" sizeWithCells="1">
              <from>
                <xdr:col>6</xdr:col>
                <xdr:colOff>495300</xdr:colOff>
                <xdr:row>6</xdr:row>
                <xdr:rowOff>114300</xdr:rowOff>
              </from>
              <to>
                <xdr:col>6</xdr:col>
                <xdr:colOff>3003550</xdr:colOff>
                <xdr:row>6</xdr:row>
                <xdr:rowOff>647700</xdr:rowOff>
              </to>
            </anchor>
          </objectPr>
        </oleObject>
      </mc:Choice>
      <mc:Fallback>
        <oleObject progId="Equation.DSMT4" shapeId="11278" r:id="rId23"/>
      </mc:Fallback>
    </mc:AlternateContent>
    <mc:AlternateContent xmlns:mc="http://schemas.openxmlformats.org/markup-compatibility/2006">
      <mc:Choice Requires="x14">
        <oleObject progId="Equation.DSMT4" shapeId="11285" r:id="rId25">
          <objectPr defaultSize="0" autoPict="0" r:id="rId26">
            <anchor moveWithCells="1" sizeWithCells="1">
              <from>
                <xdr:col>6</xdr:col>
                <xdr:colOff>1041400</xdr:colOff>
                <xdr:row>2</xdr:row>
                <xdr:rowOff>127000</xdr:rowOff>
              </from>
              <to>
                <xdr:col>6</xdr:col>
                <xdr:colOff>2343150</xdr:colOff>
                <xdr:row>2</xdr:row>
                <xdr:rowOff>666750</xdr:rowOff>
              </to>
            </anchor>
          </objectPr>
        </oleObject>
      </mc:Choice>
      <mc:Fallback>
        <oleObject progId="Equation.DSMT4" shapeId="11285" r:id="rId25"/>
      </mc:Fallback>
    </mc:AlternateContent>
    <mc:AlternateContent xmlns:mc="http://schemas.openxmlformats.org/markup-compatibility/2006">
      <mc:Choice Requires="x14">
        <oleObject progId="Equation.DSMT4" shapeId="11274" r:id="rId27">
          <objectPr defaultSize="0" autoPict="0" r:id="rId28">
            <anchor moveWithCells="1" sizeWithCells="1">
              <from>
                <xdr:col>6</xdr:col>
                <xdr:colOff>476250</xdr:colOff>
                <xdr:row>7</xdr:row>
                <xdr:rowOff>38100</xdr:rowOff>
              </from>
              <to>
                <xdr:col>6</xdr:col>
                <xdr:colOff>2927350</xdr:colOff>
                <xdr:row>8</xdr:row>
                <xdr:rowOff>12700</xdr:rowOff>
              </to>
            </anchor>
          </objectPr>
        </oleObject>
      </mc:Choice>
      <mc:Fallback>
        <oleObject progId="Equation.DSMT4" shapeId="11274" r:id="rId27"/>
      </mc:Fallback>
    </mc:AlternateContent>
    <mc:AlternateContent xmlns:mc="http://schemas.openxmlformats.org/markup-compatibility/2006">
      <mc:Choice Requires="x14">
        <oleObject progId="Equation.DSMT4" shapeId="11275" r:id="rId29">
          <objectPr defaultSize="0" autoPict="0" r:id="rId30">
            <anchor moveWithCells="1" sizeWithCells="1">
              <from>
                <xdr:col>6</xdr:col>
                <xdr:colOff>488950</xdr:colOff>
                <xdr:row>8</xdr:row>
                <xdr:rowOff>279400</xdr:rowOff>
              </from>
              <to>
                <xdr:col>6</xdr:col>
                <xdr:colOff>3327400</xdr:colOff>
                <xdr:row>8</xdr:row>
                <xdr:rowOff>755650</xdr:rowOff>
              </to>
            </anchor>
          </objectPr>
        </oleObject>
      </mc:Choice>
      <mc:Fallback>
        <oleObject progId="Equation.DSMT4" shapeId="11275" r:id="rId29"/>
      </mc:Fallback>
    </mc:AlternateContent>
    <mc:AlternateContent xmlns:mc="http://schemas.openxmlformats.org/markup-compatibility/2006">
      <mc:Choice Requires="x14">
        <oleObject progId="Equation.DSMT4" shapeId="11279" r:id="rId31">
          <objectPr defaultSize="0" autoPict="0" r:id="rId32">
            <anchor moveWithCells="1" sizeWithCells="1">
              <from>
                <xdr:col>6</xdr:col>
                <xdr:colOff>133350</xdr:colOff>
                <xdr:row>9</xdr:row>
                <xdr:rowOff>165100</xdr:rowOff>
              </from>
              <to>
                <xdr:col>6</xdr:col>
                <xdr:colOff>3238500</xdr:colOff>
                <xdr:row>9</xdr:row>
                <xdr:rowOff>685800</xdr:rowOff>
              </to>
            </anchor>
          </objectPr>
        </oleObject>
      </mc:Choice>
      <mc:Fallback>
        <oleObject progId="Equation.DSMT4" shapeId="11279" r:id="rId31"/>
      </mc:Fallback>
    </mc:AlternateContent>
    <mc:AlternateContent xmlns:mc="http://schemas.openxmlformats.org/markup-compatibility/2006">
      <mc:Choice Requires="x14">
        <oleObject progId="Equation.DSMT4" shapeId="11280" r:id="rId33">
          <objectPr defaultSize="0" autoPict="0" r:id="rId34">
            <anchor moveWithCells="1" sizeWithCells="1">
              <from>
                <xdr:col>6</xdr:col>
                <xdr:colOff>831850</xdr:colOff>
                <xdr:row>10</xdr:row>
                <xdr:rowOff>0</xdr:rowOff>
              </from>
              <to>
                <xdr:col>6</xdr:col>
                <xdr:colOff>4324350</xdr:colOff>
                <xdr:row>10</xdr:row>
                <xdr:rowOff>0</xdr:rowOff>
              </to>
            </anchor>
          </objectPr>
        </oleObject>
      </mc:Choice>
      <mc:Fallback>
        <oleObject progId="Equation.DSMT4" shapeId="11280" r:id="rId33"/>
      </mc:Fallback>
    </mc:AlternateContent>
    <mc:AlternateContent xmlns:mc="http://schemas.openxmlformats.org/markup-compatibility/2006">
      <mc:Choice Requires="x14">
        <oleObject progId="Equation.DSMT4" shapeId="11287" r:id="rId35">
          <objectPr defaultSize="0" autoPict="0" r:id="rId36">
            <anchor moveWithCells="1" sizeWithCells="1">
              <from>
                <xdr:col>6</xdr:col>
                <xdr:colOff>190500</xdr:colOff>
                <xdr:row>10</xdr:row>
                <xdr:rowOff>88900</xdr:rowOff>
              </from>
              <to>
                <xdr:col>6</xdr:col>
                <xdr:colOff>3194050</xdr:colOff>
                <xdr:row>10</xdr:row>
                <xdr:rowOff>679450</xdr:rowOff>
              </to>
            </anchor>
          </objectPr>
        </oleObject>
      </mc:Choice>
      <mc:Fallback>
        <oleObject progId="Equation.DSMT4" shapeId="11287" r:id="rId35"/>
      </mc:Fallback>
    </mc:AlternateContent>
    <mc:AlternateContent xmlns:mc="http://schemas.openxmlformats.org/markup-compatibility/2006">
      <mc:Choice Requires="x14">
        <oleObject progId="Equation.DSMT4" shapeId="11300" r:id="rId37">
          <objectPr defaultSize="0" autoPict="0" r:id="rId38">
            <anchor moveWithCells="1" sizeWithCells="1">
              <from>
                <xdr:col>6</xdr:col>
                <xdr:colOff>723900</xdr:colOff>
                <xdr:row>12</xdr:row>
                <xdr:rowOff>203200</xdr:rowOff>
              </from>
              <to>
                <xdr:col>6</xdr:col>
                <xdr:colOff>2476500</xdr:colOff>
                <xdr:row>12</xdr:row>
                <xdr:rowOff>755650</xdr:rowOff>
              </to>
            </anchor>
          </objectPr>
        </oleObject>
      </mc:Choice>
      <mc:Fallback>
        <oleObject progId="Equation.DSMT4" shapeId="11300" r:id="rId37"/>
      </mc:Fallback>
    </mc:AlternateContent>
    <mc:AlternateContent xmlns:mc="http://schemas.openxmlformats.org/markup-compatibility/2006">
      <mc:Choice Requires="x14">
        <oleObject progId="Equation.DSMT4" shapeId="11301" r:id="rId39">
          <objectPr defaultSize="0" autoPict="0" r:id="rId40">
            <anchor moveWithCells="1" sizeWithCells="1">
              <from>
                <xdr:col>6</xdr:col>
                <xdr:colOff>533400</xdr:colOff>
                <xdr:row>13</xdr:row>
                <xdr:rowOff>19050</xdr:rowOff>
              </from>
              <to>
                <xdr:col>6</xdr:col>
                <xdr:colOff>2774950</xdr:colOff>
                <xdr:row>13</xdr:row>
                <xdr:rowOff>1009650</xdr:rowOff>
              </to>
            </anchor>
          </objectPr>
        </oleObject>
      </mc:Choice>
      <mc:Fallback>
        <oleObject progId="Equation.DSMT4" shapeId="11301" r:id="rId39"/>
      </mc:Fallback>
    </mc:AlternateContent>
    <mc:AlternateContent xmlns:mc="http://schemas.openxmlformats.org/markup-compatibility/2006">
      <mc:Choice Requires="x14">
        <oleObject progId="Equation.DSMT4" shapeId="11356" r:id="rId41">
          <objectPr defaultSize="0" autoPict="0" r:id="rId42">
            <anchor moveWithCells="1" sizeWithCells="1">
              <from>
                <xdr:col>6</xdr:col>
                <xdr:colOff>152400</xdr:colOff>
                <xdr:row>14</xdr:row>
                <xdr:rowOff>203200</xdr:rowOff>
              </from>
              <to>
                <xdr:col>6</xdr:col>
                <xdr:colOff>3860800</xdr:colOff>
                <xdr:row>14</xdr:row>
                <xdr:rowOff>5048250</xdr:rowOff>
              </to>
            </anchor>
          </objectPr>
        </oleObject>
      </mc:Choice>
      <mc:Fallback>
        <oleObject progId="Equation.DSMT4" shapeId="11356" r:id="rId41"/>
      </mc:Fallback>
    </mc:AlternateContent>
    <mc:AlternateContent xmlns:mc="http://schemas.openxmlformats.org/markup-compatibility/2006">
      <mc:Choice Requires="x14">
        <oleObject progId="Equation.DSMT4" shapeId="11309" r:id="rId43">
          <objectPr defaultSize="0" autoPict="0" r:id="rId44">
            <anchor moveWithCells="1" sizeWithCells="1">
              <from>
                <xdr:col>6</xdr:col>
                <xdr:colOff>736600</xdr:colOff>
                <xdr:row>18</xdr:row>
                <xdr:rowOff>133350</xdr:rowOff>
              </from>
              <to>
                <xdr:col>6</xdr:col>
                <xdr:colOff>2927350</xdr:colOff>
                <xdr:row>18</xdr:row>
                <xdr:rowOff>990600</xdr:rowOff>
              </to>
            </anchor>
          </objectPr>
        </oleObject>
      </mc:Choice>
      <mc:Fallback>
        <oleObject progId="Equation.DSMT4" shapeId="11309" r:id="rId43"/>
      </mc:Fallback>
    </mc:AlternateContent>
    <mc:AlternateContent xmlns:mc="http://schemas.openxmlformats.org/markup-compatibility/2006">
      <mc:Choice Requires="x14">
        <oleObject progId="Equation.DSMT4" shapeId="11357" r:id="rId45">
          <objectPr defaultSize="0" autoPict="0" r:id="rId46">
            <anchor moveWithCells="1" sizeWithCells="1">
              <from>
                <xdr:col>6</xdr:col>
                <xdr:colOff>190500</xdr:colOff>
                <xdr:row>19</xdr:row>
                <xdr:rowOff>285750</xdr:rowOff>
              </from>
              <to>
                <xdr:col>6</xdr:col>
                <xdr:colOff>4800600</xdr:colOff>
                <xdr:row>19</xdr:row>
                <xdr:rowOff>4870450</xdr:rowOff>
              </to>
            </anchor>
          </objectPr>
        </oleObject>
      </mc:Choice>
      <mc:Fallback>
        <oleObject progId="Equation.DSMT4" shapeId="11357" r:id="rId45"/>
      </mc:Fallback>
    </mc:AlternateContent>
    <mc:AlternateContent xmlns:mc="http://schemas.openxmlformats.org/markup-compatibility/2006">
      <mc:Choice Requires="x14">
        <oleObject progId="Equation.DSMT4" shapeId="11333" r:id="rId47">
          <objectPr defaultSize="0" autoPict="0" r:id="rId48">
            <anchor moveWithCells="1" sizeWithCells="1">
              <from>
                <xdr:col>6</xdr:col>
                <xdr:colOff>1314450</xdr:colOff>
                <xdr:row>20</xdr:row>
                <xdr:rowOff>203200</xdr:rowOff>
              </from>
              <to>
                <xdr:col>6</xdr:col>
                <xdr:colOff>2895600</xdr:colOff>
                <xdr:row>20</xdr:row>
                <xdr:rowOff>831850</xdr:rowOff>
              </to>
            </anchor>
          </objectPr>
        </oleObject>
      </mc:Choice>
      <mc:Fallback>
        <oleObject progId="Equation.DSMT4" shapeId="11333" r:id="rId47"/>
      </mc:Fallback>
    </mc:AlternateContent>
    <mc:AlternateContent xmlns:mc="http://schemas.openxmlformats.org/markup-compatibility/2006">
      <mc:Choice Requires="x14">
        <oleObject progId="Equation.DSMT4" shapeId="11334" r:id="rId49">
          <objectPr defaultSize="0" autoPict="0" r:id="rId50">
            <anchor moveWithCells="1" sizeWithCells="1">
              <from>
                <xdr:col>6</xdr:col>
                <xdr:colOff>1066800</xdr:colOff>
                <xdr:row>21</xdr:row>
                <xdr:rowOff>19050</xdr:rowOff>
              </from>
              <to>
                <xdr:col>6</xdr:col>
                <xdr:colOff>2667000</xdr:colOff>
                <xdr:row>21</xdr:row>
                <xdr:rowOff>895350</xdr:rowOff>
              </to>
            </anchor>
          </objectPr>
        </oleObject>
      </mc:Choice>
      <mc:Fallback>
        <oleObject progId="Equation.DSMT4" shapeId="11334" r:id="rId49"/>
      </mc:Fallback>
    </mc:AlternateContent>
    <mc:AlternateContent xmlns:mc="http://schemas.openxmlformats.org/markup-compatibility/2006">
      <mc:Choice Requires="x14">
        <oleObject progId="Equation.DSMT4" shapeId="11335" r:id="rId51">
          <objectPr defaultSize="0" autoPict="0" r:id="rId52">
            <anchor moveWithCells="1" sizeWithCells="1">
              <from>
                <xdr:col>6</xdr:col>
                <xdr:colOff>1041400</xdr:colOff>
                <xdr:row>22</xdr:row>
                <xdr:rowOff>146050</xdr:rowOff>
              </from>
              <to>
                <xdr:col>6</xdr:col>
                <xdr:colOff>3365500</xdr:colOff>
                <xdr:row>22</xdr:row>
                <xdr:rowOff>723900</xdr:rowOff>
              </to>
            </anchor>
          </objectPr>
        </oleObject>
      </mc:Choice>
      <mc:Fallback>
        <oleObject progId="Equation.DSMT4" shapeId="11335" r:id="rId51"/>
      </mc:Fallback>
    </mc:AlternateContent>
    <mc:AlternateContent xmlns:mc="http://schemas.openxmlformats.org/markup-compatibility/2006">
      <mc:Choice Requires="x14">
        <oleObject progId="Equation.DSMT4" shapeId="11336" r:id="rId53">
          <objectPr defaultSize="0" autoPict="0" r:id="rId54">
            <anchor moveWithCells="1" sizeWithCells="1">
              <from>
                <xdr:col>6</xdr:col>
                <xdr:colOff>1047750</xdr:colOff>
                <xdr:row>23</xdr:row>
                <xdr:rowOff>165100</xdr:rowOff>
              </from>
              <to>
                <xdr:col>6</xdr:col>
                <xdr:colOff>3517900</xdr:colOff>
                <xdr:row>23</xdr:row>
                <xdr:rowOff>717550</xdr:rowOff>
              </to>
            </anchor>
          </objectPr>
        </oleObject>
      </mc:Choice>
      <mc:Fallback>
        <oleObject progId="Equation.DSMT4" shapeId="11336" r:id="rId53"/>
      </mc:Fallback>
    </mc:AlternateContent>
    <mc:AlternateContent xmlns:mc="http://schemas.openxmlformats.org/markup-compatibility/2006">
      <mc:Choice Requires="x14">
        <oleObject progId="Equation.DSMT4" shapeId="11337" r:id="rId55">
          <objectPr defaultSize="0" autoPict="0" r:id="rId56">
            <anchor moveWithCells="1" sizeWithCells="1">
              <from>
                <xdr:col>6</xdr:col>
                <xdr:colOff>895350</xdr:colOff>
                <xdr:row>24</xdr:row>
                <xdr:rowOff>165100</xdr:rowOff>
              </from>
              <to>
                <xdr:col>6</xdr:col>
                <xdr:colOff>3333750</xdr:colOff>
                <xdr:row>24</xdr:row>
                <xdr:rowOff>1276350</xdr:rowOff>
              </to>
            </anchor>
          </objectPr>
        </oleObject>
      </mc:Choice>
      <mc:Fallback>
        <oleObject progId="Equation.DSMT4" shapeId="11337" r:id="rId55"/>
      </mc:Fallback>
    </mc:AlternateContent>
    <mc:AlternateContent xmlns:mc="http://schemas.openxmlformats.org/markup-compatibility/2006">
      <mc:Choice Requires="x14">
        <oleObject progId="Equation.DSMT4" shapeId="11338" r:id="rId57">
          <objectPr defaultSize="0" autoPict="0" r:id="rId58">
            <anchor moveWithCells="1" sizeWithCells="1">
              <from>
                <xdr:col>6</xdr:col>
                <xdr:colOff>857250</xdr:colOff>
                <xdr:row>25</xdr:row>
                <xdr:rowOff>107950</xdr:rowOff>
              </from>
              <to>
                <xdr:col>6</xdr:col>
                <xdr:colOff>3365500</xdr:colOff>
                <xdr:row>25</xdr:row>
                <xdr:rowOff>1079500</xdr:rowOff>
              </to>
            </anchor>
          </objectPr>
        </oleObject>
      </mc:Choice>
      <mc:Fallback>
        <oleObject progId="Equation.DSMT4" shapeId="11338" r:id="rId57"/>
      </mc:Fallback>
    </mc:AlternateContent>
    <mc:AlternateContent xmlns:mc="http://schemas.openxmlformats.org/markup-compatibility/2006">
      <mc:Choice Requires="x14">
        <oleObject progId="Equation.DSMT4" shapeId="11339" r:id="rId59">
          <objectPr defaultSize="0" autoPict="0" r:id="rId60">
            <anchor moveWithCells="1" sizeWithCells="1">
              <from>
                <xdr:col>6</xdr:col>
                <xdr:colOff>869950</xdr:colOff>
                <xdr:row>26</xdr:row>
                <xdr:rowOff>209550</xdr:rowOff>
              </from>
              <to>
                <xdr:col>6</xdr:col>
                <xdr:colOff>3403600</xdr:colOff>
                <xdr:row>26</xdr:row>
                <xdr:rowOff>1289050</xdr:rowOff>
              </to>
            </anchor>
          </objectPr>
        </oleObject>
      </mc:Choice>
      <mc:Fallback>
        <oleObject progId="Equation.DSMT4" shapeId="11339" r:id="rId59"/>
      </mc:Fallback>
    </mc:AlternateContent>
    <mc:AlternateContent xmlns:mc="http://schemas.openxmlformats.org/markup-compatibility/2006">
      <mc:Choice Requires="x14">
        <oleObject progId="Equation.DSMT4" shapeId="11340" r:id="rId61">
          <objectPr defaultSize="0" autoPict="0" r:id="rId62">
            <anchor moveWithCells="1" sizeWithCells="1">
              <from>
                <xdr:col>6</xdr:col>
                <xdr:colOff>1028700</xdr:colOff>
                <xdr:row>27</xdr:row>
                <xdr:rowOff>209550</xdr:rowOff>
              </from>
              <to>
                <xdr:col>6</xdr:col>
                <xdr:colOff>3429000</xdr:colOff>
                <xdr:row>27</xdr:row>
                <xdr:rowOff>927100</xdr:rowOff>
              </to>
            </anchor>
          </objectPr>
        </oleObject>
      </mc:Choice>
      <mc:Fallback>
        <oleObject progId="Equation.DSMT4" shapeId="11340" r:id="rId61"/>
      </mc:Fallback>
    </mc:AlternateContent>
    <mc:AlternateContent xmlns:mc="http://schemas.openxmlformats.org/markup-compatibility/2006">
      <mc:Choice Requires="x14">
        <oleObject progId="Equation.DSMT4" shapeId="11341" r:id="rId63">
          <objectPr defaultSize="0" autoPict="0" r:id="rId64">
            <anchor moveWithCells="1" sizeWithCells="1">
              <from>
                <xdr:col>6</xdr:col>
                <xdr:colOff>800100</xdr:colOff>
                <xdr:row>28</xdr:row>
                <xdr:rowOff>76200</xdr:rowOff>
              </from>
              <to>
                <xdr:col>6</xdr:col>
                <xdr:colOff>3505200</xdr:colOff>
                <xdr:row>28</xdr:row>
                <xdr:rowOff>952500</xdr:rowOff>
              </to>
            </anchor>
          </objectPr>
        </oleObject>
      </mc:Choice>
      <mc:Fallback>
        <oleObject progId="Equation.DSMT4" shapeId="11341" r:id="rId63"/>
      </mc:Fallback>
    </mc:AlternateContent>
    <mc:AlternateContent xmlns:mc="http://schemas.openxmlformats.org/markup-compatibility/2006">
      <mc:Choice Requires="x14">
        <oleObject progId="Equation.DSMT4" shapeId="11342" r:id="rId65">
          <objectPr defaultSize="0" autoPict="0" r:id="rId66">
            <anchor moveWithCells="1" sizeWithCells="1">
              <from>
                <xdr:col>6</xdr:col>
                <xdr:colOff>228600</xdr:colOff>
                <xdr:row>29</xdr:row>
                <xdr:rowOff>260350</xdr:rowOff>
              </from>
              <to>
                <xdr:col>6</xdr:col>
                <xdr:colOff>3994150</xdr:colOff>
                <xdr:row>29</xdr:row>
                <xdr:rowOff>793750</xdr:rowOff>
              </to>
            </anchor>
          </objectPr>
        </oleObject>
      </mc:Choice>
      <mc:Fallback>
        <oleObject progId="Equation.DSMT4" shapeId="11342" r:id="rId65"/>
      </mc:Fallback>
    </mc:AlternateContent>
    <mc:AlternateContent xmlns:mc="http://schemas.openxmlformats.org/markup-compatibility/2006">
      <mc:Choice Requires="x14">
        <oleObject progId="Equation.DSMT4" shapeId="11375" r:id="rId67">
          <objectPr defaultSize="0" autoPict="0" r:id="rId68">
            <anchor moveWithCells="1" sizeWithCells="1">
              <from>
                <xdr:col>6</xdr:col>
                <xdr:colOff>1041400</xdr:colOff>
                <xdr:row>48</xdr:row>
                <xdr:rowOff>266700</xdr:rowOff>
              </from>
              <to>
                <xdr:col>6</xdr:col>
                <xdr:colOff>3524250</xdr:colOff>
                <xdr:row>48</xdr:row>
                <xdr:rowOff>1003300</xdr:rowOff>
              </to>
            </anchor>
          </objectPr>
        </oleObject>
      </mc:Choice>
      <mc:Fallback>
        <oleObject progId="Equation.DSMT4" shapeId="11375" r:id="rId67"/>
      </mc:Fallback>
    </mc:AlternateContent>
    <mc:AlternateContent xmlns:mc="http://schemas.openxmlformats.org/markup-compatibility/2006">
      <mc:Choice Requires="x14">
        <oleObject progId="Equation.DSMT4" shapeId="11376" r:id="rId69">
          <objectPr defaultSize="0" autoPict="0" r:id="rId70">
            <anchor moveWithCells="1" sizeWithCells="1">
              <from>
                <xdr:col>6</xdr:col>
                <xdr:colOff>984250</xdr:colOff>
                <xdr:row>49</xdr:row>
                <xdr:rowOff>133350</xdr:rowOff>
              </from>
              <to>
                <xdr:col>6</xdr:col>
                <xdr:colOff>3543300</xdr:colOff>
                <xdr:row>49</xdr:row>
                <xdr:rowOff>1003300</xdr:rowOff>
              </to>
            </anchor>
          </objectPr>
        </oleObject>
      </mc:Choice>
      <mc:Fallback>
        <oleObject progId="Equation.DSMT4" shapeId="11376" r:id="rId69"/>
      </mc:Fallback>
    </mc:AlternateContent>
    <mc:AlternateContent xmlns:mc="http://schemas.openxmlformats.org/markup-compatibility/2006">
      <mc:Choice Requires="x14">
        <oleObject progId="Equation.DSMT4" shapeId="11377" r:id="rId71">
          <objectPr defaultSize="0" autoPict="0" r:id="rId72">
            <anchor moveWithCells="1" sizeWithCells="1">
              <from>
                <xdr:col>6</xdr:col>
                <xdr:colOff>1104900</xdr:colOff>
                <xdr:row>50</xdr:row>
                <xdr:rowOff>190500</xdr:rowOff>
              </from>
              <to>
                <xdr:col>6</xdr:col>
                <xdr:colOff>3632200</xdr:colOff>
                <xdr:row>50</xdr:row>
                <xdr:rowOff>927100</xdr:rowOff>
              </to>
            </anchor>
          </objectPr>
        </oleObject>
      </mc:Choice>
      <mc:Fallback>
        <oleObject progId="Equation.DSMT4" shapeId="11377" r:id="rId71"/>
      </mc:Fallback>
    </mc:AlternateContent>
    <mc:AlternateContent xmlns:mc="http://schemas.openxmlformats.org/markup-compatibility/2006">
      <mc:Choice Requires="x14">
        <oleObject progId="Equation.DSMT4" shapeId="11378" r:id="rId73">
          <objectPr defaultSize="0" autoPict="0" r:id="rId74">
            <anchor moveWithCells="1" sizeWithCells="1">
              <from>
                <xdr:col>6</xdr:col>
                <xdr:colOff>704850</xdr:colOff>
                <xdr:row>51</xdr:row>
                <xdr:rowOff>57150</xdr:rowOff>
              </from>
              <to>
                <xdr:col>6</xdr:col>
                <xdr:colOff>3771900</xdr:colOff>
                <xdr:row>51</xdr:row>
                <xdr:rowOff>1003300</xdr:rowOff>
              </to>
            </anchor>
          </objectPr>
        </oleObject>
      </mc:Choice>
      <mc:Fallback>
        <oleObject progId="Equation.DSMT4" shapeId="11378" r:id="rId73"/>
      </mc:Fallback>
    </mc:AlternateContent>
    <mc:AlternateContent xmlns:mc="http://schemas.openxmlformats.org/markup-compatibility/2006">
      <mc:Choice Requires="x14">
        <oleObject progId="Equation.DSMT4" shapeId="11379" r:id="rId75">
          <objectPr defaultSize="0" autoPict="0" r:id="rId76">
            <anchor moveWithCells="1" sizeWithCells="1">
              <from>
                <xdr:col>6</xdr:col>
                <xdr:colOff>984250</xdr:colOff>
                <xdr:row>47</xdr:row>
                <xdr:rowOff>76200</xdr:rowOff>
              </from>
              <to>
                <xdr:col>6</xdr:col>
                <xdr:colOff>3600450</xdr:colOff>
                <xdr:row>47</xdr:row>
                <xdr:rowOff>723900</xdr:rowOff>
              </to>
            </anchor>
          </objectPr>
        </oleObject>
      </mc:Choice>
      <mc:Fallback>
        <oleObject progId="Equation.DSMT4" shapeId="11379" r:id="rId75"/>
      </mc:Fallback>
    </mc:AlternateContent>
    <mc:AlternateContent xmlns:mc="http://schemas.openxmlformats.org/markup-compatibility/2006">
      <mc:Choice Requires="x14">
        <oleObject progId="Equation.DSMT4" shapeId="11380" r:id="rId77">
          <objectPr defaultSize="0" autoPict="0" r:id="rId78">
            <anchor moveWithCells="1" sizeWithCells="1">
              <from>
                <xdr:col>6</xdr:col>
                <xdr:colOff>1143000</xdr:colOff>
                <xdr:row>46</xdr:row>
                <xdr:rowOff>50800</xdr:rowOff>
              </from>
              <to>
                <xdr:col>6</xdr:col>
                <xdr:colOff>3498850</xdr:colOff>
                <xdr:row>46</xdr:row>
                <xdr:rowOff>812800</xdr:rowOff>
              </to>
            </anchor>
          </objectPr>
        </oleObject>
      </mc:Choice>
      <mc:Fallback>
        <oleObject progId="Equation.DSMT4" shapeId="11380" r:id="rId77"/>
      </mc:Fallback>
    </mc:AlternateContent>
    <mc:AlternateContent xmlns:mc="http://schemas.openxmlformats.org/markup-compatibility/2006">
      <mc:Choice Requires="x14">
        <oleObject progId="Equation.DSMT4" shapeId="11381" r:id="rId79">
          <objectPr defaultSize="0" autoPict="0" r:id="rId78">
            <anchor moveWithCells="1" sizeWithCells="1">
              <from>
                <xdr:col>6</xdr:col>
                <xdr:colOff>812800</xdr:colOff>
                <xdr:row>42</xdr:row>
                <xdr:rowOff>133350</xdr:rowOff>
              </from>
              <to>
                <xdr:col>6</xdr:col>
                <xdr:colOff>3314700</xdr:colOff>
                <xdr:row>42</xdr:row>
                <xdr:rowOff>889000</xdr:rowOff>
              </to>
            </anchor>
          </objectPr>
        </oleObject>
      </mc:Choice>
      <mc:Fallback>
        <oleObject progId="Equation.DSMT4" shapeId="11381" r:id="rId79"/>
      </mc:Fallback>
    </mc:AlternateContent>
    <mc:AlternateContent xmlns:mc="http://schemas.openxmlformats.org/markup-compatibility/2006">
      <mc:Choice Requires="x14">
        <oleObject progId="Equation.DSMT4" shapeId="11382" r:id="rId80">
          <objectPr defaultSize="0" autoPict="0" r:id="rId81">
            <anchor moveWithCells="1" sizeWithCells="1">
              <from>
                <xdr:col>6</xdr:col>
                <xdr:colOff>1155700</xdr:colOff>
                <xdr:row>43</xdr:row>
                <xdr:rowOff>146050</xdr:rowOff>
              </from>
              <to>
                <xdr:col>6</xdr:col>
                <xdr:colOff>3067050</xdr:colOff>
                <xdr:row>43</xdr:row>
                <xdr:rowOff>1123950</xdr:rowOff>
              </to>
            </anchor>
          </objectPr>
        </oleObject>
      </mc:Choice>
      <mc:Fallback>
        <oleObject progId="Equation.DSMT4" shapeId="11382" r:id="rId80"/>
      </mc:Fallback>
    </mc:AlternateContent>
    <mc:AlternateContent xmlns:mc="http://schemas.openxmlformats.org/markup-compatibility/2006">
      <mc:Choice Requires="x14">
        <oleObject progId="Equation.DSMT4" shapeId="11383" r:id="rId82">
          <objectPr defaultSize="0" autoPict="0" r:id="rId83">
            <anchor moveWithCells="1">
              <from>
                <xdr:col>6</xdr:col>
                <xdr:colOff>1231900</xdr:colOff>
                <xdr:row>44</xdr:row>
                <xdr:rowOff>355600</xdr:rowOff>
              </from>
              <to>
                <xdr:col>6</xdr:col>
                <xdr:colOff>3181350</xdr:colOff>
                <xdr:row>44</xdr:row>
                <xdr:rowOff>838200</xdr:rowOff>
              </to>
            </anchor>
          </objectPr>
        </oleObject>
      </mc:Choice>
      <mc:Fallback>
        <oleObject progId="Equation.DSMT4" shapeId="11383" r:id="rId82"/>
      </mc:Fallback>
    </mc:AlternateContent>
    <mc:AlternateContent xmlns:mc="http://schemas.openxmlformats.org/markup-compatibility/2006">
      <mc:Choice Requires="x14">
        <oleObject progId="Equation.DSMT4" shapeId="11384" r:id="rId84">
          <objectPr defaultSize="0" autoPict="0" r:id="rId85">
            <anchor moveWithCells="1" sizeWithCells="1">
              <from>
                <xdr:col>6</xdr:col>
                <xdr:colOff>1174750</xdr:colOff>
                <xdr:row>45</xdr:row>
                <xdr:rowOff>133350</xdr:rowOff>
              </from>
              <to>
                <xdr:col>6</xdr:col>
                <xdr:colOff>3276600</xdr:colOff>
                <xdr:row>45</xdr:row>
                <xdr:rowOff>685800</xdr:rowOff>
              </to>
            </anchor>
          </objectPr>
        </oleObject>
      </mc:Choice>
      <mc:Fallback>
        <oleObject progId="Equation.DSMT4" shapeId="11384" r:id="rId84"/>
      </mc:Fallback>
    </mc:AlternateContent>
    <mc:AlternateContent xmlns:mc="http://schemas.openxmlformats.org/markup-compatibility/2006">
      <mc:Choice Requires="x14">
        <oleObject progId="Equation.DSMT4" shapeId="11385" r:id="rId86">
          <objectPr defaultSize="0" autoPict="0" r:id="rId87">
            <anchor moveWithCells="1" sizeWithCells="1">
              <from>
                <xdr:col>6</xdr:col>
                <xdr:colOff>1104900</xdr:colOff>
                <xdr:row>52</xdr:row>
                <xdr:rowOff>127000</xdr:rowOff>
              </from>
              <to>
                <xdr:col>6</xdr:col>
                <xdr:colOff>3498850</xdr:colOff>
                <xdr:row>52</xdr:row>
                <xdr:rowOff>698500</xdr:rowOff>
              </to>
            </anchor>
          </objectPr>
        </oleObject>
      </mc:Choice>
      <mc:Fallback>
        <oleObject progId="Equation.DSMT4" shapeId="11385" r:id="rId86"/>
      </mc:Fallback>
    </mc:AlternateContent>
    <mc:AlternateContent xmlns:mc="http://schemas.openxmlformats.org/markup-compatibility/2006">
      <mc:Choice Requires="x14">
        <oleObject progId="Equation.DSMT4" shapeId="11386" r:id="rId88">
          <objectPr defaultSize="0" autoPict="0" r:id="rId89">
            <anchor moveWithCells="1" sizeWithCells="1">
              <from>
                <xdr:col>6</xdr:col>
                <xdr:colOff>965200</xdr:colOff>
                <xdr:row>53</xdr:row>
                <xdr:rowOff>31750</xdr:rowOff>
              </from>
              <to>
                <xdr:col>6</xdr:col>
                <xdr:colOff>3486150</xdr:colOff>
                <xdr:row>53</xdr:row>
                <xdr:rowOff>800100</xdr:rowOff>
              </to>
            </anchor>
          </objectPr>
        </oleObject>
      </mc:Choice>
      <mc:Fallback>
        <oleObject progId="Equation.DSMT4" shapeId="11386" r:id="rId88"/>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CC3EB-BFF6-4431-82CA-4F23D3993840}">
  <sheetPr>
    <tabColor theme="1" tint="0.14999847407452621"/>
  </sheetPr>
  <dimension ref="A1:V14"/>
  <sheetViews>
    <sheetView workbookViewId="0">
      <selection activeCell="V16" sqref="V16"/>
    </sheetView>
  </sheetViews>
  <sheetFormatPr defaultRowHeight="14.5" x14ac:dyDescent="0.35"/>
  <cols>
    <col min="1" max="1" width="16.7265625" customWidth="1"/>
    <col min="2" max="2" width="12.26953125" customWidth="1"/>
    <col min="5" max="5" width="9" customWidth="1"/>
    <col min="6" max="6" width="23" customWidth="1"/>
    <col min="7" max="7" width="8.1796875" customWidth="1"/>
    <col min="8" max="8" width="11.1796875" customWidth="1"/>
    <col min="10" max="10" width="6.54296875" customWidth="1"/>
    <col min="11" max="11" width="5.7265625" customWidth="1"/>
    <col min="12" max="12" width="5.81640625" customWidth="1"/>
    <col min="13" max="13" width="6.26953125" customWidth="1"/>
    <col min="14" max="14" width="5.81640625" customWidth="1"/>
    <col min="15" max="15" width="6.7265625" customWidth="1"/>
    <col min="16" max="16" width="5.7265625" customWidth="1"/>
    <col min="17" max="17" width="5.1796875" customWidth="1"/>
    <col min="18" max="18" width="6.26953125" customWidth="1"/>
    <col min="19" max="19" width="6" customWidth="1"/>
    <col min="20" max="20" width="5.7265625" customWidth="1"/>
    <col min="21" max="21" width="6.26953125" customWidth="1"/>
    <col min="22" max="22" width="6" customWidth="1"/>
  </cols>
  <sheetData>
    <row r="1" spans="1:22" x14ac:dyDescent="0.35">
      <c r="A1" s="79" t="s">
        <v>1459</v>
      </c>
      <c r="D1" s="80" t="s">
        <v>1460</v>
      </c>
      <c r="E1" s="81" t="s">
        <v>1461</v>
      </c>
      <c r="F1" s="81" t="s">
        <v>1462</v>
      </c>
      <c r="H1" s="82" t="s">
        <v>1463</v>
      </c>
      <c r="J1" s="80"/>
      <c r="K1" s="80">
        <v>1</v>
      </c>
      <c r="L1" s="81">
        <f>K1+1</f>
        <v>2</v>
      </c>
      <c r="M1" s="81">
        <f t="shared" ref="M1:V1" si="0">L1+1</f>
        <v>3</v>
      </c>
      <c r="N1" s="81">
        <f t="shared" si="0"/>
        <v>4</v>
      </c>
      <c r="O1" s="81">
        <f t="shared" si="0"/>
        <v>5</v>
      </c>
      <c r="P1" s="81">
        <f t="shared" si="0"/>
        <v>6</v>
      </c>
      <c r="Q1" s="81">
        <f t="shared" si="0"/>
        <v>7</v>
      </c>
      <c r="R1" s="81">
        <f t="shared" si="0"/>
        <v>8</v>
      </c>
      <c r="S1" s="81">
        <f t="shared" si="0"/>
        <v>9</v>
      </c>
      <c r="T1" s="81">
        <f t="shared" si="0"/>
        <v>10</v>
      </c>
      <c r="U1" s="81">
        <f t="shared" si="0"/>
        <v>11</v>
      </c>
      <c r="V1" s="81">
        <f t="shared" si="0"/>
        <v>12</v>
      </c>
    </row>
    <row r="2" spans="1:22" ht="15" thickBot="1" x14ac:dyDescent="0.4">
      <c r="A2" s="80" t="s">
        <v>1464</v>
      </c>
      <c r="B2" s="81" t="s">
        <v>1463</v>
      </c>
      <c r="D2" s="83" t="s">
        <v>1465</v>
      </c>
      <c r="E2" s="84">
        <v>0</v>
      </c>
      <c r="F2" s="84">
        <f>F11</f>
        <v>10</v>
      </c>
      <c r="G2">
        <f>F2*SIN(E2/180*PI())</f>
        <v>0</v>
      </c>
      <c r="H2">
        <f t="shared" ref="H2:H11" si="1">F2*COS(E2/180*PI())</f>
        <v>10</v>
      </c>
      <c r="J2" s="85">
        <v>0.1</v>
      </c>
      <c r="K2" s="83">
        <v>1</v>
      </c>
      <c r="L2" s="84">
        <v>1</v>
      </c>
      <c r="M2" s="84">
        <v>1</v>
      </c>
      <c r="N2" s="84">
        <v>1</v>
      </c>
      <c r="O2" s="84">
        <v>1</v>
      </c>
      <c r="P2" s="84">
        <v>1</v>
      </c>
      <c r="Q2" s="84">
        <v>1</v>
      </c>
      <c r="R2" s="84">
        <v>1</v>
      </c>
      <c r="S2" s="84">
        <v>1</v>
      </c>
      <c r="T2" s="84">
        <v>1</v>
      </c>
      <c r="U2" s="84">
        <v>1</v>
      </c>
      <c r="V2" s="86">
        <v>1</v>
      </c>
    </row>
    <row r="3" spans="1:22" x14ac:dyDescent="0.35">
      <c r="A3" s="87" t="s">
        <v>1466</v>
      </c>
      <c r="B3" s="87">
        <v>73.2</v>
      </c>
      <c r="D3" s="83" t="str">
        <f>A3</f>
        <v>mmat,tot</v>
      </c>
      <c r="E3" s="88">
        <f>360/COUNTA($A$3:$A$11)</f>
        <v>40</v>
      </c>
      <c r="F3" s="88">
        <f t="shared" ref="F3:F11" si="2">B3/10</f>
        <v>7.32</v>
      </c>
      <c r="G3">
        <f t="shared" ref="G3:G11" si="3">F3*SIN(E3/180*PI())</f>
        <v>4.7052053029054672</v>
      </c>
      <c r="H3">
        <f t="shared" si="1"/>
        <v>5.6074453236309196</v>
      </c>
      <c r="J3" s="89">
        <v>0.2</v>
      </c>
      <c r="K3" s="90">
        <v>1</v>
      </c>
      <c r="L3" s="88">
        <v>1</v>
      </c>
      <c r="M3" s="88">
        <v>1</v>
      </c>
      <c r="N3" s="88">
        <v>1</v>
      </c>
      <c r="O3" s="88">
        <v>1</v>
      </c>
      <c r="P3" s="88">
        <v>1</v>
      </c>
      <c r="Q3" s="88">
        <v>1</v>
      </c>
      <c r="R3" s="88">
        <v>1</v>
      </c>
      <c r="S3" s="88">
        <v>1</v>
      </c>
      <c r="T3" s="88">
        <v>1</v>
      </c>
      <c r="U3" s="88">
        <v>1</v>
      </c>
      <c r="V3" s="91">
        <v>1</v>
      </c>
    </row>
    <row r="4" spans="1:22" x14ac:dyDescent="0.35">
      <c r="A4" s="92" t="s">
        <v>1344</v>
      </c>
      <c r="B4" s="92">
        <v>73.2</v>
      </c>
      <c r="D4" s="83" t="str">
        <f t="shared" ref="D4:D11" si="4">A4</f>
        <v>MI</v>
      </c>
      <c r="E4" s="84">
        <f>E3+360/COUNTA($A$3:$A$11)</f>
        <v>80</v>
      </c>
      <c r="F4" s="84">
        <f t="shared" si="2"/>
        <v>7.32</v>
      </c>
      <c r="G4">
        <f t="shared" si="3"/>
        <v>7.2087927520493631</v>
      </c>
      <c r="H4">
        <f t="shared" si="1"/>
        <v>1.2711046605219307</v>
      </c>
      <c r="J4" s="85">
        <v>0.3</v>
      </c>
      <c r="K4" s="83">
        <v>1</v>
      </c>
      <c r="L4" s="84">
        <v>1</v>
      </c>
      <c r="M4" s="84">
        <v>1</v>
      </c>
      <c r="N4" s="84">
        <v>1</v>
      </c>
      <c r="O4" s="84">
        <v>1</v>
      </c>
      <c r="P4" s="84">
        <v>1</v>
      </c>
      <c r="Q4" s="84">
        <v>1</v>
      </c>
      <c r="R4" s="84">
        <v>1</v>
      </c>
      <c r="S4" s="84">
        <v>1</v>
      </c>
      <c r="T4" s="84">
        <v>1</v>
      </c>
      <c r="U4" s="84">
        <v>1</v>
      </c>
      <c r="V4" s="86">
        <v>1</v>
      </c>
    </row>
    <row r="5" spans="1:22" x14ac:dyDescent="0.35">
      <c r="A5" s="92" t="s">
        <v>1347</v>
      </c>
      <c r="B5" s="92">
        <v>8.6999999999999993</v>
      </c>
      <c r="D5" s="83" t="str">
        <f t="shared" si="4"/>
        <v>MP</v>
      </c>
      <c r="E5" s="84">
        <f t="shared" ref="E5:E11" si="5">E4+360/COUNTA($A$3:$A$11)</f>
        <v>120</v>
      </c>
      <c r="F5" s="88">
        <f t="shared" si="2"/>
        <v>0.86999999999999988</v>
      </c>
      <c r="G5">
        <f t="shared" si="3"/>
        <v>0.75344210129246159</v>
      </c>
      <c r="H5">
        <f t="shared" si="1"/>
        <v>-0.43499999999999978</v>
      </c>
      <c r="J5" s="89">
        <v>0.4</v>
      </c>
      <c r="K5" s="90">
        <v>1</v>
      </c>
      <c r="L5" s="88">
        <v>1</v>
      </c>
      <c r="M5" s="88">
        <v>1</v>
      </c>
      <c r="N5" s="88">
        <v>1</v>
      </c>
      <c r="O5" s="88">
        <v>1</v>
      </c>
      <c r="P5" s="88">
        <v>1</v>
      </c>
      <c r="Q5" s="88">
        <v>1</v>
      </c>
      <c r="R5" s="88">
        <v>1</v>
      </c>
      <c r="S5" s="88">
        <v>1</v>
      </c>
      <c r="T5" s="88">
        <v>1</v>
      </c>
      <c r="U5" s="88">
        <v>1</v>
      </c>
      <c r="V5" s="91">
        <v>1</v>
      </c>
    </row>
    <row r="6" spans="1:22" x14ac:dyDescent="0.35">
      <c r="A6" s="93" t="s">
        <v>1350</v>
      </c>
      <c r="B6" s="92">
        <v>73.2</v>
      </c>
      <c r="D6" s="83" t="str">
        <f t="shared" si="4"/>
        <v>E</v>
      </c>
      <c r="E6" s="84">
        <f t="shared" si="5"/>
        <v>160</v>
      </c>
      <c r="F6" s="84">
        <f t="shared" si="2"/>
        <v>7.32</v>
      </c>
      <c r="G6">
        <f t="shared" si="3"/>
        <v>2.5035874491438963</v>
      </c>
      <c r="H6">
        <f t="shared" si="1"/>
        <v>-6.8785499841528495</v>
      </c>
      <c r="J6" s="85">
        <v>0.5</v>
      </c>
      <c r="K6" s="83">
        <v>1</v>
      </c>
      <c r="L6" s="84">
        <v>1</v>
      </c>
      <c r="M6" s="84">
        <v>1</v>
      </c>
      <c r="N6" s="84">
        <v>1</v>
      </c>
      <c r="O6" s="84">
        <v>1</v>
      </c>
      <c r="P6" s="84">
        <v>1</v>
      </c>
      <c r="Q6" s="84">
        <v>1</v>
      </c>
      <c r="R6" s="84">
        <v>1</v>
      </c>
      <c r="S6" s="84">
        <v>1</v>
      </c>
      <c r="T6" s="84">
        <v>1</v>
      </c>
      <c r="U6" s="84">
        <v>1</v>
      </c>
      <c r="V6" s="86">
        <v>1</v>
      </c>
    </row>
    <row r="7" spans="1:22" x14ac:dyDescent="0.35">
      <c r="A7" s="92" t="s">
        <v>1352</v>
      </c>
      <c r="B7" s="92">
        <v>89.5</v>
      </c>
      <c r="D7" s="83" t="str">
        <f t="shared" si="4"/>
        <v>MLI</v>
      </c>
      <c r="E7" s="84">
        <f t="shared" si="5"/>
        <v>200</v>
      </c>
      <c r="F7" s="88">
        <f t="shared" si="2"/>
        <v>8.9499999999999993</v>
      </c>
      <c r="G7">
        <f t="shared" si="3"/>
        <v>-3.0610802827647343</v>
      </c>
      <c r="H7">
        <f t="shared" si="1"/>
        <v>-8.4102489560338789</v>
      </c>
      <c r="J7" s="89">
        <v>0.6</v>
      </c>
      <c r="K7" s="90">
        <v>1</v>
      </c>
      <c r="L7" s="88">
        <v>1</v>
      </c>
      <c r="M7" s="88">
        <v>1</v>
      </c>
      <c r="N7" s="88">
        <v>1</v>
      </c>
      <c r="O7" s="88">
        <v>1</v>
      </c>
      <c r="P7" s="88">
        <v>1</v>
      </c>
      <c r="Q7" s="88">
        <v>1</v>
      </c>
      <c r="R7" s="88">
        <v>1</v>
      </c>
      <c r="S7" s="88">
        <v>1</v>
      </c>
      <c r="T7" s="88">
        <v>1</v>
      </c>
      <c r="U7" s="88">
        <v>1</v>
      </c>
      <c r="V7" s="91">
        <v>1</v>
      </c>
    </row>
    <row r="8" spans="1:22" x14ac:dyDescent="0.35">
      <c r="A8" s="92" t="s">
        <v>1467</v>
      </c>
      <c r="B8" s="92">
        <v>0</v>
      </c>
      <c r="D8" s="83" t="str">
        <f t="shared" si="4"/>
        <v>RIM</v>
      </c>
      <c r="E8" s="84">
        <f t="shared" si="5"/>
        <v>240</v>
      </c>
      <c r="F8" s="84">
        <f t="shared" si="2"/>
        <v>0</v>
      </c>
      <c r="G8">
        <f t="shared" si="3"/>
        <v>0</v>
      </c>
      <c r="H8">
        <f t="shared" si="1"/>
        <v>0</v>
      </c>
      <c r="J8" s="85">
        <v>0.7</v>
      </c>
      <c r="K8" s="83">
        <v>1</v>
      </c>
      <c r="L8" s="84">
        <v>1</v>
      </c>
      <c r="M8" s="84">
        <v>1</v>
      </c>
      <c r="N8" s="84">
        <v>1</v>
      </c>
      <c r="O8" s="84">
        <v>1</v>
      </c>
      <c r="P8" s="84">
        <v>1</v>
      </c>
      <c r="Q8" s="84">
        <v>1</v>
      </c>
      <c r="R8" s="84">
        <v>1</v>
      </c>
      <c r="S8" s="84">
        <v>1</v>
      </c>
      <c r="T8" s="84">
        <v>1</v>
      </c>
      <c r="U8" s="84">
        <v>1</v>
      </c>
      <c r="V8" s="86">
        <v>1</v>
      </c>
    </row>
    <row r="9" spans="1:22" x14ac:dyDescent="0.35">
      <c r="A9" s="92" t="s">
        <v>1468</v>
      </c>
      <c r="B9" s="92">
        <v>10</v>
      </c>
      <c r="D9" s="83" t="str">
        <f t="shared" si="4"/>
        <v>BFM</v>
      </c>
      <c r="E9" s="84">
        <f t="shared" si="5"/>
        <v>280</v>
      </c>
      <c r="F9" s="88">
        <f t="shared" si="2"/>
        <v>1</v>
      </c>
      <c r="G9">
        <f t="shared" si="3"/>
        <v>-0.98480775301220813</v>
      </c>
      <c r="H9">
        <f t="shared" si="1"/>
        <v>0.17364817766692997</v>
      </c>
      <c r="J9" s="89">
        <v>0.8</v>
      </c>
      <c r="K9" s="90">
        <v>1</v>
      </c>
      <c r="L9" s="88">
        <v>1</v>
      </c>
      <c r="M9" s="88">
        <v>1</v>
      </c>
      <c r="N9" s="88">
        <v>1</v>
      </c>
      <c r="O9" s="88">
        <v>1</v>
      </c>
      <c r="P9" s="88">
        <v>1</v>
      </c>
      <c r="Q9" s="88">
        <v>1</v>
      </c>
      <c r="R9" s="88">
        <v>1</v>
      </c>
      <c r="S9" s="88">
        <v>1</v>
      </c>
      <c r="T9" s="88">
        <v>1</v>
      </c>
      <c r="U9" s="88">
        <v>1</v>
      </c>
      <c r="V9" s="91">
        <v>1</v>
      </c>
    </row>
    <row r="10" spans="1:22" x14ac:dyDescent="0.35">
      <c r="A10" s="92" t="s">
        <v>1469</v>
      </c>
      <c r="B10" s="92">
        <v>21.3</v>
      </c>
      <c r="D10" s="83" t="str">
        <f t="shared" si="4"/>
        <v>wrecycl,mat</v>
      </c>
      <c r="E10" s="84">
        <f t="shared" si="5"/>
        <v>320</v>
      </c>
      <c r="F10" s="84">
        <f t="shared" si="2"/>
        <v>2.13</v>
      </c>
      <c r="G10">
        <f t="shared" si="3"/>
        <v>-1.3691376086323293</v>
      </c>
      <c r="H10">
        <f t="shared" si="1"/>
        <v>1.6316746638434225</v>
      </c>
      <c r="J10" s="85">
        <v>0.9</v>
      </c>
      <c r="K10" s="83">
        <v>1</v>
      </c>
      <c r="L10" s="84">
        <v>1</v>
      </c>
      <c r="M10" s="84">
        <v>1</v>
      </c>
      <c r="N10" s="84">
        <v>1</v>
      </c>
      <c r="O10" s="84">
        <v>1</v>
      </c>
      <c r="P10" s="84">
        <v>1</v>
      </c>
      <c r="Q10" s="84">
        <v>1</v>
      </c>
      <c r="R10" s="84">
        <v>1</v>
      </c>
      <c r="S10" s="84">
        <v>1</v>
      </c>
      <c r="T10" s="84">
        <v>1</v>
      </c>
      <c r="U10" s="84">
        <v>1</v>
      </c>
      <c r="V10" s="86">
        <v>1</v>
      </c>
    </row>
    <row r="11" spans="1:22" ht="15" thickBot="1" x14ac:dyDescent="0.4">
      <c r="A11" s="94" t="s">
        <v>1470</v>
      </c>
      <c r="B11" s="94">
        <v>100</v>
      </c>
      <c r="D11" s="83" t="str">
        <f t="shared" si="4"/>
        <v>wrecov,prod</v>
      </c>
      <c r="E11" s="84">
        <f t="shared" si="5"/>
        <v>360</v>
      </c>
      <c r="F11" s="88">
        <f t="shared" si="2"/>
        <v>10</v>
      </c>
      <c r="G11">
        <f t="shared" si="3"/>
        <v>-2.45029690981724E-15</v>
      </c>
      <c r="H11">
        <f t="shared" si="1"/>
        <v>10</v>
      </c>
      <c r="J11" s="95">
        <v>1</v>
      </c>
      <c r="K11" s="96">
        <v>1</v>
      </c>
      <c r="L11" s="97">
        <v>1</v>
      </c>
      <c r="M11" s="97">
        <v>1</v>
      </c>
      <c r="N11" s="97">
        <v>1</v>
      </c>
      <c r="O11" s="97">
        <v>1</v>
      </c>
      <c r="P11" s="97">
        <v>1</v>
      </c>
      <c r="Q11" s="97">
        <v>1</v>
      </c>
      <c r="R11" s="97">
        <v>1</v>
      </c>
      <c r="S11" s="97">
        <v>1</v>
      </c>
      <c r="T11" s="97">
        <v>1</v>
      </c>
      <c r="U11" s="97">
        <v>1</v>
      </c>
      <c r="V11" s="98">
        <v>1</v>
      </c>
    </row>
    <row r="14" spans="1:22" x14ac:dyDescent="0.35">
      <c r="F14" s="99"/>
      <c r="G14" s="99"/>
      <c r="H14" s="9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BF10A-1A49-4069-9EEC-0DEDC123534E}">
  <sheetPr>
    <tabColor theme="1" tint="0.14999847407452621"/>
  </sheetPr>
  <dimension ref="A1:AB21"/>
  <sheetViews>
    <sheetView workbookViewId="0">
      <selection activeCell="B7" sqref="B7"/>
    </sheetView>
  </sheetViews>
  <sheetFormatPr defaultRowHeight="14.5" x14ac:dyDescent="0.35"/>
  <cols>
    <col min="1" max="1" width="16.7265625" customWidth="1"/>
    <col min="2" max="2" width="20.453125" customWidth="1"/>
    <col min="5" max="5" width="9" customWidth="1"/>
    <col min="6" max="6" width="23" customWidth="1"/>
    <col min="7" max="7" width="8.1796875" customWidth="1"/>
    <col min="8" max="8" width="16.7265625" customWidth="1"/>
    <col min="10" max="10" width="6.54296875" customWidth="1"/>
    <col min="11" max="11" width="5.7265625" customWidth="1"/>
    <col min="12" max="12" width="5.81640625" customWidth="1"/>
    <col min="13" max="13" width="6.26953125" customWidth="1"/>
    <col min="14" max="14" width="5.81640625" customWidth="1"/>
    <col min="15" max="15" width="6.7265625" customWidth="1"/>
    <col min="16" max="16" width="5.7265625" customWidth="1"/>
    <col min="17" max="17" width="5.1796875" customWidth="1"/>
    <col min="18" max="18" width="6.26953125" customWidth="1"/>
    <col min="19" max="19" width="6" customWidth="1"/>
    <col min="20" max="20" width="5.7265625" customWidth="1"/>
    <col min="21" max="21" width="6.26953125" customWidth="1"/>
    <col min="22" max="22" width="6" customWidth="1"/>
  </cols>
  <sheetData>
    <row r="1" spans="1:28" x14ac:dyDescent="0.35">
      <c r="A1" s="79" t="s">
        <v>1471</v>
      </c>
      <c r="D1" s="80" t="s">
        <v>1464</v>
      </c>
      <c r="E1" s="81" t="s">
        <v>1461</v>
      </c>
      <c r="F1" s="81" t="s">
        <v>1462</v>
      </c>
      <c r="H1" s="82" t="s">
        <v>1472</v>
      </c>
      <c r="J1" s="100"/>
      <c r="K1" s="100">
        <v>1</v>
      </c>
      <c r="L1" s="101">
        <v>2</v>
      </c>
      <c r="M1" s="101">
        <v>3</v>
      </c>
      <c r="N1" s="101">
        <v>4</v>
      </c>
      <c r="O1" s="101">
        <v>5</v>
      </c>
      <c r="P1" s="101">
        <v>6</v>
      </c>
      <c r="Q1" s="101">
        <v>7</v>
      </c>
      <c r="R1" s="101">
        <v>8</v>
      </c>
      <c r="S1" s="101">
        <v>9</v>
      </c>
      <c r="T1" s="101">
        <v>10</v>
      </c>
      <c r="U1" s="101">
        <v>11</v>
      </c>
      <c r="V1" s="102">
        <v>12</v>
      </c>
      <c r="W1" s="103">
        <v>13</v>
      </c>
      <c r="X1" s="103">
        <v>14</v>
      </c>
      <c r="Y1" s="103">
        <v>15</v>
      </c>
      <c r="Z1" s="103">
        <v>16</v>
      </c>
      <c r="AA1" s="104">
        <f>Z1+1</f>
        <v>17</v>
      </c>
      <c r="AB1" s="104">
        <f t="shared" ref="AB1" si="0">AA1+1</f>
        <v>18</v>
      </c>
    </row>
    <row r="2" spans="1:28" ht="15" thickBot="1" x14ac:dyDescent="0.4">
      <c r="A2" s="80" t="s">
        <v>1464</v>
      </c>
      <c r="B2" s="81" t="s">
        <v>1473</v>
      </c>
      <c r="D2" s="83" t="s">
        <v>1465</v>
      </c>
      <c r="E2" s="84">
        <v>0</v>
      </c>
      <c r="F2" s="84">
        <f>F20</f>
        <v>10</v>
      </c>
      <c r="G2">
        <f t="shared" ref="G2:G11" si="1">F2*SIN(E2/180*PI())</f>
        <v>0</v>
      </c>
      <c r="H2">
        <f t="shared" ref="H2:H11" si="2">F2*COS(E2/180*PI())</f>
        <v>10</v>
      </c>
      <c r="J2" s="85">
        <v>0.1</v>
      </c>
      <c r="K2" s="83">
        <v>1</v>
      </c>
      <c r="L2" s="84">
        <v>1</v>
      </c>
      <c r="M2" s="84">
        <v>1</v>
      </c>
      <c r="N2" s="84">
        <v>1</v>
      </c>
      <c r="O2" s="84">
        <v>1</v>
      </c>
      <c r="P2" s="84">
        <v>1</v>
      </c>
      <c r="Q2" s="84">
        <v>1</v>
      </c>
      <c r="R2" s="84">
        <v>1</v>
      </c>
      <c r="S2" s="84">
        <v>1</v>
      </c>
      <c r="T2" s="84">
        <v>1</v>
      </c>
      <c r="U2" s="84">
        <v>1</v>
      </c>
      <c r="V2" s="86">
        <v>1</v>
      </c>
      <c r="W2" s="86">
        <v>1</v>
      </c>
      <c r="X2" s="86">
        <v>1</v>
      </c>
      <c r="Y2" s="86">
        <v>1</v>
      </c>
      <c r="Z2" s="86">
        <v>1</v>
      </c>
      <c r="AA2" s="86">
        <v>1</v>
      </c>
      <c r="AB2" s="86">
        <v>1</v>
      </c>
    </row>
    <row r="3" spans="1:28" x14ac:dyDescent="0.35">
      <c r="A3" s="105" t="s">
        <v>1474</v>
      </c>
      <c r="B3" s="87">
        <v>21.9</v>
      </c>
      <c r="D3" s="83" t="str">
        <f>A3</f>
        <v>mhaz,mat</v>
      </c>
      <c r="E3" s="88">
        <f>360/COUNTA($A$3:$A$20)</f>
        <v>20</v>
      </c>
      <c r="F3" s="88">
        <f t="shared" ref="F3:F11" si="3">B3/10</f>
        <v>2.19</v>
      </c>
      <c r="G3">
        <f t="shared" si="1"/>
        <v>0.74902411388321444</v>
      </c>
      <c r="H3">
        <f t="shared" si="2"/>
        <v>2.0579268395211394</v>
      </c>
      <c r="J3" s="89">
        <v>0.2</v>
      </c>
      <c r="K3" s="90">
        <v>1</v>
      </c>
      <c r="L3" s="88">
        <v>1</v>
      </c>
      <c r="M3" s="88">
        <v>1</v>
      </c>
      <c r="N3" s="88">
        <v>1</v>
      </c>
      <c r="O3" s="88">
        <v>1</v>
      </c>
      <c r="P3" s="88">
        <v>1</v>
      </c>
      <c r="Q3" s="88">
        <v>1</v>
      </c>
      <c r="R3" s="88">
        <v>1</v>
      </c>
      <c r="S3" s="88">
        <v>1</v>
      </c>
      <c r="T3" s="88">
        <v>1</v>
      </c>
      <c r="U3" s="88">
        <v>1</v>
      </c>
      <c r="V3" s="91">
        <v>1</v>
      </c>
      <c r="W3" s="91">
        <v>1</v>
      </c>
      <c r="X3" s="91">
        <v>1</v>
      </c>
      <c r="Y3" s="91">
        <v>1</v>
      </c>
      <c r="Z3" s="91">
        <v>1</v>
      </c>
      <c r="AA3" s="91">
        <v>1</v>
      </c>
      <c r="AB3" s="91">
        <v>1</v>
      </c>
    </row>
    <row r="4" spans="1:28" x14ac:dyDescent="0.35">
      <c r="A4" s="92" t="s">
        <v>1475</v>
      </c>
      <c r="B4" s="106">
        <v>21.9</v>
      </c>
      <c r="D4" s="83" t="str">
        <f t="shared" ref="D4:D10" si="4">A4</f>
        <v>mhaz,mat,spec</v>
      </c>
      <c r="E4" s="84">
        <f>E3+360/COUNTA($A$3:$A$20)</f>
        <v>40</v>
      </c>
      <c r="F4" s="84">
        <f t="shared" si="3"/>
        <v>2.19</v>
      </c>
      <c r="G4">
        <f t="shared" si="1"/>
        <v>1.4077048652135209</v>
      </c>
      <c r="H4">
        <f t="shared" si="2"/>
        <v>1.6776373304305618</v>
      </c>
      <c r="J4" s="85">
        <v>0.3</v>
      </c>
      <c r="K4" s="83">
        <v>1</v>
      </c>
      <c r="L4" s="84">
        <v>1</v>
      </c>
      <c r="M4" s="84">
        <v>1</v>
      </c>
      <c r="N4" s="84">
        <v>1</v>
      </c>
      <c r="O4" s="84">
        <v>1</v>
      </c>
      <c r="P4" s="84">
        <v>1</v>
      </c>
      <c r="Q4" s="84">
        <v>1</v>
      </c>
      <c r="R4" s="84">
        <v>1</v>
      </c>
      <c r="S4" s="84">
        <v>1</v>
      </c>
      <c r="T4" s="84">
        <v>1</v>
      </c>
      <c r="U4" s="84">
        <v>1</v>
      </c>
      <c r="V4" s="86">
        <v>1</v>
      </c>
      <c r="W4" s="86">
        <v>1</v>
      </c>
      <c r="X4" s="86">
        <v>1</v>
      </c>
      <c r="Y4" s="86">
        <v>1</v>
      </c>
      <c r="Z4" s="86">
        <v>1</v>
      </c>
      <c r="AA4" s="86">
        <v>1</v>
      </c>
      <c r="AB4" s="86">
        <v>1</v>
      </c>
    </row>
    <row r="5" spans="1:28" x14ac:dyDescent="0.35">
      <c r="A5" s="106" t="s">
        <v>1476</v>
      </c>
      <c r="B5" s="106">
        <v>94.1</v>
      </c>
      <c r="D5" s="83" t="str">
        <f t="shared" si="4"/>
        <v>SHacute tox</v>
      </c>
      <c r="E5" s="84">
        <f t="shared" ref="E5:E20" si="5">E4+360/COUNTA($A$3:$A$20)</f>
        <v>60</v>
      </c>
      <c r="F5" s="88">
        <f t="shared" si="3"/>
        <v>9.41</v>
      </c>
      <c r="G5">
        <f t="shared" si="1"/>
        <v>8.1492990496115674</v>
      </c>
      <c r="H5">
        <f t="shared" si="2"/>
        <v>4.705000000000001</v>
      </c>
      <c r="J5" s="89">
        <v>0.4</v>
      </c>
      <c r="K5" s="90">
        <v>1</v>
      </c>
      <c r="L5" s="88">
        <v>1</v>
      </c>
      <c r="M5" s="88">
        <v>1</v>
      </c>
      <c r="N5" s="88">
        <v>1</v>
      </c>
      <c r="O5" s="88">
        <v>1</v>
      </c>
      <c r="P5" s="88">
        <v>1</v>
      </c>
      <c r="Q5" s="88">
        <v>1</v>
      </c>
      <c r="R5" s="88">
        <v>1</v>
      </c>
      <c r="S5" s="88">
        <v>1</v>
      </c>
      <c r="T5" s="88">
        <v>1</v>
      </c>
      <c r="U5" s="88">
        <v>1</v>
      </c>
      <c r="V5" s="91">
        <v>1</v>
      </c>
      <c r="W5" s="91">
        <v>1</v>
      </c>
      <c r="X5" s="91">
        <v>1</v>
      </c>
      <c r="Y5" s="91">
        <v>1</v>
      </c>
      <c r="Z5" s="91">
        <v>1</v>
      </c>
      <c r="AA5" s="91">
        <v>1</v>
      </c>
      <c r="AB5" s="91">
        <v>1</v>
      </c>
    </row>
    <row r="6" spans="1:28" x14ac:dyDescent="0.35">
      <c r="A6" s="92" t="s">
        <v>1373</v>
      </c>
      <c r="B6" s="92">
        <v>34.9</v>
      </c>
      <c r="D6" s="83" t="str">
        <f t="shared" si="4"/>
        <v>EQ</v>
      </c>
      <c r="E6" s="84">
        <f t="shared" si="5"/>
        <v>80</v>
      </c>
      <c r="F6" s="84">
        <f t="shared" si="3"/>
        <v>3.4899999999999998</v>
      </c>
      <c r="G6">
        <f t="shared" si="1"/>
        <v>3.4369790580126058</v>
      </c>
      <c r="H6">
        <f t="shared" si="2"/>
        <v>0.6060321400575871</v>
      </c>
      <c r="J6" s="85">
        <v>0.5</v>
      </c>
      <c r="K6" s="83">
        <v>1</v>
      </c>
      <c r="L6" s="84">
        <v>1</v>
      </c>
      <c r="M6" s="84">
        <v>1</v>
      </c>
      <c r="N6" s="84">
        <v>1</v>
      </c>
      <c r="O6" s="84">
        <v>1</v>
      </c>
      <c r="P6" s="84">
        <v>1</v>
      </c>
      <c r="Q6" s="84">
        <v>1</v>
      </c>
      <c r="R6" s="84">
        <v>1</v>
      </c>
      <c r="S6" s="84">
        <v>1</v>
      </c>
      <c r="T6" s="84">
        <v>1</v>
      </c>
      <c r="U6" s="84">
        <v>1</v>
      </c>
      <c r="V6" s="86">
        <v>1</v>
      </c>
      <c r="W6" s="86">
        <v>1</v>
      </c>
      <c r="X6" s="86">
        <v>1</v>
      </c>
      <c r="Y6" s="86">
        <v>1</v>
      </c>
      <c r="Z6" s="86">
        <v>1</v>
      </c>
      <c r="AA6" s="86">
        <v>1</v>
      </c>
      <c r="AB6" s="86">
        <v>1</v>
      </c>
    </row>
    <row r="7" spans="1:28" x14ac:dyDescent="0.35">
      <c r="A7" s="92" t="s">
        <v>1477</v>
      </c>
      <c r="B7" s="92">
        <v>95.9</v>
      </c>
      <c r="D7" s="83" t="str">
        <f t="shared" si="4"/>
        <v>EHair</v>
      </c>
      <c r="E7" s="84">
        <f t="shared" si="5"/>
        <v>100</v>
      </c>
      <c r="F7" s="88">
        <f t="shared" si="3"/>
        <v>9.59</v>
      </c>
      <c r="G7">
        <f t="shared" si="1"/>
        <v>9.4443063513870751</v>
      </c>
      <c r="H7">
        <f t="shared" si="2"/>
        <v>-1.6652860238258615</v>
      </c>
      <c r="J7" s="89">
        <v>0.6</v>
      </c>
      <c r="K7" s="90">
        <v>1</v>
      </c>
      <c r="L7" s="88">
        <v>1</v>
      </c>
      <c r="M7" s="88">
        <v>1</v>
      </c>
      <c r="N7" s="88">
        <v>1</v>
      </c>
      <c r="O7" s="88">
        <v>1</v>
      </c>
      <c r="P7" s="88">
        <v>1</v>
      </c>
      <c r="Q7" s="88">
        <v>1</v>
      </c>
      <c r="R7" s="88">
        <v>1</v>
      </c>
      <c r="S7" s="88">
        <v>1</v>
      </c>
      <c r="T7" s="88">
        <v>1</v>
      </c>
      <c r="U7" s="88">
        <v>1</v>
      </c>
      <c r="V7" s="91">
        <v>1</v>
      </c>
      <c r="W7" s="91">
        <v>1</v>
      </c>
      <c r="X7" s="91">
        <v>1</v>
      </c>
      <c r="Y7" s="91">
        <v>1</v>
      </c>
      <c r="Z7" s="91">
        <v>1</v>
      </c>
      <c r="AA7" s="91">
        <v>1</v>
      </c>
      <c r="AB7" s="91">
        <v>1</v>
      </c>
    </row>
    <row r="8" spans="1:28" x14ac:dyDescent="0.35">
      <c r="A8" s="92" t="s">
        <v>1478</v>
      </c>
      <c r="B8" s="92">
        <v>94.7</v>
      </c>
      <c r="D8" s="83" t="str">
        <f t="shared" si="4"/>
        <v>EHwater</v>
      </c>
      <c r="E8" s="84">
        <f t="shared" si="5"/>
        <v>120</v>
      </c>
      <c r="F8" s="84">
        <f t="shared" si="3"/>
        <v>9.4700000000000006</v>
      </c>
      <c r="G8">
        <f t="shared" si="1"/>
        <v>8.2012605738386348</v>
      </c>
      <c r="H8">
        <f t="shared" si="2"/>
        <v>-4.7349999999999985</v>
      </c>
      <c r="J8" s="85">
        <v>0.7</v>
      </c>
      <c r="K8" s="83">
        <v>1</v>
      </c>
      <c r="L8" s="84">
        <v>1</v>
      </c>
      <c r="M8" s="84">
        <v>1</v>
      </c>
      <c r="N8" s="84">
        <v>1</v>
      </c>
      <c r="O8" s="84">
        <v>1</v>
      </c>
      <c r="P8" s="84">
        <v>1</v>
      </c>
      <c r="Q8" s="84">
        <v>1</v>
      </c>
      <c r="R8" s="84">
        <v>1</v>
      </c>
      <c r="S8" s="84">
        <v>1</v>
      </c>
      <c r="T8" s="84">
        <v>1</v>
      </c>
      <c r="U8" s="84">
        <v>1</v>
      </c>
      <c r="V8" s="86">
        <v>1</v>
      </c>
      <c r="W8" s="86">
        <v>1</v>
      </c>
      <c r="X8" s="86">
        <v>1</v>
      </c>
      <c r="Y8" s="86">
        <v>1</v>
      </c>
      <c r="Z8" s="86">
        <v>1</v>
      </c>
      <c r="AA8" s="86">
        <v>1</v>
      </c>
      <c r="AB8" s="86">
        <v>1</v>
      </c>
    </row>
    <row r="9" spans="1:28" x14ac:dyDescent="0.35">
      <c r="A9" s="92" t="s">
        <v>1479</v>
      </c>
      <c r="B9" s="92">
        <v>100</v>
      </c>
      <c r="D9" s="83" t="str">
        <f t="shared" si="4"/>
        <v>EHsolid</v>
      </c>
      <c r="E9" s="84">
        <f t="shared" si="5"/>
        <v>140</v>
      </c>
      <c r="F9" s="88">
        <f t="shared" si="3"/>
        <v>10</v>
      </c>
      <c r="G9">
        <f t="shared" si="1"/>
        <v>6.4278760968653952</v>
      </c>
      <c r="H9">
        <f t="shared" si="2"/>
        <v>-7.660444431189779</v>
      </c>
      <c r="J9" s="89">
        <v>0.8</v>
      </c>
      <c r="K9" s="90">
        <v>1</v>
      </c>
      <c r="L9" s="88">
        <v>1</v>
      </c>
      <c r="M9" s="88">
        <v>1</v>
      </c>
      <c r="N9" s="88">
        <v>1</v>
      </c>
      <c r="O9" s="88">
        <v>1</v>
      </c>
      <c r="P9" s="88">
        <v>1</v>
      </c>
      <c r="Q9" s="88">
        <v>1</v>
      </c>
      <c r="R9" s="88">
        <v>1</v>
      </c>
      <c r="S9" s="88">
        <v>1</v>
      </c>
      <c r="T9" s="88">
        <v>1</v>
      </c>
      <c r="U9" s="88">
        <v>1</v>
      </c>
      <c r="V9" s="91">
        <v>1</v>
      </c>
      <c r="W9" s="91">
        <v>1</v>
      </c>
      <c r="X9" s="91">
        <v>1</v>
      </c>
      <c r="Y9" s="91">
        <v>1</v>
      </c>
      <c r="Z9" s="91">
        <v>1</v>
      </c>
      <c r="AA9" s="91">
        <v>1</v>
      </c>
      <c r="AB9" s="91">
        <v>1</v>
      </c>
    </row>
    <row r="10" spans="1:28" x14ac:dyDescent="0.35">
      <c r="A10" s="92" t="s">
        <v>1480</v>
      </c>
      <c r="B10" s="92">
        <v>76</v>
      </c>
      <c r="D10" s="83" t="str">
        <f t="shared" si="4"/>
        <v>EHbioacc</v>
      </c>
      <c r="E10" s="84">
        <f t="shared" si="5"/>
        <v>160</v>
      </c>
      <c r="F10" s="84">
        <f t="shared" si="3"/>
        <v>7.6</v>
      </c>
      <c r="G10">
        <f t="shared" si="1"/>
        <v>2.5993530892750836</v>
      </c>
      <c r="H10">
        <f t="shared" si="2"/>
        <v>-7.1416639179729025</v>
      </c>
      <c r="J10" s="85">
        <v>0.9</v>
      </c>
      <c r="K10" s="83">
        <v>1</v>
      </c>
      <c r="L10" s="84">
        <v>1</v>
      </c>
      <c r="M10" s="84">
        <v>1</v>
      </c>
      <c r="N10" s="84">
        <v>1</v>
      </c>
      <c r="O10" s="84">
        <v>1</v>
      </c>
      <c r="P10" s="84">
        <v>1</v>
      </c>
      <c r="Q10" s="84">
        <v>1</v>
      </c>
      <c r="R10" s="84">
        <v>1</v>
      </c>
      <c r="S10" s="84">
        <v>1</v>
      </c>
      <c r="T10" s="84">
        <v>1</v>
      </c>
      <c r="U10" s="84">
        <v>1</v>
      </c>
      <c r="V10" s="86">
        <v>1</v>
      </c>
      <c r="W10" s="86">
        <v>1</v>
      </c>
      <c r="X10" s="86">
        <v>1</v>
      </c>
      <c r="Y10" s="86">
        <v>1</v>
      </c>
      <c r="Z10" s="86">
        <v>1</v>
      </c>
      <c r="AA10" s="86">
        <v>1</v>
      </c>
      <c r="AB10" s="86">
        <v>1</v>
      </c>
    </row>
    <row r="11" spans="1:28" x14ac:dyDescent="0.35">
      <c r="A11" s="92" t="s">
        <v>1481</v>
      </c>
      <c r="B11" s="92">
        <v>1.9</v>
      </c>
      <c r="D11" s="83" t="str">
        <f>A11</f>
        <v>ms,tot</v>
      </c>
      <c r="E11" s="84">
        <f t="shared" si="5"/>
        <v>180</v>
      </c>
      <c r="F11" s="88">
        <f t="shared" si="3"/>
        <v>0.19</v>
      </c>
      <c r="G11">
        <f t="shared" si="1"/>
        <v>2.3277820643263779E-17</v>
      </c>
      <c r="H11">
        <f t="shared" si="2"/>
        <v>-0.19</v>
      </c>
      <c r="J11" s="95">
        <v>1</v>
      </c>
      <c r="K11" s="96">
        <v>1</v>
      </c>
      <c r="L11" s="97">
        <v>1</v>
      </c>
      <c r="M11" s="97">
        <v>1</v>
      </c>
      <c r="N11" s="97">
        <v>1</v>
      </c>
      <c r="O11" s="97">
        <v>1</v>
      </c>
      <c r="P11" s="97">
        <v>1</v>
      </c>
      <c r="Q11" s="97">
        <v>1</v>
      </c>
      <c r="R11" s="97">
        <v>1</v>
      </c>
      <c r="S11" s="97">
        <v>1</v>
      </c>
      <c r="T11" s="97">
        <v>1</v>
      </c>
      <c r="U11" s="97">
        <v>1</v>
      </c>
      <c r="V11" s="98">
        <v>1</v>
      </c>
      <c r="W11" s="98">
        <v>1</v>
      </c>
      <c r="X11" s="98">
        <v>1</v>
      </c>
      <c r="Y11" s="98">
        <v>1</v>
      </c>
      <c r="Z11" s="98">
        <v>1</v>
      </c>
      <c r="AA11" s="98">
        <v>1</v>
      </c>
      <c r="AB11" s="98">
        <v>1</v>
      </c>
    </row>
    <row r="12" spans="1:28" x14ac:dyDescent="0.35">
      <c r="A12" s="92" t="s">
        <v>1482</v>
      </c>
      <c r="B12" s="92">
        <v>1.9</v>
      </c>
      <c r="D12" s="83" t="str">
        <f t="shared" ref="D12:D20" si="6">A12</f>
        <v>ms,spec</v>
      </c>
      <c r="E12" s="84">
        <f t="shared" si="5"/>
        <v>200</v>
      </c>
      <c r="F12" s="88">
        <f t="shared" ref="F12:F20" si="7">B12/10</f>
        <v>0.19</v>
      </c>
      <c r="G12">
        <f t="shared" ref="G12:G20" si="8">F12*SIN(E12/180*PI())</f>
        <v>-6.4983827231877039E-2</v>
      </c>
      <c r="H12">
        <f t="shared" ref="H12:H20" si="9">F12*COS(E12/180*PI())</f>
        <v>-0.17854159794932262</v>
      </c>
    </row>
    <row r="13" spans="1:28" x14ac:dyDescent="0.35">
      <c r="A13" s="92" t="s">
        <v>1483</v>
      </c>
      <c r="B13" s="92">
        <v>27.6</v>
      </c>
      <c r="D13" s="83" t="str">
        <f t="shared" si="6"/>
        <v>ms,recov</v>
      </c>
      <c r="E13" s="84">
        <f t="shared" si="5"/>
        <v>220</v>
      </c>
      <c r="F13" s="88">
        <f t="shared" si="7"/>
        <v>2.7600000000000002</v>
      </c>
      <c r="G13">
        <f t="shared" si="8"/>
        <v>-1.7740938027348485</v>
      </c>
      <c r="H13">
        <f t="shared" si="9"/>
        <v>-2.1142826630083795</v>
      </c>
    </row>
    <row r="14" spans="1:28" x14ac:dyDescent="0.35">
      <c r="A14" s="92" t="s">
        <v>1484</v>
      </c>
      <c r="B14" s="92">
        <v>27.6</v>
      </c>
      <c r="D14" s="83" t="str">
        <f t="shared" si="6"/>
        <v>ms,disp</v>
      </c>
      <c r="E14" s="84">
        <f t="shared" si="5"/>
        <v>240</v>
      </c>
      <c r="F14" s="88">
        <f t="shared" si="7"/>
        <v>2.7600000000000002</v>
      </c>
      <c r="G14">
        <f t="shared" si="8"/>
        <v>-2.3902301144450502</v>
      </c>
      <c r="H14">
        <f t="shared" si="9"/>
        <v>-1.3800000000000014</v>
      </c>
    </row>
    <row r="15" spans="1:28" x14ac:dyDescent="0.35">
      <c r="A15" s="92" t="s">
        <v>1485</v>
      </c>
      <c r="B15" s="92">
        <v>27.6</v>
      </c>
      <c r="D15" s="83" t="str">
        <f t="shared" si="6"/>
        <v>ws,recycl</v>
      </c>
      <c r="E15" s="84">
        <f t="shared" si="5"/>
        <v>260</v>
      </c>
      <c r="F15" s="88">
        <f t="shared" si="7"/>
        <v>2.7600000000000002</v>
      </c>
      <c r="G15">
        <f t="shared" si="8"/>
        <v>-2.7180693983136943</v>
      </c>
      <c r="H15">
        <f t="shared" si="9"/>
        <v>-0.47926897036072774</v>
      </c>
    </row>
    <row r="16" spans="1:28" x14ac:dyDescent="0.35">
      <c r="A16" s="92" t="s">
        <v>1486</v>
      </c>
      <c r="B16" s="92">
        <v>27.6</v>
      </c>
      <c r="D16" s="83" t="str">
        <f t="shared" si="6"/>
        <v>ws,non-recycl</v>
      </c>
      <c r="E16" s="84">
        <f t="shared" si="5"/>
        <v>280</v>
      </c>
      <c r="F16" s="88">
        <f t="shared" si="7"/>
        <v>2.7600000000000002</v>
      </c>
      <c r="G16">
        <f t="shared" si="8"/>
        <v>-2.7180693983136948</v>
      </c>
      <c r="H16">
        <f t="shared" si="9"/>
        <v>0.47926897036072674</v>
      </c>
    </row>
    <row r="17" spans="1:8" x14ac:dyDescent="0.35">
      <c r="A17" s="92" t="s">
        <v>1487</v>
      </c>
      <c r="B17" s="92">
        <v>100</v>
      </c>
      <c r="D17" s="83" t="str">
        <f t="shared" si="6"/>
        <v>ws,haz</v>
      </c>
      <c r="E17" s="84">
        <f t="shared" si="5"/>
        <v>300</v>
      </c>
      <c r="F17" s="88">
        <f t="shared" si="7"/>
        <v>10</v>
      </c>
      <c r="G17">
        <f t="shared" si="8"/>
        <v>-8.6602540378443855</v>
      </c>
      <c r="H17">
        <f t="shared" si="9"/>
        <v>5.0000000000000009</v>
      </c>
    </row>
    <row r="18" spans="1:8" x14ac:dyDescent="0.35">
      <c r="A18" s="92" t="s">
        <v>1488</v>
      </c>
      <c r="B18" s="92">
        <v>100</v>
      </c>
      <c r="D18" s="83" t="str">
        <f t="shared" si="6"/>
        <v>ms,haz</v>
      </c>
      <c r="E18" s="84">
        <f t="shared" si="5"/>
        <v>320</v>
      </c>
      <c r="F18" s="88">
        <f t="shared" si="7"/>
        <v>10</v>
      </c>
      <c r="G18">
        <f t="shared" si="8"/>
        <v>-6.4278760968653961</v>
      </c>
      <c r="H18">
        <f t="shared" si="9"/>
        <v>7.6604444311897781</v>
      </c>
    </row>
    <row r="19" spans="1:8" x14ac:dyDescent="0.35">
      <c r="A19" s="92" t="s">
        <v>1489</v>
      </c>
      <c r="B19" s="92">
        <v>100</v>
      </c>
      <c r="D19" s="83" t="str">
        <f t="shared" si="6"/>
        <v>ms,haz,spec</v>
      </c>
      <c r="E19" s="84">
        <f t="shared" si="5"/>
        <v>340</v>
      </c>
      <c r="F19" s="88">
        <f t="shared" si="7"/>
        <v>10</v>
      </c>
      <c r="G19">
        <f t="shared" si="8"/>
        <v>-3.4202014332566941</v>
      </c>
      <c r="H19">
        <f t="shared" si="9"/>
        <v>9.3969262078590816</v>
      </c>
    </row>
    <row r="20" spans="1:8" ht="15" thickBot="1" x14ac:dyDescent="0.4">
      <c r="A20" s="94" t="s">
        <v>1490</v>
      </c>
      <c r="B20" s="94">
        <v>100</v>
      </c>
      <c r="D20" s="83" t="str">
        <f t="shared" si="6"/>
        <v>ms,n-haz</v>
      </c>
      <c r="E20" s="84">
        <f t="shared" si="5"/>
        <v>360</v>
      </c>
      <c r="F20" s="88">
        <f t="shared" si="7"/>
        <v>10</v>
      </c>
      <c r="G20">
        <f t="shared" si="8"/>
        <v>-2.45029690981724E-15</v>
      </c>
      <c r="H20">
        <f t="shared" si="9"/>
        <v>10</v>
      </c>
    </row>
    <row r="21" spans="1:8" x14ac:dyDescent="0.35">
      <c r="B21" s="107"/>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F48D4-B008-4366-9C40-0BCEE16BE08F}">
  <sheetPr>
    <tabColor theme="1" tint="0.14999847407452621"/>
  </sheetPr>
  <dimension ref="A1:AB21"/>
  <sheetViews>
    <sheetView topLeftCell="A11" workbookViewId="0">
      <selection activeCell="B3" sqref="B3:B11"/>
    </sheetView>
  </sheetViews>
  <sheetFormatPr defaultRowHeight="14.5" x14ac:dyDescent="0.35"/>
  <cols>
    <col min="1" max="1" width="16.7265625" customWidth="1"/>
    <col min="2" max="2" width="20.453125" customWidth="1"/>
    <col min="5" max="5" width="9" customWidth="1"/>
    <col min="6" max="6" width="23" customWidth="1"/>
    <col min="7" max="7" width="8.1796875" customWidth="1"/>
    <col min="8" max="8" width="16.7265625" customWidth="1"/>
    <col min="10" max="10" width="6.54296875" customWidth="1"/>
    <col min="11" max="11" width="5.7265625" customWidth="1"/>
    <col min="12" max="12" width="5.81640625" customWidth="1"/>
    <col min="13" max="13" width="6.26953125" customWidth="1"/>
    <col min="14" max="14" width="5.81640625" customWidth="1"/>
    <col min="15" max="15" width="6.7265625" customWidth="1"/>
    <col min="16" max="16" width="5.7265625" customWidth="1"/>
    <col min="17" max="17" width="5.1796875" customWidth="1"/>
    <col min="18" max="18" width="6.26953125" customWidth="1"/>
    <col min="19" max="19" width="6" customWidth="1"/>
    <col min="20" max="20" width="5.7265625" customWidth="1"/>
    <col min="21" max="21" width="6.26953125" customWidth="1"/>
    <col min="22" max="22" width="6" customWidth="1"/>
  </cols>
  <sheetData>
    <row r="1" spans="1:28" x14ac:dyDescent="0.35">
      <c r="A1" s="79" t="s">
        <v>1491</v>
      </c>
      <c r="D1" s="80" t="s">
        <v>1464</v>
      </c>
      <c r="E1" s="81" t="s">
        <v>1461</v>
      </c>
      <c r="F1" s="81" t="s">
        <v>1462</v>
      </c>
      <c r="H1" s="82" t="s">
        <v>1492</v>
      </c>
      <c r="J1" s="100"/>
      <c r="K1" s="100">
        <v>1</v>
      </c>
      <c r="L1" s="101">
        <v>2</v>
      </c>
      <c r="M1" s="101">
        <v>3</v>
      </c>
      <c r="N1" s="101">
        <v>4</v>
      </c>
      <c r="O1" s="101">
        <v>5</v>
      </c>
      <c r="P1" s="101">
        <v>6</v>
      </c>
      <c r="Q1" s="101">
        <v>7</v>
      </c>
      <c r="R1" s="101">
        <v>8</v>
      </c>
      <c r="S1" s="101">
        <v>9</v>
      </c>
      <c r="T1" s="101">
        <v>10</v>
      </c>
      <c r="U1" s="101">
        <v>11</v>
      </c>
      <c r="V1" s="102">
        <v>12</v>
      </c>
      <c r="W1" s="103">
        <v>13</v>
      </c>
      <c r="X1" s="103">
        <v>14</v>
      </c>
      <c r="Y1" s="103">
        <v>15</v>
      </c>
      <c r="Z1" s="103">
        <v>16</v>
      </c>
      <c r="AA1" s="104">
        <f>Z1+1</f>
        <v>17</v>
      </c>
      <c r="AB1" s="104">
        <f t="shared" ref="AB1" si="0">AA1+1</f>
        <v>18</v>
      </c>
    </row>
    <row r="2" spans="1:28" x14ac:dyDescent="0.35">
      <c r="A2" s="80" t="s">
        <v>1464</v>
      </c>
      <c r="B2" s="81" t="s">
        <v>1493</v>
      </c>
      <c r="D2" s="83" t="s">
        <v>1465</v>
      </c>
      <c r="E2" s="84">
        <v>0</v>
      </c>
      <c r="F2" s="84">
        <f>F11</f>
        <v>0</v>
      </c>
      <c r="G2">
        <f t="shared" ref="G2:G11" si="1">F2*SIN(E2/180*PI())</f>
        <v>0</v>
      </c>
      <c r="H2">
        <f>F2*COS(E2/180*PI())</f>
        <v>0</v>
      </c>
      <c r="J2" s="85">
        <v>0.1</v>
      </c>
      <c r="K2" s="83">
        <v>1</v>
      </c>
      <c r="L2" s="84">
        <v>1</v>
      </c>
      <c r="M2" s="84">
        <v>1</v>
      </c>
      <c r="N2" s="84">
        <v>1</v>
      </c>
      <c r="O2" s="84">
        <v>1</v>
      </c>
      <c r="P2" s="84">
        <v>1</v>
      </c>
      <c r="Q2" s="84">
        <v>1</v>
      </c>
      <c r="R2" s="84">
        <v>1</v>
      </c>
      <c r="S2" s="84">
        <v>1</v>
      </c>
      <c r="T2" s="84">
        <v>1</v>
      </c>
      <c r="U2" s="84">
        <v>1</v>
      </c>
      <c r="V2" s="86">
        <v>1</v>
      </c>
      <c r="W2" s="86">
        <v>1</v>
      </c>
      <c r="X2" s="86">
        <v>1</v>
      </c>
      <c r="Y2" s="86">
        <v>1</v>
      </c>
      <c r="Z2" s="86">
        <v>1</v>
      </c>
      <c r="AA2" s="86">
        <v>1</v>
      </c>
      <c r="AB2" s="86">
        <v>1</v>
      </c>
    </row>
    <row r="3" spans="1:28" x14ac:dyDescent="0.35">
      <c r="A3" s="191" t="s">
        <v>1494</v>
      </c>
      <c r="B3" s="193">
        <f>'GREENSCOPE Calculation'!G126</f>
        <v>95.412467278099783</v>
      </c>
      <c r="D3" s="83" t="str">
        <f>A3</f>
        <v>Etotal</v>
      </c>
      <c r="E3" s="88">
        <f>360/COUNTA($A$3:$A$11)</f>
        <v>40</v>
      </c>
      <c r="F3" s="88">
        <f>B3/10</f>
        <v>9.5412467278099786</v>
      </c>
      <c r="G3">
        <f>F3*SIN(E3/180*PI())</f>
        <v>6.1329951775984908</v>
      </c>
      <c r="H3">
        <f>F3*COS(E3/180*PI())</f>
        <v>7.3090190362659664</v>
      </c>
      <c r="J3" s="89">
        <v>0.2</v>
      </c>
      <c r="K3" s="90">
        <v>1</v>
      </c>
      <c r="L3" s="88">
        <v>1</v>
      </c>
      <c r="M3" s="88">
        <v>1</v>
      </c>
      <c r="N3" s="88">
        <v>1</v>
      </c>
      <c r="O3" s="88">
        <v>1</v>
      </c>
      <c r="P3" s="88">
        <v>1</v>
      </c>
      <c r="Q3" s="88">
        <v>1</v>
      </c>
      <c r="R3" s="88">
        <v>1</v>
      </c>
      <c r="S3" s="88">
        <v>1</v>
      </c>
      <c r="T3" s="88">
        <v>1</v>
      </c>
      <c r="U3" s="88">
        <v>1</v>
      </c>
      <c r="V3" s="91">
        <v>1</v>
      </c>
      <c r="W3" s="91">
        <v>1</v>
      </c>
      <c r="X3" s="91">
        <v>1</v>
      </c>
      <c r="Y3" s="91">
        <v>1</v>
      </c>
      <c r="Z3" s="91">
        <v>1</v>
      </c>
      <c r="AA3" s="91">
        <v>1</v>
      </c>
      <c r="AB3" s="91">
        <v>1</v>
      </c>
    </row>
    <row r="4" spans="1:28" x14ac:dyDescent="0.35">
      <c r="A4" s="191" t="s">
        <v>1495</v>
      </c>
      <c r="B4" s="193">
        <f>'GREENSCOPE Calculation'!G127</f>
        <v>95.412467278099768</v>
      </c>
      <c r="D4" s="83" t="str">
        <f t="shared" ref="D4:D10" si="2">A4</f>
        <v>RSEI</v>
      </c>
      <c r="E4" s="84">
        <f t="shared" ref="E4:E11" si="3">E3+360/COUNTA($A$3:$A$11)</f>
        <v>80</v>
      </c>
      <c r="F4" s="84">
        <f t="shared" ref="F4:F11" si="4">B4/10</f>
        <v>9.5412467278099768</v>
      </c>
      <c r="G4">
        <f>F4*SIN(E4/180*PI())</f>
        <v>9.396293750949626</v>
      </c>
      <c r="H4">
        <f t="shared" ref="H4:H11" si="5">F4*COS(E4/180*PI())</f>
        <v>1.6568201069547652</v>
      </c>
      <c r="J4" s="85">
        <v>0.3</v>
      </c>
      <c r="K4" s="83">
        <v>1</v>
      </c>
      <c r="L4" s="84">
        <v>1</v>
      </c>
      <c r="M4" s="84">
        <v>1</v>
      </c>
      <c r="N4" s="84">
        <v>1</v>
      </c>
      <c r="O4" s="84">
        <v>1</v>
      </c>
      <c r="P4" s="84">
        <v>1</v>
      </c>
      <c r="Q4" s="84">
        <v>1</v>
      </c>
      <c r="R4" s="84">
        <v>1</v>
      </c>
      <c r="S4" s="84">
        <v>1</v>
      </c>
      <c r="T4" s="84">
        <v>1</v>
      </c>
      <c r="U4" s="84">
        <v>1</v>
      </c>
      <c r="V4" s="86">
        <v>1</v>
      </c>
      <c r="W4" s="86">
        <v>1</v>
      </c>
      <c r="X4" s="86">
        <v>1</v>
      </c>
      <c r="Y4" s="86">
        <v>1</v>
      </c>
      <c r="Z4" s="86">
        <v>1</v>
      </c>
      <c r="AA4" s="86">
        <v>1</v>
      </c>
      <c r="AB4" s="86">
        <v>1</v>
      </c>
    </row>
    <row r="5" spans="1:28" x14ac:dyDescent="0.35">
      <c r="A5" s="192" t="s">
        <v>1496</v>
      </c>
      <c r="B5" s="193">
        <f>'GREENSCOPE Calculation'!G128</f>
        <v>95.412467278099754</v>
      </c>
      <c r="D5" s="83" t="str">
        <f t="shared" si="2"/>
        <v>REI</v>
      </c>
      <c r="E5" s="84">
        <f t="shared" si="3"/>
        <v>120</v>
      </c>
      <c r="F5" s="88">
        <f t="shared" si="4"/>
        <v>9.5412467278099751</v>
      </c>
      <c r="G5">
        <f t="shared" si="1"/>
        <v>8.2629620500585883</v>
      </c>
      <c r="H5">
        <f t="shared" si="5"/>
        <v>-4.7706233639049858</v>
      </c>
      <c r="J5" s="89">
        <v>0.4</v>
      </c>
      <c r="K5" s="90">
        <v>1</v>
      </c>
      <c r="L5" s="88">
        <v>1</v>
      </c>
      <c r="M5" s="88">
        <v>1</v>
      </c>
      <c r="N5" s="88">
        <v>1</v>
      </c>
      <c r="O5" s="88">
        <v>1</v>
      </c>
      <c r="P5" s="88">
        <v>1</v>
      </c>
      <c r="Q5" s="88">
        <v>1</v>
      </c>
      <c r="R5" s="88">
        <v>1</v>
      </c>
      <c r="S5" s="88">
        <v>1</v>
      </c>
      <c r="T5" s="88">
        <v>1</v>
      </c>
      <c r="U5" s="88">
        <v>1</v>
      </c>
      <c r="V5" s="91">
        <v>1</v>
      </c>
      <c r="W5" s="91">
        <v>1</v>
      </c>
      <c r="X5" s="91">
        <v>1</v>
      </c>
      <c r="Y5" s="91">
        <v>1</v>
      </c>
      <c r="Z5" s="91">
        <v>1</v>
      </c>
      <c r="AA5" s="91">
        <v>1</v>
      </c>
      <c r="AB5" s="91">
        <v>1</v>
      </c>
    </row>
    <row r="6" spans="1:28" x14ac:dyDescent="0.35">
      <c r="A6" s="191" t="s">
        <v>1418</v>
      </c>
      <c r="B6" s="193">
        <f>IF('GREENSCOPE Calculation'!G129 &gt; 100,100,'GREENSCOPE Calculation'!G129)</f>
        <v>100</v>
      </c>
      <c r="D6" s="83" t="str">
        <f t="shared" si="2"/>
        <v>WTE</v>
      </c>
      <c r="E6" s="84">
        <f t="shared" si="3"/>
        <v>160</v>
      </c>
      <c r="F6" s="84">
        <f t="shared" si="4"/>
        <v>10</v>
      </c>
      <c r="G6">
        <f t="shared" si="1"/>
        <v>3.4202014332566888</v>
      </c>
      <c r="H6">
        <f t="shared" si="5"/>
        <v>-9.3969262078590834</v>
      </c>
      <c r="J6" s="85">
        <v>0.5</v>
      </c>
      <c r="K6" s="83">
        <v>1</v>
      </c>
      <c r="L6" s="84">
        <v>1</v>
      </c>
      <c r="M6" s="84">
        <v>1</v>
      </c>
      <c r="N6" s="84">
        <v>1</v>
      </c>
      <c r="O6" s="84">
        <v>1</v>
      </c>
      <c r="P6" s="84">
        <v>1</v>
      </c>
      <c r="Q6" s="84">
        <v>1</v>
      </c>
      <c r="R6" s="84">
        <v>1</v>
      </c>
      <c r="S6" s="84">
        <v>1</v>
      </c>
      <c r="T6" s="84">
        <v>1</v>
      </c>
      <c r="U6" s="84">
        <v>1</v>
      </c>
      <c r="V6" s="86">
        <v>1</v>
      </c>
      <c r="W6" s="86">
        <v>1</v>
      </c>
      <c r="X6" s="86">
        <v>1</v>
      </c>
      <c r="Y6" s="86">
        <v>1</v>
      </c>
      <c r="Z6" s="86">
        <v>1</v>
      </c>
      <c r="AA6" s="86">
        <v>1</v>
      </c>
      <c r="AB6" s="86">
        <v>1</v>
      </c>
    </row>
    <row r="7" spans="1:28" x14ac:dyDescent="0.35">
      <c r="A7" s="191" t="s">
        <v>1420</v>
      </c>
      <c r="B7" s="193">
        <f>'GREENSCOPE Calculation'!G130</f>
        <v>100</v>
      </c>
      <c r="D7" s="83" t="str">
        <f t="shared" si="2"/>
        <v>SRE</v>
      </c>
      <c r="E7" s="84">
        <f t="shared" si="3"/>
        <v>200</v>
      </c>
      <c r="F7" s="88">
        <f t="shared" si="4"/>
        <v>10</v>
      </c>
      <c r="G7">
        <f t="shared" si="1"/>
        <v>-3.4202014332566866</v>
      </c>
      <c r="H7">
        <f t="shared" si="5"/>
        <v>-9.3969262078590852</v>
      </c>
      <c r="J7" s="89">
        <v>0.6</v>
      </c>
      <c r="K7" s="90">
        <v>1</v>
      </c>
      <c r="L7" s="88">
        <v>1</v>
      </c>
      <c r="M7" s="88">
        <v>1</v>
      </c>
      <c r="N7" s="88">
        <v>1</v>
      </c>
      <c r="O7" s="88">
        <v>1</v>
      </c>
      <c r="P7" s="88">
        <v>1</v>
      </c>
      <c r="Q7" s="88">
        <v>1</v>
      </c>
      <c r="R7" s="88">
        <v>1</v>
      </c>
      <c r="S7" s="88">
        <v>1</v>
      </c>
      <c r="T7" s="88">
        <v>1</v>
      </c>
      <c r="U7" s="88">
        <v>1</v>
      </c>
      <c r="V7" s="91">
        <v>1</v>
      </c>
      <c r="W7" s="91">
        <v>1</v>
      </c>
      <c r="X7" s="91">
        <v>1</v>
      </c>
      <c r="Y7" s="91">
        <v>1</v>
      </c>
      <c r="Z7" s="91">
        <v>1</v>
      </c>
      <c r="AA7" s="91">
        <v>1</v>
      </c>
      <c r="AB7" s="91">
        <v>1</v>
      </c>
    </row>
    <row r="8" spans="1:28" x14ac:dyDescent="0.35">
      <c r="A8" s="191" t="s">
        <v>1497</v>
      </c>
      <c r="B8" s="193">
        <f>'GREENSCOPE Calculation'!G131</f>
        <v>5.6653272979464164</v>
      </c>
      <c r="D8" s="83" t="str">
        <f t="shared" si="2"/>
        <v>ηE</v>
      </c>
      <c r="E8" s="84">
        <f t="shared" si="3"/>
        <v>240</v>
      </c>
      <c r="F8" s="84">
        <f t="shared" si="4"/>
        <v>0.56653272979464164</v>
      </c>
      <c r="G8">
        <f t="shared" si="1"/>
        <v>-0.49063173607750465</v>
      </c>
      <c r="H8">
        <f t="shared" si="5"/>
        <v>-0.2832663648973211</v>
      </c>
      <c r="J8" s="85">
        <v>0.7</v>
      </c>
      <c r="K8" s="83">
        <v>1</v>
      </c>
      <c r="L8" s="84">
        <v>1</v>
      </c>
      <c r="M8" s="84">
        <v>1</v>
      </c>
      <c r="N8" s="84">
        <v>1</v>
      </c>
      <c r="O8" s="84">
        <v>1</v>
      </c>
      <c r="P8" s="84">
        <v>1</v>
      </c>
      <c r="Q8" s="84">
        <v>1</v>
      </c>
      <c r="R8" s="84">
        <v>1</v>
      </c>
      <c r="S8" s="84">
        <v>1</v>
      </c>
      <c r="T8" s="84">
        <v>1</v>
      </c>
      <c r="U8" s="84">
        <v>1</v>
      </c>
      <c r="V8" s="86">
        <v>1</v>
      </c>
      <c r="W8" s="86">
        <v>1</v>
      </c>
      <c r="X8" s="86">
        <v>1</v>
      </c>
      <c r="Y8" s="86">
        <v>1</v>
      </c>
      <c r="Z8" s="86">
        <v>1</v>
      </c>
      <c r="AA8" s="86">
        <v>1</v>
      </c>
      <c r="AB8" s="86">
        <v>1</v>
      </c>
    </row>
    <row r="9" spans="1:28" x14ac:dyDescent="0.35">
      <c r="A9" s="191" t="s">
        <v>1498</v>
      </c>
      <c r="B9" s="193">
        <f>'GREENSCOPE Calculation'!G132</f>
        <v>0.2499995737643646</v>
      </c>
      <c r="D9" s="83" t="str">
        <f t="shared" si="2"/>
        <v>RIE</v>
      </c>
      <c r="E9" s="84">
        <f t="shared" si="3"/>
        <v>280</v>
      </c>
      <c r="F9" s="88">
        <f t="shared" si="4"/>
        <v>2.4999957376436462E-2</v>
      </c>
      <c r="G9">
        <f t="shared" si="1"/>
        <v>-2.4620151849289371E-2</v>
      </c>
      <c r="H9">
        <f t="shared" si="5"/>
        <v>4.3411970401691152E-3</v>
      </c>
      <c r="J9" s="89">
        <v>0.8</v>
      </c>
      <c r="K9" s="90">
        <v>1</v>
      </c>
      <c r="L9" s="88">
        <v>1</v>
      </c>
      <c r="M9" s="88">
        <v>1</v>
      </c>
      <c r="N9" s="88">
        <v>1</v>
      </c>
      <c r="O9" s="88">
        <v>1</v>
      </c>
      <c r="P9" s="88">
        <v>1</v>
      </c>
      <c r="Q9" s="88">
        <v>1</v>
      </c>
      <c r="R9" s="88">
        <v>1</v>
      </c>
      <c r="S9" s="88">
        <v>1</v>
      </c>
      <c r="T9" s="88">
        <v>1</v>
      </c>
      <c r="U9" s="88">
        <v>1</v>
      </c>
      <c r="V9" s="91">
        <v>1</v>
      </c>
      <c r="W9" s="91">
        <v>1</v>
      </c>
      <c r="X9" s="91">
        <v>1</v>
      </c>
      <c r="Y9" s="91">
        <v>1</v>
      </c>
      <c r="Z9" s="91">
        <v>1</v>
      </c>
      <c r="AA9" s="91">
        <v>1</v>
      </c>
      <c r="AB9" s="91">
        <v>1</v>
      </c>
    </row>
    <row r="10" spans="1:28" x14ac:dyDescent="0.35">
      <c r="A10" s="191" t="s">
        <v>1499</v>
      </c>
      <c r="B10" s="193">
        <f>'GREENSCOPE Calculation'!G133</f>
        <v>0.56795260889606536</v>
      </c>
      <c r="D10" s="83" t="str">
        <f t="shared" si="2"/>
        <v>BFE</v>
      </c>
      <c r="E10" s="84">
        <f t="shared" si="3"/>
        <v>320</v>
      </c>
      <c r="F10" s="84">
        <f t="shared" si="4"/>
        <v>5.6795260889606534E-2</v>
      </c>
      <c r="G10">
        <f t="shared" si="1"/>
        <v>-3.6507289988753591E-2</v>
      </c>
      <c r="H10">
        <f t="shared" si="5"/>
        <v>4.35076939999757E-2</v>
      </c>
      <c r="J10" s="85">
        <v>0.9</v>
      </c>
      <c r="K10" s="83">
        <v>1</v>
      </c>
      <c r="L10" s="84">
        <v>1</v>
      </c>
      <c r="M10" s="84">
        <v>1</v>
      </c>
      <c r="N10" s="84">
        <v>1</v>
      </c>
      <c r="O10" s="84">
        <v>1</v>
      </c>
      <c r="P10" s="84">
        <v>1</v>
      </c>
      <c r="Q10" s="84">
        <v>1</v>
      </c>
      <c r="R10" s="84">
        <v>1</v>
      </c>
      <c r="S10" s="84">
        <v>1</v>
      </c>
      <c r="T10" s="84">
        <v>1</v>
      </c>
      <c r="U10" s="84">
        <v>1</v>
      </c>
      <c r="V10" s="86">
        <v>1</v>
      </c>
      <c r="W10" s="86">
        <v>1</v>
      </c>
      <c r="X10" s="86">
        <v>1</v>
      </c>
      <c r="Y10" s="86">
        <v>1</v>
      </c>
      <c r="Z10" s="86">
        <v>1</v>
      </c>
      <c r="AA10" s="86">
        <v>1</v>
      </c>
      <c r="AB10" s="86">
        <v>1</v>
      </c>
    </row>
    <row r="11" spans="1:28" x14ac:dyDescent="0.35">
      <c r="A11" s="191" t="s">
        <v>1500</v>
      </c>
      <c r="B11" s="193">
        <f>IF('GREENSCOPE Calculation'!G134 &lt; 0,0,'GREENSCOPE Calculation'!G134)</f>
        <v>0</v>
      </c>
      <c r="D11" s="83" t="str">
        <f>A11</f>
        <v>Erecycl</v>
      </c>
      <c r="E11" s="84">
        <f t="shared" si="3"/>
        <v>360</v>
      </c>
      <c r="F11" s="88">
        <f t="shared" si="4"/>
        <v>0</v>
      </c>
      <c r="G11">
        <f t="shared" si="1"/>
        <v>0</v>
      </c>
      <c r="H11">
        <f t="shared" si="5"/>
        <v>0</v>
      </c>
      <c r="J11" s="95">
        <v>1</v>
      </c>
      <c r="K11" s="96">
        <v>1</v>
      </c>
      <c r="L11" s="97">
        <v>1</v>
      </c>
      <c r="M11" s="97">
        <v>1</v>
      </c>
      <c r="N11" s="97">
        <v>1</v>
      </c>
      <c r="O11" s="97">
        <v>1</v>
      </c>
      <c r="P11" s="97">
        <v>1</v>
      </c>
      <c r="Q11" s="97">
        <v>1</v>
      </c>
      <c r="R11" s="97">
        <v>1</v>
      </c>
      <c r="S11" s="97">
        <v>1</v>
      </c>
      <c r="T11" s="97">
        <v>1</v>
      </c>
      <c r="U11" s="97">
        <v>1</v>
      </c>
      <c r="V11" s="98">
        <v>1</v>
      </c>
      <c r="W11" s="98">
        <v>1</v>
      </c>
      <c r="X11" s="98">
        <v>1</v>
      </c>
      <c r="Y11" s="98">
        <v>1</v>
      </c>
      <c r="Z11" s="98">
        <v>1</v>
      </c>
      <c r="AA11" s="98">
        <v>1</v>
      </c>
      <c r="AB11" s="98">
        <v>1</v>
      </c>
    </row>
    <row r="12" spans="1:28" x14ac:dyDescent="0.35">
      <c r="A12" s="92"/>
      <c r="B12" s="92"/>
    </row>
    <row r="13" spans="1:28" x14ac:dyDescent="0.35">
      <c r="A13" s="92"/>
      <c r="B13" s="92"/>
    </row>
    <row r="14" spans="1:28" x14ac:dyDescent="0.35">
      <c r="A14" s="92"/>
      <c r="B14" s="92"/>
    </row>
    <row r="15" spans="1:28" x14ac:dyDescent="0.35">
      <c r="A15" s="92"/>
      <c r="B15" s="92"/>
    </row>
    <row r="16" spans="1:28" x14ac:dyDescent="0.35">
      <c r="A16" s="92"/>
      <c r="B16" s="92"/>
    </row>
    <row r="17" spans="1:2" x14ac:dyDescent="0.35">
      <c r="A17" s="92"/>
      <c r="B17" s="92"/>
    </row>
    <row r="18" spans="1:2" x14ac:dyDescent="0.35">
      <c r="A18" s="92"/>
      <c r="B18" s="92"/>
    </row>
    <row r="19" spans="1:2" x14ac:dyDescent="0.35">
      <c r="A19" s="92"/>
      <c r="B19" s="92"/>
    </row>
    <row r="20" spans="1:2" ht="15" thickBot="1" x14ac:dyDescent="0.4">
      <c r="A20" s="94"/>
      <c r="B20" s="94"/>
    </row>
    <row r="21" spans="1:2" x14ac:dyDescent="0.35">
      <c r="B21" s="107"/>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50F63-7DB9-4B61-847E-183E8C40821C}">
  <sheetPr>
    <tabColor theme="1" tint="0.14999847407452621"/>
  </sheetPr>
  <dimension ref="A1:AB21"/>
  <sheetViews>
    <sheetView workbookViewId="0">
      <selection activeCell="B3" sqref="B3:B9"/>
    </sheetView>
  </sheetViews>
  <sheetFormatPr defaultRowHeight="14.5" x14ac:dyDescent="0.35"/>
  <cols>
    <col min="1" max="1" width="16.7265625" customWidth="1"/>
    <col min="2" max="2" width="20.453125" customWidth="1"/>
    <col min="5" max="5" width="9" customWidth="1"/>
    <col min="6" max="6" width="23" customWidth="1"/>
    <col min="7" max="7" width="8.1796875" customWidth="1"/>
    <col min="8" max="8" width="16.7265625" customWidth="1"/>
    <col min="10" max="10" width="6.54296875" customWidth="1"/>
    <col min="11" max="11" width="5.7265625" customWidth="1"/>
    <col min="12" max="12" width="5.81640625" customWidth="1"/>
    <col min="13" max="13" width="6.26953125" customWidth="1"/>
    <col min="14" max="14" width="5.81640625" customWidth="1"/>
    <col min="15" max="15" width="6.7265625" customWidth="1"/>
    <col min="16" max="16" width="5.7265625" customWidth="1"/>
    <col min="17" max="17" width="5.1796875" customWidth="1"/>
    <col min="18" max="18" width="6.26953125" customWidth="1"/>
    <col min="19" max="19" width="6" customWidth="1"/>
    <col min="20" max="20" width="5.7265625" customWidth="1"/>
    <col min="21" max="21" width="6.26953125" customWidth="1"/>
    <col min="22" max="22" width="6" customWidth="1"/>
  </cols>
  <sheetData>
    <row r="1" spans="1:28" x14ac:dyDescent="0.35">
      <c r="A1" s="79" t="s">
        <v>1501</v>
      </c>
      <c r="D1" s="80" t="s">
        <v>1464</v>
      </c>
      <c r="E1" s="81" t="s">
        <v>1461</v>
      </c>
      <c r="F1" s="81" t="s">
        <v>1462</v>
      </c>
      <c r="H1" s="82" t="s">
        <v>1502</v>
      </c>
      <c r="J1" s="100"/>
      <c r="K1" s="100">
        <v>1</v>
      </c>
      <c r="L1" s="101">
        <v>2</v>
      </c>
      <c r="M1" s="101">
        <v>3</v>
      </c>
      <c r="N1" s="101">
        <v>4</v>
      </c>
      <c r="O1" s="101">
        <v>5</v>
      </c>
      <c r="P1" s="101">
        <v>6</v>
      </c>
      <c r="Q1" s="101">
        <v>7</v>
      </c>
      <c r="R1" s="101">
        <v>8</v>
      </c>
      <c r="S1" s="101">
        <v>9</v>
      </c>
      <c r="T1" s="101">
        <v>10</v>
      </c>
      <c r="U1" s="101">
        <v>11</v>
      </c>
      <c r="V1" s="102">
        <v>12</v>
      </c>
      <c r="W1" s="103">
        <v>13</v>
      </c>
      <c r="X1" s="103">
        <v>14</v>
      </c>
      <c r="Y1" s="103">
        <v>15</v>
      </c>
      <c r="Z1" s="103">
        <v>16</v>
      </c>
      <c r="AA1" s="104">
        <f>Z1+1</f>
        <v>17</v>
      </c>
      <c r="AB1" s="104">
        <f t="shared" ref="AB1" si="0">AA1+1</f>
        <v>18</v>
      </c>
    </row>
    <row r="2" spans="1:28" x14ac:dyDescent="0.35">
      <c r="A2" s="80" t="s">
        <v>1464</v>
      </c>
      <c r="B2" s="81" t="s">
        <v>1473</v>
      </c>
      <c r="D2" s="83" t="s">
        <v>1465</v>
      </c>
      <c r="E2" s="84">
        <v>0</v>
      </c>
      <c r="F2" s="84">
        <f>F15</f>
        <v>10</v>
      </c>
      <c r="G2">
        <f>F2*SIN(E2/180*PI())</f>
        <v>0</v>
      </c>
      <c r="H2">
        <f>F2*COS(E2/180*PI())</f>
        <v>10</v>
      </c>
      <c r="J2" s="85">
        <v>0.1</v>
      </c>
      <c r="K2" s="83">
        <v>1</v>
      </c>
      <c r="L2" s="84">
        <v>1</v>
      </c>
      <c r="M2" s="84">
        <v>1</v>
      </c>
      <c r="N2" s="84">
        <v>1</v>
      </c>
      <c r="O2" s="84">
        <v>1</v>
      </c>
      <c r="P2" s="84">
        <v>1</v>
      </c>
      <c r="Q2" s="84">
        <v>1</v>
      </c>
      <c r="R2" s="84">
        <v>1</v>
      </c>
      <c r="S2" s="84">
        <v>1</v>
      </c>
      <c r="T2" s="84">
        <v>1</v>
      </c>
      <c r="U2" s="84">
        <v>1</v>
      </c>
      <c r="V2" s="86">
        <v>1</v>
      </c>
      <c r="W2" s="86">
        <v>1</v>
      </c>
      <c r="X2" s="86">
        <v>1</v>
      </c>
      <c r="Y2" s="86">
        <v>1</v>
      </c>
      <c r="Z2" s="86">
        <v>1</v>
      </c>
      <c r="AA2" s="86">
        <v>1</v>
      </c>
      <c r="AB2" s="86">
        <v>1</v>
      </c>
    </row>
    <row r="3" spans="1:28" x14ac:dyDescent="0.35">
      <c r="A3" s="126" t="s">
        <v>1430</v>
      </c>
      <c r="B3" s="193">
        <f>'GREENSCOPE Calculation'!G136</f>
        <v>74.849084664714411</v>
      </c>
      <c r="D3" s="83" t="str">
        <f>A3</f>
        <v>TPC</v>
      </c>
      <c r="E3" s="230">
        <f>360/COUNTA($A$3:$A$15)</f>
        <v>27.692307692307693</v>
      </c>
      <c r="F3" s="88">
        <f t="shared" ref="F3:F14" si="1">B3/10</f>
        <v>7.4849084664714409</v>
      </c>
      <c r="G3" s="231">
        <f>F3*SIN(E3/180*PI())</f>
        <v>3.4784104049958673</v>
      </c>
      <c r="H3">
        <f t="shared" ref="H3:H15" si="2">F3*COS(E3/180*PI())</f>
        <v>6.6275573030998647</v>
      </c>
      <c r="J3" s="89">
        <v>0.2</v>
      </c>
      <c r="K3" s="90">
        <v>1</v>
      </c>
      <c r="L3" s="88">
        <v>1</v>
      </c>
      <c r="M3" s="88">
        <v>1</v>
      </c>
      <c r="N3" s="88">
        <v>1</v>
      </c>
      <c r="O3" s="88">
        <v>1</v>
      </c>
      <c r="P3" s="88">
        <v>1</v>
      </c>
      <c r="Q3" s="88">
        <v>1</v>
      </c>
      <c r="R3" s="88">
        <v>1</v>
      </c>
      <c r="S3" s="88">
        <v>1</v>
      </c>
      <c r="T3" s="88">
        <v>1</v>
      </c>
      <c r="U3" s="88">
        <v>1</v>
      </c>
      <c r="V3" s="91">
        <v>1</v>
      </c>
      <c r="W3" s="91">
        <v>1</v>
      </c>
      <c r="X3" s="91">
        <v>1</v>
      </c>
      <c r="Y3" s="91">
        <v>1</v>
      </c>
      <c r="Z3" s="91">
        <v>1</v>
      </c>
      <c r="AA3" s="91">
        <v>1</v>
      </c>
      <c r="AB3" s="91">
        <v>1</v>
      </c>
    </row>
    <row r="4" spans="1:28" x14ac:dyDescent="0.35">
      <c r="A4" s="126" t="s">
        <v>1434</v>
      </c>
      <c r="B4" s="193">
        <f>'GREENSCOPE Calculation'!G137</f>
        <v>68.181818181818187</v>
      </c>
      <c r="D4" s="83" t="str">
        <f t="shared" ref="D4:D10" si="3">A4</f>
        <v>COM</v>
      </c>
      <c r="E4" s="229">
        <f>E3+360/COUNTA($A$3:$A$15)</f>
        <v>55.384615384615387</v>
      </c>
      <c r="F4" s="84">
        <f t="shared" si="1"/>
        <v>6.8181818181818183</v>
      </c>
      <c r="G4">
        <f t="shared" ref="G4:G15" si="4">F4*SIN(E4/180*PI())</f>
        <v>5.6112536310931125</v>
      </c>
      <c r="H4">
        <f t="shared" si="2"/>
        <v>3.873168727712426</v>
      </c>
      <c r="J4" s="85">
        <v>0.3</v>
      </c>
      <c r="K4" s="83">
        <v>1</v>
      </c>
      <c r="L4" s="84">
        <v>1</v>
      </c>
      <c r="M4" s="84">
        <v>1</v>
      </c>
      <c r="N4" s="84">
        <v>1</v>
      </c>
      <c r="O4" s="84">
        <v>1</v>
      </c>
      <c r="P4" s="84">
        <v>1</v>
      </c>
      <c r="Q4" s="84">
        <v>1</v>
      </c>
      <c r="R4" s="84">
        <v>1</v>
      </c>
      <c r="S4" s="84">
        <v>1</v>
      </c>
      <c r="T4" s="84">
        <v>1</v>
      </c>
      <c r="U4" s="84">
        <v>1</v>
      </c>
      <c r="V4" s="86">
        <v>1</v>
      </c>
      <c r="W4" s="86">
        <v>1</v>
      </c>
      <c r="X4" s="86">
        <v>1</v>
      </c>
      <c r="Y4" s="86">
        <v>1</v>
      </c>
      <c r="Z4" s="86">
        <v>1</v>
      </c>
      <c r="AA4" s="86">
        <v>1</v>
      </c>
      <c r="AB4" s="86">
        <v>1</v>
      </c>
    </row>
    <row r="5" spans="1:28" ht="17" x14ac:dyDescent="0.35">
      <c r="A5" s="126" t="s">
        <v>1436</v>
      </c>
      <c r="B5" s="193">
        <f>'GREENSCOPE Calculation'!G138</f>
        <v>85.630339293029635</v>
      </c>
      <c r="D5" s="83" t="str">
        <f t="shared" si="3"/>
        <v>CSRM</v>
      </c>
      <c r="E5" s="229">
        <f t="shared" ref="E5:E15" si="5">E4+360/COUNTA($A$3:$A$15)</f>
        <v>83.07692307692308</v>
      </c>
      <c r="F5" s="88">
        <f t="shared" si="1"/>
        <v>8.5630339293029643</v>
      </c>
      <c r="G5">
        <f t="shared" si="4"/>
        <v>8.5005997708217809</v>
      </c>
      <c r="H5" s="231">
        <f>F5*COS(E5/180*PI())</f>
        <v>1.0321596827518735</v>
      </c>
      <c r="J5" s="89">
        <v>0.4</v>
      </c>
      <c r="K5" s="90">
        <v>1</v>
      </c>
      <c r="L5" s="88">
        <v>1</v>
      </c>
      <c r="M5" s="88">
        <v>1</v>
      </c>
      <c r="N5" s="88">
        <v>1</v>
      </c>
      <c r="O5" s="88">
        <v>1</v>
      </c>
      <c r="P5" s="88">
        <v>1</v>
      </c>
      <c r="Q5" s="88">
        <v>1</v>
      </c>
      <c r="R5" s="88">
        <v>1</v>
      </c>
      <c r="S5" s="88">
        <v>1</v>
      </c>
      <c r="T5" s="88">
        <v>1</v>
      </c>
      <c r="U5" s="88">
        <v>1</v>
      </c>
      <c r="V5" s="91">
        <v>1</v>
      </c>
      <c r="W5" s="91">
        <v>1</v>
      </c>
      <c r="X5" s="91">
        <v>1</v>
      </c>
      <c r="Y5" s="91">
        <v>1</v>
      </c>
      <c r="Z5" s="91">
        <v>1</v>
      </c>
      <c r="AA5" s="91">
        <v>1</v>
      </c>
      <c r="AB5" s="91">
        <v>1</v>
      </c>
    </row>
    <row r="6" spans="1:28" ht="17" x14ac:dyDescent="0.35">
      <c r="A6" s="126" t="s">
        <v>1438</v>
      </c>
      <c r="B6" s="193">
        <f>'GREENSCOPE Calculation'!G139</f>
        <v>85.63033929302965</v>
      </c>
      <c r="D6" s="83" t="str">
        <f t="shared" si="3"/>
        <v>Cmat. tot.</v>
      </c>
      <c r="E6" s="229">
        <f t="shared" si="5"/>
        <v>110.76923076923077</v>
      </c>
      <c r="F6" s="84">
        <f t="shared" si="1"/>
        <v>8.5630339293029643</v>
      </c>
      <c r="G6">
        <f t="shared" si="4"/>
        <v>8.0065758105645823</v>
      </c>
      <c r="H6">
        <f t="shared" si="2"/>
        <v>-3.036493679241878</v>
      </c>
      <c r="J6" s="85">
        <v>0.5</v>
      </c>
      <c r="K6" s="83">
        <v>1</v>
      </c>
      <c r="L6" s="84">
        <v>1</v>
      </c>
      <c r="M6" s="84">
        <v>1</v>
      </c>
      <c r="N6" s="84">
        <v>1</v>
      </c>
      <c r="O6" s="84">
        <v>1</v>
      </c>
      <c r="P6" s="84">
        <v>1</v>
      </c>
      <c r="Q6" s="84">
        <v>1</v>
      </c>
      <c r="R6" s="84">
        <v>1</v>
      </c>
      <c r="S6" s="84">
        <v>1</v>
      </c>
      <c r="T6" s="84">
        <v>1</v>
      </c>
      <c r="U6" s="84">
        <v>1</v>
      </c>
      <c r="V6" s="86">
        <v>1</v>
      </c>
      <c r="W6" s="86">
        <v>1</v>
      </c>
      <c r="X6" s="86">
        <v>1</v>
      </c>
      <c r="Y6" s="86">
        <v>1</v>
      </c>
      <c r="Z6" s="86">
        <v>1</v>
      </c>
      <c r="AA6" s="86">
        <v>1</v>
      </c>
      <c r="AB6" s="86">
        <v>1</v>
      </c>
    </row>
    <row r="7" spans="1:28" ht="17" x14ac:dyDescent="0.35">
      <c r="A7" s="126" t="s">
        <v>1440</v>
      </c>
      <c r="B7" s="193">
        <f>'GREENSCOPE Calculation'!G140</f>
        <v>86.747931408466329</v>
      </c>
      <c r="D7" s="83" t="str">
        <f t="shared" si="3"/>
        <v>CE, tot.</v>
      </c>
      <c r="E7" s="229">
        <f t="shared" si="5"/>
        <v>138.46153846153845</v>
      </c>
      <c r="F7" s="88">
        <f t="shared" si="1"/>
        <v>8.6747931408466332</v>
      </c>
      <c r="G7">
        <f t="shared" si="4"/>
        <v>5.752451887247239</v>
      </c>
      <c r="H7">
        <f t="shared" si="2"/>
        <v>-6.4931759040846471</v>
      </c>
      <c r="J7" s="89">
        <v>0.6</v>
      </c>
      <c r="K7" s="90">
        <v>1</v>
      </c>
      <c r="L7" s="88">
        <v>1</v>
      </c>
      <c r="M7" s="88">
        <v>1</v>
      </c>
      <c r="N7" s="88">
        <v>1</v>
      </c>
      <c r="O7" s="88">
        <v>1</v>
      </c>
      <c r="P7" s="88">
        <v>1</v>
      </c>
      <c r="Q7" s="88">
        <v>1</v>
      </c>
      <c r="R7" s="88">
        <v>1</v>
      </c>
      <c r="S7" s="88">
        <v>1</v>
      </c>
      <c r="T7" s="88">
        <v>1</v>
      </c>
      <c r="U7" s="88">
        <v>1</v>
      </c>
      <c r="V7" s="91">
        <v>1</v>
      </c>
      <c r="W7" s="91">
        <v>1</v>
      </c>
      <c r="X7" s="91">
        <v>1</v>
      </c>
      <c r="Y7" s="91">
        <v>1</v>
      </c>
      <c r="Z7" s="91">
        <v>1</v>
      </c>
      <c r="AA7" s="91">
        <v>1</v>
      </c>
      <c r="AB7" s="91">
        <v>1</v>
      </c>
    </row>
    <row r="8" spans="1:28" ht="17" x14ac:dyDescent="0.35">
      <c r="A8" s="126" t="s">
        <v>1442</v>
      </c>
      <c r="B8" s="193">
        <f>'GREENSCOPE Calculation'!G141</f>
        <v>86.747931408466329</v>
      </c>
      <c r="D8" s="83" t="str">
        <f t="shared" si="3"/>
        <v>CE, source</v>
      </c>
      <c r="E8" s="229">
        <f t="shared" si="5"/>
        <v>166.15384615384613</v>
      </c>
      <c r="F8" s="84">
        <f t="shared" si="1"/>
        <v>8.6747931408466332</v>
      </c>
      <c r="G8">
        <f t="shared" si="4"/>
        <v>2.0760138830588684</v>
      </c>
      <c r="H8">
        <f t="shared" si="2"/>
        <v>-8.4227194179686773</v>
      </c>
      <c r="J8" s="85">
        <v>0.7</v>
      </c>
      <c r="K8" s="83">
        <v>1</v>
      </c>
      <c r="L8" s="84">
        <v>1</v>
      </c>
      <c r="M8" s="84">
        <v>1</v>
      </c>
      <c r="N8" s="84">
        <v>1</v>
      </c>
      <c r="O8" s="84">
        <v>1</v>
      </c>
      <c r="P8" s="84">
        <v>1</v>
      </c>
      <c r="Q8" s="84">
        <v>1</v>
      </c>
      <c r="R8" s="84">
        <v>1</v>
      </c>
      <c r="S8" s="84">
        <v>1</v>
      </c>
      <c r="T8" s="84">
        <v>1</v>
      </c>
      <c r="U8" s="84">
        <v>1</v>
      </c>
      <c r="V8" s="86">
        <v>1</v>
      </c>
      <c r="W8" s="86">
        <v>1</v>
      </c>
      <c r="X8" s="86">
        <v>1</v>
      </c>
      <c r="Y8" s="86">
        <v>1</v>
      </c>
      <c r="Z8" s="86">
        <v>1</v>
      </c>
      <c r="AA8" s="86">
        <v>1</v>
      </c>
      <c r="AB8" s="86">
        <v>1</v>
      </c>
    </row>
    <row r="9" spans="1:28" ht="17" x14ac:dyDescent="0.35">
      <c r="A9" s="126" t="s">
        <v>1444</v>
      </c>
      <c r="B9" s="193">
        <f>'GREENSCOPE Calculation'!G142</f>
        <v>84.171970038418166</v>
      </c>
      <c r="D9" s="83" t="str">
        <f t="shared" si="3"/>
        <v>CE, spec.</v>
      </c>
      <c r="E9" s="229">
        <f t="shared" si="5"/>
        <v>193.84615384615381</v>
      </c>
      <c r="F9" s="88">
        <f t="shared" si="1"/>
        <v>8.4171970038418173</v>
      </c>
      <c r="G9">
        <f t="shared" si="4"/>
        <v>-2.014367092413639</v>
      </c>
      <c r="H9">
        <f t="shared" si="2"/>
        <v>-8.1726085565432953</v>
      </c>
      <c r="J9" s="89">
        <v>0.8</v>
      </c>
      <c r="K9" s="90">
        <v>1</v>
      </c>
      <c r="L9" s="88">
        <v>1</v>
      </c>
      <c r="M9" s="88">
        <v>1</v>
      </c>
      <c r="N9" s="88">
        <v>1</v>
      </c>
      <c r="O9" s="88">
        <v>1</v>
      </c>
      <c r="P9" s="88">
        <v>1</v>
      </c>
      <c r="Q9" s="88">
        <v>1</v>
      </c>
      <c r="R9" s="88">
        <v>1</v>
      </c>
      <c r="S9" s="88">
        <v>1</v>
      </c>
      <c r="T9" s="88">
        <v>1</v>
      </c>
      <c r="U9" s="88">
        <v>1</v>
      </c>
      <c r="V9" s="91">
        <v>1</v>
      </c>
      <c r="W9" s="91">
        <v>1</v>
      </c>
      <c r="X9" s="91">
        <v>1</v>
      </c>
      <c r="Y9" s="91">
        <v>1</v>
      </c>
      <c r="Z9" s="91">
        <v>1</v>
      </c>
      <c r="AA9" s="91">
        <v>1</v>
      </c>
      <c r="AB9" s="91">
        <v>1</v>
      </c>
    </row>
    <row r="10" spans="1:28" ht="17" x14ac:dyDescent="0.35">
      <c r="A10" s="217" t="s">
        <v>1446</v>
      </c>
      <c r="B10" s="193">
        <f>'GREENSCOPE Calculation'!G143</f>
        <v>92.008245286242612</v>
      </c>
      <c r="D10" s="83" t="str">
        <f t="shared" si="3"/>
        <v>Cs tot.</v>
      </c>
      <c r="E10" s="229">
        <f t="shared" si="5"/>
        <v>221.53846153846149</v>
      </c>
      <c r="F10" s="84">
        <f t="shared" si="1"/>
        <v>9.2008245286242616</v>
      </c>
      <c r="G10">
        <f t="shared" si="4"/>
        <v>-6.1012752194284232</v>
      </c>
      <c r="H10">
        <f t="shared" si="2"/>
        <v>-6.8869160517115713</v>
      </c>
      <c r="J10" s="85">
        <v>0.9</v>
      </c>
      <c r="K10" s="83">
        <v>1</v>
      </c>
      <c r="L10" s="84">
        <v>1</v>
      </c>
      <c r="M10" s="84">
        <v>1</v>
      </c>
      <c r="N10" s="84">
        <v>1</v>
      </c>
      <c r="O10" s="84">
        <v>1</v>
      </c>
      <c r="P10" s="84">
        <v>1</v>
      </c>
      <c r="Q10" s="84">
        <v>1</v>
      </c>
      <c r="R10" s="84">
        <v>1</v>
      </c>
      <c r="S10" s="84">
        <v>1</v>
      </c>
      <c r="T10" s="84">
        <v>1</v>
      </c>
      <c r="U10" s="84">
        <v>1</v>
      </c>
      <c r="V10" s="86">
        <v>1</v>
      </c>
      <c r="W10" s="86">
        <v>1</v>
      </c>
      <c r="X10" s="86">
        <v>1</v>
      </c>
      <c r="Y10" s="86">
        <v>1</v>
      </c>
      <c r="Z10" s="86">
        <v>1</v>
      </c>
      <c r="AA10" s="86">
        <v>1</v>
      </c>
      <c r="AB10" s="86">
        <v>1</v>
      </c>
    </row>
    <row r="11" spans="1:28" ht="17" x14ac:dyDescent="0.35">
      <c r="A11" s="217" t="s">
        <v>1448</v>
      </c>
      <c r="B11" s="193">
        <f>'GREENSCOPE Calculation'!G144</f>
        <v>92.008245286242612</v>
      </c>
      <c r="D11" s="83" t="str">
        <f>A11</f>
        <v>Cs, spec.</v>
      </c>
      <c r="E11" s="229">
        <f t="shared" si="5"/>
        <v>249.23076923076917</v>
      </c>
      <c r="F11" s="88">
        <f t="shared" si="1"/>
        <v>9.2008245286242616</v>
      </c>
      <c r="G11">
        <f t="shared" si="4"/>
        <v>-8.6029203803620558</v>
      </c>
      <c r="H11" s="231">
        <f>F11*COS(E11/180*PI())</f>
        <v>-3.2626573426710075</v>
      </c>
      <c r="J11" s="95">
        <v>1</v>
      </c>
      <c r="K11" s="96">
        <v>1</v>
      </c>
      <c r="L11" s="97">
        <v>1</v>
      </c>
      <c r="M11" s="97">
        <v>1</v>
      </c>
      <c r="N11" s="97">
        <v>1</v>
      </c>
      <c r="O11" s="97">
        <v>1</v>
      </c>
      <c r="P11" s="97">
        <v>1</v>
      </c>
      <c r="Q11" s="97">
        <v>1</v>
      </c>
      <c r="R11" s="97">
        <v>1</v>
      </c>
      <c r="S11" s="97">
        <v>1</v>
      </c>
      <c r="T11" s="97">
        <v>1</v>
      </c>
      <c r="U11" s="97">
        <v>1</v>
      </c>
      <c r="V11" s="98">
        <v>1</v>
      </c>
      <c r="W11" s="98">
        <v>1</v>
      </c>
      <c r="X11" s="98">
        <v>1</v>
      </c>
      <c r="Y11" s="98">
        <v>1</v>
      </c>
      <c r="Z11" s="98">
        <v>1</v>
      </c>
      <c r="AA11" s="98">
        <v>1</v>
      </c>
      <c r="AB11" s="98">
        <v>1</v>
      </c>
    </row>
    <row r="12" spans="1:28" ht="17" x14ac:dyDescent="0.35">
      <c r="A12" s="217" t="s">
        <v>1450</v>
      </c>
      <c r="B12" s="193">
        <f>'GREENSCOPE Calculation'!G145</f>
        <v>92.008245286242612</v>
      </c>
      <c r="D12" s="83" t="str">
        <f t="shared" ref="D12:D15" si="6">A12</f>
        <v>Cl tot.</v>
      </c>
      <c r="E12" s="229">
        <f t="shared" si="5"/>
        <v>276.92307692307685</v>
      </c>
      <c r="F12" s="88">
        <f t="shared" si="1"/>
        <v>9.2008245286242616</v>
      </c>
      <c r="G12">
        <f t="shared" si="4"/>
        <v>-9.1337401585843505</v>
      </c>
      <c r="H12">
        <f t="shared" si="2"/>
        <v>1.1090368442921013</v>
      </c>
    </row>
    <row r="13" spans="1:28" ht="17" x14ac:dyDescent="0.35">
      <c r="A13" s="217" t="s">
        <v>1452</v>
      </c>
      <c r="B13" s="193">
        <f>'GREENSCOPE Calculation'!G146</f>
        <v>92.008245286242612</v>
      </c>
      <c r="D13" s="83" t="str">
        <f t="shared" si="6"/>
        <v>Cl, spec.</v>
      </c>
      <c r="E13" s="229">
        <f t="shared" si="5"/>
        <v>304.61538461538453</v>
      </c>
      <c r="F13" s="88">
        <f t="shared" si="1"/>
        <v>9.2008245286242616</v>
      </c>
      <c r="G13">
        <f t="shared" si="4"/>
        <v>-7.5721301399763847</v>
      </c>
      <c r="H13">
        <f t="shared" si="2"/>
        <v>5.2266640555707315</v>
      </c>
    </row>
    <row r="14" spans="1:28" x14ac:dyDescent="0.35">
      <c r="A14" s="217" t="s">
        <v>1454</v>
      </c>
      <c r="B14" s="193">
        <f>'GREENSCOPE Calculation'!G147</f>
        <v>100</v>
      </c>
      <c r="D14" s="83" t="str">
        <f t="shared" si="6"/>
        <v>REV</v>
      </c>
      <c r="E14" s="229">
        <f t="shared" si="5"/>
        <v>332.30769230769221</v>
      </c>
      <c r="F14" s="88">
        <f t="shared" si="1"/>
        <v>10</v>
      </c>
      <c r="G14">
        <f t="shared" si="4"/>
        <v>-4.6472317204376994</v>
      </c>
      <c r="H14">
        <f t="shared" si="2"/>
        <v>8.8545602565320909</v>
      </c>
    </row>
    <row r="15" spans="1:28" ht="17" x14ac:dyDescent="0.35">
      <c r="A15" s="217" t="s">
        <v>1457</v>
      </c>
      <c r="B15" s="193">
        <f>'GREENSCOPE Calculation'!G148</f>
        <v>100</v>
      </c>
      <c r="D15" s="83" t="str">
        <f t="shared" si="6"/>
        <v xml:space="preserve"> REVeco-prod</v>
      </c>
      <c r="E15" s="229">
        <f t="shared" si="5"/>
        <v>359.99999999999989</v>
      </c>
      <c r="F15" s="88">
        <f>B15/10</f>
        <v>10</v>
      </c>
      <c r="G15">
        <f t="shared" si="4"/>
        <v>-2.0213865303819745E-14</v>
      </c>
      <c r="H15">
        <f t="shared" si="2"/>
        <v>10</v>
      </c>
    </row>
    <row r="16" spans="1:28" x14ac:dyDescent="0.35">
      <c r="A16" s="92"/>
      <c r="B16" s="92"/>
    </row>
    <row r="17" spans="1:2" x14ac:dyDescent="0.35">
      <c r="A17" s="92"/>
      <c r="B17" s="92"/>
    </row>
    <row r="18" spans="1:2" x14ac:dyDescent="0.35">
      <c r="A18" s="92"/>
      <c r="B18" s="92"/>
    </row>
    <row r="19" spans="1:2" x14ac:dyDescent="0.35">
      <c r="A19" s="92"/>
      <c r="B19" s="92"/>
    </row>
    <row r="20" spans="1:2" x14ac:dyDescent="0.35">
      <c r="A20" s="92"/>
      <c r="B20" s="92"/>
    </row>
    <row r="21" spans="1:2" x14ac:dyDescent="0.35">
      <c r="B21" s="107"/>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80E4A-5E2B-42DD-9405-F50AA1CD157C}">
  <dimension ref="A1:O27"/>
  <sheetViews>
    <sheetView topLeftCell="A9" zoomScale="75" zoomScaleNormal="75" workbookViewId="0">
      <selection activeCell="J30" sqref="J30"/>
    </sheetView>
  </sheetViews>
  <sheetFormatPr defaultRowHeight="14.5" x14ac:dyDescent="0.35"/>
  <cols>
    <col min="1" max="1" width="20.453125" customWidth="1"/>
    <col min="2" max="2" width="15.81640625" customWidth="1"/>
    <col min="3" max="3" width="14.453125" customWidth="1"/>
    <col min="4" max="4" width="16.26953125" bestFit="1" customWidth="1"/>
    <col min="8" max="8" width="25.26953125" customWidth="1"/>
    <col min="9" max="9" width="18.81640625" customWidth="1"/>
    <col min="10" max="10" width="14.7265625" customWidth="1"/>
    <col min="11" max="11" width="20.1796875" customWidth="1"/>
    <col min="12" max="12" width="18.1796875" customWidth="1"/>
    <col min="15" max="15" width="12" bestFit="1" customWidth="1"/>
  </cols>
  <sheetData>
    <row r="1" spans="1:15" ht="23" x14ac:dyDescent="0.35">
      <c r="A1" s="291" t="s">
        <v>1503</v>
      </c>
      <c r="B1" s="291" t="s">
        <v>1504</v>
      </c>
      <c r="C1" s="291"/>
      <c r="D1" s="291" t="s">
        <v>1505</v>
      </c>
      <c r="E1" s="249" t="s">
        <v>1506</v>
      </c>
      <c r="H1" s="291" t="s">
        <v>1503</v>
      </c>
      <c r="I1" s="291" t="s">
        <v>1507</v>
      </c>
      <c r="J1" s="291"/>
      <c r="K1" s="291" t="s">
        <v>1505</v>
      </c>
      <c r="L1" s="249" t="s">
        <v>1506</v>
      </c>
    </row>
    <row r="2" spans="1:15" ht="23.5" thickBot="1" x14ac:dyDescent="0.4">
      <c r="A2" s="292"/>
      <c r="B2" s="292"/>
      <c r="C2" s="292"/>
      <c r="D2" s="292"/>
      <c r="E2" s="250" t="s">
        <v>1508</v>
      </c>
      <c r="H2" s="292"/>
      <c r="I2" s="292"/>
      <c r="J2" s="292"/>
      <c r="K2" s="292"/>
      <c r="L2" s="250" t="s">
        <v>1508</v>
      </c>
      <c r="N2" t="s">
        <v>1509</v>
      </c>
    </row>
    <row r="3" spans="1:15" ht="15" thickBot="1" x14ac:dyDescent="0.4">
      <c r="A3" s="71"/>
      <c r="B3" s="71" t="s">
        <v>1510</v>
      </c>
      <c r="C3" s="71" t="s">
        <v>1511</v>
      </c>
      <c r="D3" s="293"/>
      <c r="E3" s="293"/>
      <c r="H3" s="71"/>
      <c r="I3" s="71" t="s">
        <v>1510</v>
      </c>
      <c r="J3" s="71" t="s">
        <v>1511</v>
      </c>
      <c r="K3" s="293"/>
      <c r="L3" s="293"/>
      <c r="N3" t="s">
        <v>315</v>
      </c>
      <c r="O3" t="s">
        <v>1512</v>
      </c>
    </row>
    <row r="4" spans="1:15" x14ac:dyDescent="0.35">
      <c r="A4" s="72" t="s">
        <v>1513</v>
      </c>
      <c r="B4" s="237" t="s">
        <v>310</v>
      </c>
      <c r="C4" s="237" t="s">
        <v>1514</v>
      </c>
      <c r="D4" s="237" t="s">
        <v>1515</v>
      </c>
      <c r="E4" s="237" t="s">
        <v>1516</v>
      </c>
      <c r="H4" s="72" t="s">
        <v>1513</v>
      </c>
      <c r="I4" s="72" t="s">
        <v>310</v>
      </c>
      <c r="J4" s="72" t="s">
        <v>1517</v>
      </c>
      <c r="K4" s="72" t="s">
        <v>1518</v>
      </c>
      <c r="L4" s="72" t="s">
        <v>1519</v>
      </c>
      <c r="N4">
        <v>1000</v>
      </c>
      <c r="O4" s="76">
        <f>N4/('EoL Material Flow Analysis'!$B$46+'EoL Material Flow Analysis'!$D$46)</f>
        <v>3.1372275896264748E-5</v>
      </c>
    </row>
    <row r="5" spans="1:15" x14ac:dyDescent="0.35">
      <c r="A5" s="72" t="s">
        <v>1520</v>
      </c>
      <c r="B5" s="237" t="s">
        <v>310</v>
      </c>
      <c r="C5" s="237" t="s">
        <v>310</v>
      </c>
      <c r="D5" s="237" t="s">
        <v>1521</v>
      </c>
      <c r="E5" s="237" t="s">
        <v>1522</v>
      </c>
      <c r="H5" s="72" t="s">
        <v>1520</v>
      </c>
      <c r="I5" s="72" t="s">
        <v>310</v>
      </c>
      <c r="J5" s="72" t="s">
        <v>310</v>
      </c>
      <c r="K5" s="77" t="s">
        <v>1523</v>
      </c>
      <c r="L5" s="72" t="s">
        <v>1524</v>
      </c>
      <c r="N5">
        <v>1.1399999999999999</v>
      </c>
      <c r="O5" s="76">
        <f>N5/('EoL Material Flow Analysis'!$B$46+'EoL Material Flow Analysis'!$D$46)</f>
        <v>3.5764394521741811E-8</v>
      </c>
    </row>
    <row r="6" spans="1:15" x14ac:dyDescent="0.35">
      <c r="A6" s="72" t="s">
        <v>1525</v>
      </c>
      <c r="B6" s="237" t="s">
        <v>1526</v>
      </c>
      <c r="C6" s="237" t="s">
        <v>310</v>
      </c>
      <c r="D6" s="237" t="s">
        <v>310</v>
      </c>
      <c r="E6" s="237" t="s">
        <v>310</v>
      </c>
      <c r="H6" s="72" t="s">
        <v>1525</v>
      </c>
      <c r="I6" s="72" t="s">
        <v>1527</v>
      </c>
      <c r="J6" s="72" t="s">
        <v>310</v>
      </c>
      <c r="K6" s="72" t="s">
        <v>310</v>
      </c>
      <c r="L6" s="72" t="s">
        <v>310</v>
      </c>
      <c r="N6">
        <v>3400</v>
      </c>
      <c r="O6" s="76">
        <f>N6/('EoL Material Flow Analysis'!$B$46+'EoL Material Flow Analysis'!$D$46)</f>
        <v>1.0666573804730014E-4</v>
      </c>
    </row>
    <row r="7" spans="1:15" ht="15" thickBot="1" x14ac:dyDescent="0.4">
      <c r="A7" s="71" t="s">
        <v>962</v>
      </c>
      <c r="B7" s="239" t="s">
        <v>310</v>
      </c>
      <c r="C7" s="239" t="s">
        <v>1514</v>
      </c>
      <c r="D7" s="239" t="s">
        <v>310</v>
      </c>
      <c r="E7" s="239" t="s">
        <v>310</v>
      </c>
      <c r="H7" s="71" t="s">
        <v>962</v>
      </c>
      <c r="I7" s="71" t="s">
        <v>310</v>
      </c>
      <c r="J7" s="71" t="s">
        <v>1517</v>
      </c>
      <c r="K7" s="71" t="s">
        <v>310</v>
      </c>
      <c r="L7" s="71" t="s">
        <v>310</v>
      </c>
      <c r="N7">
        <v>34000</v>
      </c>
      <c r="O7" s="76">
        <f>N7/('EoL Material Flow Analysis'!$B$46+'EoL Material Flow Analysis'!$D$46)</f>
        <v>1.0666573804730013E-3</v>
      </c>
    </row>
    <row r="8" spans="1:15" ht="15" thickBot="1" x14ac:dyDescent="0.4">
      <c r="A8" s="71" t="s">
        <v>1003</v>
      </c>
      <c r="B8" s="71"/>
      <c r="C8" s="71"/>
      <c r="D8" s="71"/>
      <c r="E8" s="71"/>
      <c r="H8" s="71" t="s">
        <v>1003</v>
      </c>
      <c r="I8" s="71"/>
      <c r="J8" s="71"/>
      <c r="K8" s="71"/>
      <c r="L8" s="71"/>
      <c r="N8">
        <v>6500</v>
      </c>
      <c r="O8" s="76">
        <f>N8/('EoL Material Flow Analysis'!$B$46+'EoL Material Flow Analysis'!$D$46)</f>
        <v>2.0391979332572084E-4</v>
      </c>
    </row>
    <row r="9" spans="1:15" ht="29" x14ac:dyDescent="0.35">
      <c r="A9" s="73" t="s">
        <v>1528</v>
      </c>
      <c r="B9" s="240" t="s">
        <v>310</v>
      </c>
      <c r="C9" s="241" t="s">
        <v>1529</v>
      </c>
      <c r="D9" s="246" t="s">
        <v>310</v>
      </c>
      <c r="E9" s="246" t="s">
        <v>310</v>
      </c>
      <c r="H9" s="73" t="s">
        <v>1528</v>
      </c>
      <c r="I9" s="72" t="s">
        <v>310</v>
      </c>
      <c r="J9" s="72" t="s">
        <v>1530</v>
      </c>
      <c r="K9" s="72" t="s">
        <v>310</v>
      </c>
      <c r="L9" s="72" t="s">
        <v>310</v>
      </c>
      <c r="N9">
        <v>230000</v>
      </c>
      <c r="O9" s="76">
        <f>N9/('EoL Material Flow Analysis'!$B$46+'EoL Material Flow Analysis'!$D$46)</f>
        <v>7.2156234561408916E-3</v>
      </c>
    </row>
    <row r="10" spans="1:15" x14ac:dyDescent="0.35">
      <c r="A10" s="73" t="s">
        <v>322</v>
      </c>
      <c r="B10" s="236" t="s">
        <v>1531</v>
      </c>
      <c r="C10" s="244" t="s">
        <v>1532</v>
      </c>
      <c r="D10" s="236" t="s">
        <v>1533</v>
      </c>
      <c r="E10" s="236" t="s">
        <v>1534</v>
      </c>
      <c r="H10" s="73" t="s">
        <v>322</v>
      </c>
      <c r="I10" s="77" t="s">
        <v>1535</v>
      </c>
      <c r="J10" s="72" t="s">
        <v>1536</v>
      </c>
      <c r="K10" s="72" t="s">
        <v>1537</v>
      </c>
      <c r="L10" s="72" t="s">
        <v>1538</v>
      </c>
      <c r="N10">
        <v>39000</v>
      </c>
      <c r="O10" s="76">
        <f>N10/('EoL Material Flow Analysis'!$B$46+'EoL Material Flow Analysis'!$D$46)</f>
        <v>1.2235187599543252E-3</v>
      </c>
    </row>
    <row r="11" spans="1:15" ht="15" thickBot="1" x14ac:dyDescent="0.4">
      <c r="A11" s="74" t="s">
        <v>323</v>
      </c>
      <c r="B11" s="238" t="s">
        <v>310</v>
      </c>
      <c r="C11" s="245" t="s">
        <v>1539</v>
      </c>
      <c r="D11" s="238" t="s">
        <v>1533</v>
      </c>
      <c r="E11" s="238" t="s">
        <v>1534</v>
      </c>
      <c r="H11" s="74" t="s">
        <v>323</v>
      </c>
      <c r="I11" s="71" t="s">
        <v>310</v>
      </c>
      <c r="J11" s="71" t="s">
        <v>1540</v>
      </c>
      <c r="K11" s="71" t="s">
        <v>1537</v>
      </c>
      <c r="L11" s="71" t="s">
        <v>1538</v>
      </c>
      <c r="N11">
        <v>57</v>
      </c>
      <c r="O11" s="76">
        <f>N11/('EoL Material Flow Analysis'!$B$46+'EoL Material Flow Analysis'!$D$46)</f>
        <v>1.7882197260870905E-6</v>
      </c>
    </row>
    <row r="12" spans="1:15" ht="24.75" customHeight="1" thickBot="1" x14ac:dyDescent="0.4">
      <c r="A12" s="71" t="s">
        <v>1541</v>
      </c>
      <c r="B12" s="75"/>
      <c r="C12" s="71"/>
      <c r="D12" s="71"/>
      <c r="E12" s="71"/>
      <c r="H12" s="71" t="s">
        <v>1541</v>
      </c>
      <c r="I12" s="75"/>
      <c r="J12" s="71"/>
      <c r="K12" s="71"/>
      <c r="L12" s="71"/>
      <c r="N12">
        <v>1767</v>
      </c>
      <c r="O12" s="76">
        <f>N12/('EoL Material Flow Analysis'!$B$46+'EoL Material Flow Analysis'!$D$46)</f>
        <v>5.5434811508699809E-5</v>
      </c>
    </row>
    <row r="13" spans="1:15" x14ac:dyDescent="0.35">
      <c r="A13" s="73" t="s">
        <v>1542</v>
      </c>
      <c r="B13" s="236" t="s">
        <v>310</v>
      </c>
      <c r="C13" s="236" t="s">
        <v>1543</v>
      </c>
      <c r="D13" s="243" t="s">
        <v>1544</v>
      </c>
      <c r="E13" s="243" t="s">
        <v>1545</v>
      </c>
      <c r="H13" s="73" t="s">
        <v>1542</v>
      </c>
      <c r="I13" s="72" t="s">
        <v>310</v>
      </c>
      <c r="J13" s="72" t="s">
        <v>1546</v>
      </c>
      <c r="K13" s="72" t="s">
        <v>1547</v>
      </c>
      <c r="L13" s="72" t="s">
        <v>1548</v>
      </c>
      <c r="N13">
        <v>1.6E-2</v>
      </c>
      <c r="O13" s="76">
        <f>N13/('EoL Material Flow Analysis'!$B$46+'EoL Material Flow Analysis'!$D$46)</f>
        <v>5.0195641434023593E-10</v>
      </c>
    </row>
    <row r="14" spans="1:15" ht="29" x14ac:dyDescent="0.35">
      <c r="A14" s="73" t="s">
        <v>541</v>
      </c>
      <c r="B14" s="236" t="s">
        <v>1549</v>
      </c>
      <c r="C14" s="236" t="s">
        <v>1550</v>
      </c>
      <c r="D14" s="236" t="s">
        <v>1551</v>
      </c>
      <c r="E14" s="236" t="s">
        <v>1552</v>
      </c>
      <c r="H14" s="73" t="s">
        <v>541</v>
      </c>
      <c r="I14" s="77" t="s">
        <v>1553</v>
      </c>
      <c r="J14" s="72" t="s">
        <v>1554</v>
      </c>
      <c r="K14" s="72" t="s">
        <v>1555</v>
      </c>
      <c r="L14" s="72" t="s">
        <v>1519</v>
      </c>
      <c r="N14">
        <v>16000</v>
      </c>
      <c r="O14" s="76">
        <f>N14/('EoL Material Flow Analysis'!$B$46+'EoL Material Flow Analysis'!$D$46)</f>
        <v>5.0195641434023597E-4</v>
      </c>
    </row>
    <row r="15" spans="1:15" ht="28.5" customHeight="1" thickBot="1" x14ac:dyDescent="0.4">
      <c r="A15" s="74" t="s">
        <v>181</v>
      </c>
      <c r="B15" s="242" t="s">
        <v>1556</v>
      </c>
      <c r="C15" s="242" t="s">
        <v>1557</v>
      </c>
      <c r="D15" s="242" t="s">
        <v>1558</v>
      </c>
      <c r="E15" s="242" t="s">
        <v>1516</v>
      </c>
      <c r="H15" s="74" t="s">
        <v>181</v>
      </c>
      <c r="I15" s="78" t="s">
        <v>1559</v>
      </c>
      <c r="J15" s="71" t="s">
        <v>1560</v>
      </c>
      <c r="K15" s="78" t="s">
        <v>1561</v>
      </c>
      <c r="L15" s="71" t="s">
        <v>1519</v>
      </c>
      <c r="N15">
        <v>42000</v>
      </c>
      <c r="O15" s="76">
        <f>N15/('EoL Material Flow Analysis'!$B$46+'EoL Material Flow Analysis'!$D$46)</f>
        <v>1.3176355876431194E-3</v>
      </c>
    </row>
    <row r="16" spans="1:15" ht="15" thickBot="1" x14ac:dyDescent="0.4">
      <c r="A16" s="71" t="s">
        <v>960</v>
      </c>
      <c r="B16" s="71"/>
      <c r="C16" s="71"/>
      <c r="D16" s="71"/>
      <c r="E16" s="71"/>
      <c r="H16" s="71" t="s">
        <v>960</v>
      </c>
      <c r="I16" s="71"/>
      <c r="J16" s="71"/>
      <c r="K16" s="71"/>
      <c r="L16" s="71"/>
      <c r="N16">
        <v>5700</v>
      </c>
      <c r="O16" s="76">
        <f>N16/('EoL Material Flow Analysis'!$B$46+'EoL Material Flow Analysis'!$D$46)</f>
        <v>1.7882197260870905E-4</v>
      </c>
    </row>
    <row r="17" spans="1:15" ht="29" x14ac:dyDescent="0.35">
      <c r="A17" s="73" t="s">
        <v>1528</v>
      </c>
      <c r="B17" s="243" t="s">
        <v>310</v>
      </c>
      <c r="C17" s="243" t="s">
        <v>1562</v>
      </c>
      <c r="D17" s="243" t="s">
        <v>310</v>
      </c>
      <c r="E17" s="236" t="s">
        <v>310</v>
      </c>
      <c r="H17" s="73" t="s">
        <v>1528</v>
      </c>
      <c r="I17" s="72" t="s">
        <v>310</v>
      </c>
      <c r="J17" s="72" t="s">
        <v>1563</v>
      </c>
      <c r="K17" s="72" t="s">
        <v>310</v>
      </c>
      <c r="L17" s="72" t="s">
        <v>310</v>
      </c>
      <c r="N17">
        <v>160</v>
      </c>
      <c r="O17" s="76">
        <f>N17/('EoL Material Flow Analysis'!$B$46+'EoL Material Flow Analysis'!$D$46)</f>
        <v>5.0195641434023595E-6</v>
      </c>
    </row>
    <row r="18" spans="1:15" x14ac:dyDescent="0.35">
      <c r="A18" s="73" t="s">
        <v>324</v>
      </c>
      <c r="B18" s="243" t="s">
        <v>310</v>
      </c>
      <c r="C18" s="243" t="s">
        <v>1564</v>
      </c>
      <c r="D18" s="243" t="s">
        <v>310</v>
      </c>
      <c r="E18" s="243" t="s">
        <v>1565</v>
      </c>
      <c r="H18" s="73" t="s">
        <v>324</v>
      </c>
      <c r="I18" s="72" t="s">
        <v>310</v>
      </c>
      <c r="J18" s="77" t="s">
        <v>1566</v>
      </c>
      <c r="K18" s="72" t="s">
        <v>310</v>
      </c>
      <c r="L18" s="72" t="s">
        <v>1567</v>
      </c>
      <c r="N18">
        <v>0.84</v>
      </c>
      <c r="O18" s="76">
        <f>N18/('EoL Material Flow Analysis'!$B$46+'EoL Material Flow Analysis'!$D$46)</f>
        <v>2.6352711752862387E-8</v>
      </c>
    </row>
    <row r="19" spans="1:15" ht="15" thickBot="1" x14ac:dyDescent="0.4">
      <c r="A19" s="74" t="s">
        <v>325</v>
      </c>
      <c r="B19" s="242" t="s">
        <v>1568</v>
      </c>
      <c r="C19" s="242" t="s">
        <v>310</v>
      </c>
      <c r="D19" s="242" t="s">
        <v>1569</v>
      </c>
      <c r="E19" s="242" t="s">
        <v>310</v>
      </c>
      <c r="H19" s="74" t="s">
        <v>325</v>
      </c>
      <c r="I19" s="78" t="s">
        <v>1570</v>
      </c>
      <c r="J19" s="71" t="s">
        <v>310</v>
      </c>
      <c r="K19" s="78" t="s">
        <v>1571</v>
      </c>
      <c r="L19" s="71" t="s">
        <v>310</v>
      </c>
      <c r="N19">
        <v>115000</v>
      </c>
      <c r="O19" s="76">
        <f>N19/('EoL Material Flow Analysis'!$B$46+'EoL Material Flow Analysis'!$D$46)</f>
        <v>3.6078117280704458E-3</v>
      </c>
    </row>
    <row r="20" spans="1:15" x14ac:dyDescent="0.35">
      <c r="N20">
        <v>460000</v>
      </c>
      <c r="O20" s="76">
        <f>N20/('EoL Material Flow Analysis'!$B$46+'EoL Material Flow Analysis'!$D$46)</f>
        <v>1.4431246912281783E-2</v>
      </c>
    </row>
    <row r="21" spans="1:15" ht="23" x14ac:dyDescent="0.35">
      <c r="I21" s="235" t="s">
        <v>1572</v>
      </c>
      <c r="J21" s="235" t="s">
        <v>1573</v>
      </c>
      <c r="K21" s="235" t="s">
        <v>1574</v>
      </c>
      <c r="L21" s="235" t="s">
        <v>1575</v>
      </c>
      <c r="N21">
        <v>1040000</v>
      </c>
      <c r="O21" s="76">
        <f>N21/('EoL Material Flow Analysis'!$B$46+'EoL Material Flow Analysis'!$D$46)</f>
        <v>3.2627166932115335E-2</v>
      </c>
    </row>
    <row r="22" spans="1:15" x14ac:dyDescent="0.35">
      <c r="H22" s="73" t="s">
        <v>886</v>
      </c>
      <c r="I22">
        <f>0 + 0.00011+0.0000018+0.00000001+0.0036</f>
        <v>3.7118099999999998E-3</v>
      </c>
      <c r="J22">
        <f>0.00023</f>
        <v>2.3000000000000001E-4</v>
      </c>
      <c r="K22">
        <f>0.28+0.075+0.0000055+11</f>
        <v>11.355005500000001</v>
      </c>
      <c r="L22">
        <f>140+710+1.6+140+750</f>
        <v>1741.6</v>
      </c>
      <c r="N22">
        <v>10455</v>
      </c>
      <c r="O22" s="76">
        <f>N22/('EoL Material Flow Analysis'!$B$46+'EoL Material Flow Analysis'!$D$46)</f>
        <v>3.279971444954479E-4</v>
      </c>
    </row>
    <row r="23" spans="1:15" x14ac:dyDescent="0.35">
      <c r="H23" s="73" t="s">
        <v>888</v>
      </c>
      <c r="I23">
        <f>0.000000036+0.0011+0.000055+0.000005+0.0001+0.014</f>
        <v>1.5260036000000001E-2</v>
      </c>
      <c r="J23">
        <f>0.0031+0.0031+0.0072+0.00022+0.0012+0.0013+0.00018+0.0005+0.033+0.0013</f>
        <v>5.11E-2</v>
      </c>
      <c r="K23">
        <f>0.2+2900+150+150+110+1.8+0.00078+72000</f>
        <v>75312.000780000002</v>
      </c>
      <c r="L23">
        <f>290+2100+5000+5000+2200+290+2300</f>
        <v>17180</v>
      </c>
      <c r="N23">
        <v>209109</v>
      </c>
      <c r="O23" s="76">
        <f>N23/('EoL Material Flow Analysis'!$B$46+'EoL Material Flow Analysis'!$D$46)</f>
        <v>6.5602252403920251E-3</v>
      </c>
    </row>
    <row r="24" spans="1:15" x14ac:dyDescent="0.35">
      <c r="N24">
        <v>1.6E-2</v>
      </c>
      <c r="O24" s="76">
        <f>N24/('EoL Material Flow Analysis'!$B$46+'EoL Material Flow Analysis'!$D$46)</f>
        <v>5.0195641434023593E-10</v>
      </c>
    </row>
    <row r="25" spans="1:15" x14ac:dyDescent="0.35">
      <c r="N25">
        <f>125000</f>
        <v>125000</v>
      </c>
      <c r="O25" s="76">
        <f>N25/('EoL Material Flow Analysis'!$B$46+'EoL Material Flow Analysis'!$D$46)</f>
        <v>3.9215344870330935E-3</v>
      </c>
    </row>
    <row r="26" spans="1:15" x14ac:dyDescent="0.35">
      <c r="N26">
        <v>1601000</v>
      </c>
      <c r="O26" s="76">
        <f>N26/('EoL Material Flow Analysis'!$B$46+'EoL Material Flow Analysis'!$D$46)</f>
        <v>5.022701370991986E-2</v>
      </c>
    </row>
    <row r="27" spans="1:15" x14ac:dyDescent="0.35">
      <c r="N27">
        <v>100000</v>
      </c>
      <c r="O27" s="76">
        <f>N27/('EoL Material Flow Analysis'!$B$46+'EoL Material Flow Analysis'!$D$46)</f>
        <v>3.1372275896264746E-3</v>
      </c>
    </row>
  </sheetData>
  <mergeCells count="8">
    <mergeCell ref="K1:K2"/>
    <mergeCell ref="K3:L3"/>
    <mergeCell ref="A1:A2"/>
    <mergeCell ref="B1:C2"/>
    <mergeCell ref="D1:D2"/>
    <mergeCell ref="D3:E3"/>
    <mergeCell ref="H1:H2"/>
    <mergeCell ref="I1:J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A68E2-C5BE-47CB-BD51-282541B54621}">
  <dimension ref="A1:M62"/>
  <sheetViews>
    <sheetView zoomScale="91" zoomScaleNormal="91" workbookViewId="0">
      <selection activeCell="F46" sqref="D46:F46"/>
    </sheetView>
  </sheetViews>
  <sheetFormatPr defaultRowHeight="14.5" x14ac:dyDescent="0.35"/>
  <cols>
    <col min="1" max="1" width="50.26953125" style="11" customWidth="1"/>
    <col min="2" max="2" width="16.7265625" customWidth="1"/>
    <col min="4" max="4" width="24.453125" customWidth="1"/>
    <col min="5" max="5" width="12.453125" customWidth="1"/>
    <col min="6" max="6" width="16.81640625" customWidth="1"/>
    <col min="7" max="8" width="17.7265625" customWidth="1"/>
    <col min="9" max="9" width="86" customWidth="1"/>
    <col min="10" max="10" width="29.54296875" customWidth="1"/>
    <col min="11" max="11" width="6.54296875" customWidth="1"/>
    <col min="12" max="12" width="24.81640625" customWidth="1"/>
  </cols>
  <sheetData>
    <row r="1" spans="1:12" s="11" customFormat="1" x14ac:dyDescent="0.35">
      <c r="A1" s="11" t="s">
        <v>1576</v>
      </c>
      <c r="B1" s="11" t="s">
        <v>1577</v>
      </c>
      <c r="C1" s="11" t="s">
        <v>1578</v>
      </c>
      <c r="D1" s="11" t="s">
        <v>1579</v>
      </c>
      <c r="E1" s="11" t="s">
        <v>1580</v>
      </c>
      <c r="F1" s="11" t="s">
        <v>1581</v>
      </c>
      <c r="G1" s="11" t="s">
        <v>1582</v>
      </c>
      <c r="H1" s="11" t="s">
        <v>1583</v>
      </c>
      <c r="I1" s="11" t="s">
        <v>1584</v>
      </c>
      <c r="J1" s="11" t="s">
        <v>1585</v>
      </c>
      <c r="K1" s="11" t="s">
        <v>1586</v>
      </c>
      <c r="L1" s="11" t="s">
        <v>371</v>
      </c>
    </row>
    <row r="2" spans="1:12" x14ac:dyDescent="0.35">
      <c r="A2" s="11" t="s">
        <v>1587</v>
      </c>
      <c r="B2" t="s">
        <v>1588</v>
      </c>
      <c r="D2" t="s">
        <v>1589</v>
      </c>
      <c r="E2" t="s">
        <v>26</v>
      </c>
      <c r="F2" t="s">
        <v>86</v>
      </c>
      <c r="I2" t="s">
        <v>1590</v>
      </c>
      <c r="J2" t="s">
        <v>1591</v>
      </c>
      <c r="L2" t="s">
        <v>1592</v>
      </c>
    </row>
    <row r="3" spans="1:12" x14ac:dyDescent="0.35">
      <c r="A3" s="11" t="s">
        <v>1593</v>
      </c>
      <c r="B3" t="s">
        <v>1594</v>
      </c>
      <c r="D3" t="s">
        <v>1589</v>
      </c>
      <c r="E3" t="s">
        <v>26</v>
      </c>
      <c r="F3" t="s">
        <v>86</v>
      </c>
      <c r="I3" t="s">
        <v>1595</v>
      </c>
      <c r="L3" t="s">
        <v>1596</v>
      </c>
    </row>
    <row r="4" spans="1:12" x14ac:dyDescent="0.35">
      <c r="A4" s="11" t="s">
        <v>1597</v>
      </c>
      <c r="D4" t="s">
        <v>1598</v>
      </c>
      <c r="E4" t="s">
        <v>26</v>
      </c>
      <c r="F4" t="s">
        <v>34</v>
      </c>
      <c r="I4" t="s">
        <v>1599</v>
      </c>
      <c r="L4" t="s">
        <v>1600</v>
      </c>
    </row>
    <row r="5" spans="1:12" x14ac:dyDescent="0.35">
      <c r="A5" s="11" t="s">
        <v>1601</v>
      </c>
      <c r="D5" t="s">
        <v>1602</v>
      </c>
      <c r="E5" t="s">
        <v>26</v>
      </c>
      <c r="F5" t="s">
        <v>1603</v>
      </c>
      <c r="L5" t="s">
        <v>1604</v>
      </c>
    </row>
    <row r="6" spans="1:12" x14ac:dyDescent="0.35">
      <c r="A6" s="11" t="s">
        <v>1128</v>
      </c>
      <c r="D6" t="s">
        <v>181</v>
      </c>
      <c r="E6" t="s">
        <v>26</v>
      </c>
      <c r="F6" t="s">
        <v>86</v>
      </c>
      <c r="G6" t="s">
        <v>60</v>
      </c>
      <c r="H6" t="s">
        <v>43</v>
      </c>
      <c r="I6" t="s">
        <v>1605</v>
      </c>
      <c r="L6" t="s">
        <v>1596</v>
      </c>
    </row>
    <row r="7" spans="1:12" x14ac:dyDescent="0.35">
      <c r="A7" s="11" t="s">
        <v>1606</v>
      </c>
      <c r="D7" t="s">
        <v>181</v>
      </c>
      <c r="E7" t="s">
        <v>26</v>
      </c>
      <c r="F7" t="s">
        <v>86</v>
      </c>
      <c r="L7" t="s">
        <v>1604</v>
      </c>
    </row>
    <row r="8" spans="1:12" x14ac:dyDescent="0.35">
      <c r="A8" s="11" t="s">
        <v>1607</v>
      </c>
      <c r="D8" t="s">
        <v>181</v>
      </c>
      <c r="E8" t="s">
        <v>26</v>
      </c>
      <c r="F8" t="s">
        <v>86</v>
      </c>
      <c r="L8" t="s">
        <v>1608</v>
      </c>
    </row>
    <row r="9" spans="1:12" x14ac:dyDescent="0.35">
      <c r="A9" s="11" t="s">
        <v>1609</v>
      </c>
      <c r="D9" t="s">
        <v>1589</v>
      </c>
      <c r="E9" t="s">
        <v>26</v>
      </c>
      <c r="F9" t="s">
        <v>86</v>
      </c>
      <c r="I9" t="s">
        <v>1610</v>
      </c>
      <c r="L9" t="s">
        <v>1592</v>
      </c>
    </row>
    <row r="10" spans="1:12" x14ac:dyDescent="0.35">
      <c r="A10" s="11" t="s">
        <v>1611</v>
      </c>
      <c r="D10" t="s">
        <v>1612</v>
      </c>
      <c r="E10" t="s">
        <v>13</v>
      </c>
      <c r="F10" t="s">
        <v>11</v>
      </c>
      <c r="I10" t="s">
        <v>1613</v>
      </c>
      <c r="L10" t="s">
        <v>1596</v>
      </c>
    </row>
    <row r="11" spans="1:12" x14ac:dyDescent="0.35">
      <c r="A11" s="11" t="s">
        <v>1614</v>
      </c>
      <c r="D11" t="s">
        <v>1612</v>
      </c>
      <c r="E11" t="s">
        <v>13</v>
      </c>
      <c r="F11" t="s">
        <v>11</v>
      </c>
      <c r="I11" t="s">
        <v>1615</v>
      </c>
      <c r="L11" t="s">
        <v>1596</v>
      </c>
    </row>
    <row r="12" spans="1:12" x14ac:dyDescent="0.35">
      <c r="A12" s="11" t="s">
        <v>1616</v>
      </c>
      <c r="D12" t="s">
        <v>181</v>
      </c>
      <c r="E12" t="s">
        <v>26</v>
      </c>
      <c r="F12" t="s">
        <v>43</v>
      </c>
      <c r="L12" t="s">
        <v>1617</v>
      </c>
    </row>
    <row r="13" spans="1:12" x14ac:dyDescent="0.35">
      <c r="A13" s="11" t="s">
        <v>1618</v>
      </c>
      <c r="D13" t="s">
        <v>1598</v>
      </c>
      <c r="E13" t="s">
        <v>26</v>
      </c>
      <c r="F13" t="s">
        <v>86</v>
      </c>
      <c r="I13" t="s">
        <v>1619</v>
      </c>
      <c r="L13" t="s">
        <v>1596</v>
      </c>
    </row>
    <row r="14" spans="1:12" x14ac:dyDescent="0.35">
      <c r="A14" s="11" t="s">
        <v>1620</v>
      </c>
      <c r="L14" t="s">
        <v>1600</v>
      </c>
    </row>
    <row r="15" spans="1:12" x14ac:dyDescent="0.35">
      <c r="A15" s="11" t="s">
        <v>1621</v>
      </c>
      <c r="D15" t="s">
        <v>1542</v>
      </c>
      <c r="E15" t="s">
        <v>26</v>
      </c>
      <c r="F15" t="s">
        <v>86</v>
      </c>
      <c r="I15" t="s">
        <v>1622</v>
      </c>
      <c r="L15" t="s">
        <v>1600</v>
      </c>
    </row>
    <row r="16" spans="1:12" x14ac:dyDescent="0.35">
      <c r="A16" s="11" t="s">
        <v>1623</v>
      </c>
      <c r="D16" t="s">
        <v>181</v>
      </c>
      <c r="E16" t="s">
        <v>26</v>
      </c>
      <c r="F16" t="s">
        <v>86</v>
      </c>
      <c r="L16" t="s">
        <v>1624</v>
      </c>
    </row>
    <row r="17" spans="1:12" x14ac:dyDescent="0.35">
      <c r="A17" s="11" t="s">
        <v>1625</v>
      </c>
      <c r="D17" t="s">
        <v>1612</v>
      </c>
      <c r="E17" t="s">
        <v>13</v>
      </c>
      <c r="F17" t="s">
        <v>11</v>
      </c>
      <c r="I17" t="s">
        <v>1626</v>
      </c>
      <c r="L17" t="s">
        <v>1596</v>
      </c>
    </row>
    <row r="18" spans="1:12" x14ac:dyDescent="0.35">
      <c r="A18" s="11" t="s">
        <v>1627</v>
      </c>
      <c r="D18" t="s">
        <v>1612</v>
      </c>
      <c r="E18" t="s">
        <v>13</v>
      </c>
      <c r="F18" t="s">
        <v>11</v>
      </c>
      <c r="I18" t="s">
        <v>1628</v>
      </c>
      <c r="L18" t="s">
        <v>1596</v>
      </c>
    </row>
    <row r="19" spans="1:12" x14ac:dyDescent="0.35">
      <c r="A19" s="11" t="s">
        <v>1629</v>
      </c>
      <c r="D19" t="s">
        <v>1612</v>
      </c>
      <c r="E19" t="s">
        <v>13</v>
      </c>
      <c r="F19" t="s">
        <v>11</v>
      </c>
      <c r="I19" t="s">
        <v>1630</v>
      </c>
      <c r="L19" t="s">
        <v>1596</v>
      </c>
    </row>
    <row r="20" spans="1:12" x14ac:dyDescent="0.35">
      <c r="A20" s="11" t="s">
        <v>541</v>
      </c>
      <c r="D20" t="s">
        <v>541</v>
      </c>
      <c r="E20" t="s">
        <v>26</v>
      </c>
      <c r="F20" t="s">
        <v>119</v>
      </c>
      <c r="G20" t="s">
        <v>125</v>
      </c>
      <c r="L20" t="s">
        <v>1617</v>
      </c>
    </row>
    <row r="21" spans="1:12" x14ac:dyDescent="0.35">
      <c r="A21" s="11" t="s">
        <v>1631</v>
      </c>
      <c r="D21" t="s">
        <v>181</v>
      </c>
      <c r="E21" t="s">
        <v>26</v>
      </c>
      <c r="F21" t="s">
        <v>86</v>
      </c>
      <c r="L21" t="s">
        <v>1632</v>
      </c>
    </row>
    <row r="22" spans="1:12" x14ac:dyDescent="0.35">
      <c r="A22" s="11" t="s">
        <v>1633</v>
      </c>
      <c r="B22" t="s">
        <v>1134</v>
      </c>
      <c r="D22" t="s">
        <v>1589</v>
      </c>
      <c r="E22" t="s">
        <v>26</v>
      </c>
      <c r="F22" t="s">
        <v>86</v>
      </c>
      <c r="L22" t="s">
        <v>1604</v>
      </c>
    </row>
    <row r="23" spans="1:12" x14ac:dyDescent="0.35">
      <c r="A23" s="11" t="s">
        <v>1634</v>
      </c>
      <c r="B23" t="s">
        <v>1635</v>
      </c>
      <c r="D23" t="s">
        <v>1589</v>
      </c>
      <c r="E23" t="s">
        <v>26</v>
      </c>
      <c r="F23" t="s">
        <v>86</v>
      </c>
      <c r="I23" t="s">
        <v>1636</v>
      </c>
      <c r="L23" t="s">
        <v>1596</v>
      </c>
    </row>
    <row r="24" spans="1:12" x14ac:dyDescent="0.35">
      <c r="A24" s="11" t="s">
        <v>1637</v>
      </c>
      <c r="D24" t="s">
        <v>1612</v>
      </c>
      <c r="E24" t="s">
        <v>13</v>
      </c>
      <c r="F24" t="s">
        <v>11</v>
      </c>
      <c r="I24" t="s">
        <v>1638</v>
      </c>
      <c r="L24" t="s">
        <v>1596</v>
      </c>
    </row>
    <row r="25" spans="1:12" x14ac:dyDescent="0.35">
      <c r="A25" s="11" t="s">
        <v>1639</v>
      </c>
      <c r="D25" t="s">
        <v>181</v>
      </c>
      <c r="E25" t="s">
        <v>26</v>
      </c>
      <c r="F25" t="s">
        <v>43</v>
      </c>
      <c r="I25" t="s">
        <v>1640</v>
      </c>
    </row>
    <row r="26" spans="1:12" x14ac:dyDescent="0.35">
      <c r="A26" s="11" t="s">
        <v>1641</v>
      </c>
      <c r="D26" t="s">
        <v>1612</v>
      </c>
      <c r="E26" t="s">
        <v>13</v>
      </c>
      <c r="F26" t="s">
        <v>11</v>
      </c>
      <c r="I26" t="s">
        <v>1642</v>
      </c>
      <c r="L26" t="s">
        <v>1596</v>
      </c>
    </row>
    <row r="27" spans="1:12" x14ac:dyDescent="0.35">
      <c r="A27" s="11" t="s">
        <v>1643</v>
      </c>
      <c r="D27" t="s">
        <v>181</v>
      </c>
      <c r="E27" t="s">
        <v>26</v>
      </c>
      <c r="F27" t="s">
        <v>43</v>
      </c>
      <c r="L27" t="s">
        <v>1617</v>
      </c>
    </row>
    <row r="28" spans="1:12" x14ac:dyDescent="0.35">
      <c r="A28" s="11" t="s">
        <v>1644</v>
      </c>
      <c r="D28" t="s">
        <v>1612</v>
      </c>
      <c r="E28" t="s">
        <v>13</v>
      </c>
      <c r="F28" t="s">
        <v>11</v>
      </c>
      <c r="I28" t="s">
        <v>1645</v>
      </c>
      <c r="L28" t="s">
        <v>1596</v>
      </c>
    </row>
    <row r="29" spans="1:12" x14ac:dyDescent="0.35">
      <c r="A29" s="11" t="s">
        <v>1646</v>
      </c>
      <c r="D29" t="s">
        <v>1647</v>
      </c>
      <c r="E29" t="s">
        <v>26</v>
      </c>
      <c r="F29" t="s">
        <v>60</v>
      </c>
      <c r="I29" t="s">
        <v>1648</v>
      </c>
      <c r="L29" t="s">
        <v>1592</v>
      </c>
    </row>
    <row r="30" spans="1:12" x14ac:dyDescent="0.35">
      <c r="A30" s="11" t="s">
        <v>1649</v>
      </c>
      <c r="D30" t="s">
        <v>181</v>
      </c>
      <c r="E30" t="s">
        <v>26</v>
      </c>
      <c r="F30" t="s">
        <v>86</v>
      </c>
      <c r="G30" t="s">
        <v>60</v>
      </c>
      <c r="H30" t="s">
        <v>43</v>
      </c>
      <c r="I30" t="s">
        <v>1605</v>
      </c>
      <c r="L30" t="s">
        <v>1596</v>
      </c>
    </row>
    <row r="31" spans="1:12" x14ac:dyDescent="0.35">
      <c r="A31" s="11" t="s">
        <v>1650</v>
      </c>
      <c r="B31" t="s">
        <v>1651</v>
      </c>
      <c r="D31" t="s">
        <v>1589</v>
      </c>
      <c r="E31" t="s">
        <v>26</v>
      </c>
      <c r="F31" t="s">
        <v>86</v>
      </c>
      <c r="I31" t="s">
        <v>1652</v>
      </c>
      <c r="L31" t="s">
        <v>1596</v>
      </c>
    </row>
    <row r="32" spans="1:12" x14ac:dyDescent="0.35">
      <c r="A32" s="11" t="s">
        <v>1653</v>
      </c>
      <c r="D32" t="s">
        <v>1589</v>
      </c>
      <c r="E32" t="s">
        <v>26</v>
      </c>
      <c r="F32" t="s">
        <v>34</v>
      </c>
      <c r="I32" t="s">
        <v>1654</v>
      </c>
      <c r="L32" t="s">
        <v>1596</v>
      </c>
    </row>
    <row r="33" spans="1:13" x14ac:dyDescent="0.35">
      <c r="A33" s="11" t="s">
        <v>1655</v>
      </c>
      <c r="D33" t="s">
        <v>1589</v>
      </c>
      <c r="E33" t="s">
        <v>26</v>
      </c>
      <c r="F33" t="s">
        <v>34</v>
      </c>
      <c r="I33" t="s">
        <v>1654</v>
      </c>
      <c r="L33" t="s">
        <v>1596</v>
      </c>
    </row>
    <row r="34" spans="1:13" x14ac:dyDescent="0.35">
      <c r="A34" s="11" t="s">
        <v>1656</v>
      </c>
      <c r="D34" t="s">
        <v>1598</v>
      </c>
      <c r="E34" t="s">
        <v>26</v>
      </c>
      <c r="F34" t="s">
        <v>34</v>
      </c>
      <c r="I34" t="s">
        <v>1657</v>
      </c>
      <c r="L34" t="s">
        <v>1596</v>
      </c>
      <c r="M34" t="s">
        <v>1600</v>
      </c>
    </row>
    <row r="35" spans="1:13" x14ac:dyDescent="0.35">
      <c r="A35" s="11" t="s">
        <v>1658</v>
      </c>
      <c r="D35" t="s">
        <v>164</v>
      </c>
      <c r="E35" t="s">
        <v>26</v>
      </c>
      <c r="F35" t="s">
        <v>163</v>
      </c>
      <c r="I35" t="s">
        <v>1659</v>
      </c>
      <c r="L35" t="s">
        <v>1608</v>
      </c>
    </row>
    <row r="36" spans="1:13" x14ac:dyDescent="0.35">
      <c r="A36" s="11" t="s">
        <v>1660</v>
      </c>
      <c r="D36" t="s">
        <v>1612</v>
      </c>
      <c r="E36" t="s">
        <v>13</v>
      </c>
      <c r="F36" t="s">
        <v>11</v>
      </c>
      <c r="I36" t="s">
        <v>1661</v>
      </c>
      <c r="J36" t="s">
        <v>1662</v>
      </c>
      <c r="L36" t="s">
        <v>1600</v>
      </c>
    </row>
    <row r="37" spans="1:13" x14ac:dyDescent="0.35">
      <c r="A37" s="11" t="s">
        <v>1663</v>
      </c>
      <c r="D37" t="s">
        <v>181</v>
      </c>
      <c r="E37" t="s">
        <v>26</v>
      </c>
      <c r="F37" t="s">
        <v>86</v>
      </c>
      <c r="L37" t="s">
        <v>1664</v>
      </c>
    </row>
    <row r="38" spans="1:13" x14ac:dyDescent="0.35">
      <c r="A38" s="11" t="s">
        <v>1665</v>
      </c>
      <c r="B38" t="s">
        <v>1666</v>
      </c>
      <c r="D38" t="s">
        <v>1589</v>
      </c>
      <c r="E38" t="s">
        <v>26</v>
      </c>
      <c r="F38" t="s">
        <v>86</v>
      </c>
      <c r="I38" t="s">
        <v>1667</v>
      </c>
      <c r="L38" t="s">
        <v>1617</v>
      </c>
    </row>
    <row r="39" spans="1:13" x14ac:dyDescent="0.35">
      <c r="A39" s="11" t="s">
        <v>1668</v>
      </c>
      <c r="B39" t="s">
        <v>1669</v>
      </c>
      <c r="D39" t="s">
        <v>1589</v>
      </c>
      <c r="E39" t="s">
        <v>26</v>
      </c>
      <c r="F39" t="s">
        <v>86</v>
      </c>
      <c r="I39" t="s">
        <v>1670</v>
      </c>
      <c r="L39" t="s">
        <v>1596</v>
      </c>
    </row>
    <row r="40" spans="1:13" x14ac:dyDescent="0.35">
      <c r="A40" s="11" t="s">
        <v>1671</v>
      </c>
      <c r="B40" t="s">
        <v>1672</v>
      </c>
      <c r="D40" t="s">
        <v>1589</v>
      </c>
      <c r="E40" t="s">
        <v>26</v>
      </c>
      <c r="F40" t="s">
        <v>86</v>
      </c>
      <c r="G40" t="s">
        <v>34</v>
      </c>
      <c r="I40" t="s">
        <v>1673</v>
      </c>
      <c r="L40" t="s">
        <v>1600</v>
      </c>
    </row>
    <row r="41" spans="1:13" x14ac:dyDescent="0.35">
      <c r="A41" s="11" t="s">
        <v>1674</v>
      </c>
      <c r="B41" t="s">
        <v>1675</v>
      </c>
      <c r="D41" t="s">
        <v>1589</v>
      </c>
      <c r="E41" t="s">
        <v>26</v>
      </c>
      <c r="F41" t="s">
        <v>86</v>
      </c>
      <c r="I41" t="s">
        <v>1676</v>
      </c>
      <c r="L41" t="s">
        <v>1596</v>
      </c>
    </row>
    <row r="42" spans="1:13" x14ac:dyDescent="0.35">
      <c r="A42" s="11" t="s">
        <v>1677</v>
      </c>
      <c r="B42" t="s">
        <v>1678</v>
      </c>
      <c r="D42" t="s">
        <v>1589</v>
      </c>
      <c r="E42" t="s">
        <v>26</v>
      </c>
      <c r="F42" t="s">
        <v>86</v>
      </c>
      <c r="L42" t="s">
        <v>1608</v>
      </c>
    </row>
    <row r="43" spans="1:13" x14ac:dyDescent="0.35">
      <c r="A43" s="11" t="s">
        <v>1679</v>
      </c>
      <c r="B43" t="s">
        <v>1680</v>
      </c>
      <c r="D43" t="s">
        <v>1589</v>
      </c>
      <c r="E43" t="s">
        <v>26</v>
      </c>
      <c r="F43" t="s">
        <v>86</v>
      </c>
      <c r="I43" t="s">
        <v>1681</v>
      </c>
      <c r="L43" t="s">
        <v>1592</v>
      </c>
    </row>
    <row r="44" spans="1:13" x14ac:dyDescent="0.35">
      <c r="A44" s="11" t="s">
        <v>1682</v>
      </c>
      <c r="D44" t="s">
        <v>1612</v>
      </c>
      <c r="E44" t="s">
        <v>13</v>
      </c>
      <c r="F44" t="s">
        <v>11</v>
      </c>
      <c r="I44" t="s">
        <v>1683</v>
      </c>
      <c r="L44" t="s">
        <v>1596</v>
      </c>
    </row>
    <row r="45" spans="1:13" x14ac:dyDescent="0.35">
      <c r="A45" s="11" t="s">
        <v>1684</v>
      </c>
      <c r="B45" t="s">
        <v>1685</v>
      </c>
      <c r="D45" t="s">
        <v>1589</v>
      </c>
      <c r="E45" t="s">
        <v>26</v>
      </c>
      <c r="F45" t="s">
        <v>86</v>
      </c>
      <c r="I45" t="s">
        <v>1686</v>
      </c>
      <c r="L45" t="s">
        <v>1596</v>
      </c>
    </row>
    <row r="46" spans="1:13" x14ac:dyDescent="0.35">
      <c r="A46" s="11" t="s">
        <v>1687</v>
      </c>
      <c r="D46" t="s">
        <v>1602</v>
      </c>
      <c r="E46" t="s">
        <v>26</v>
      </c>
      <c r="F46" t="s">
        <v>1603</v>
      </c>
      <c r="L46" t="s">
        <v>1617</v>
      </c>
    </row>
    <row r="47" spans="1:13" x14ac:dyDescent="0.35">
      <c r="A47" s="11" t="s">
        <v>1688</v>
      </c>
      <c r="D47" t="s">
        <v>1612</v>
      </c>
      <c r="E47" t="s">
        <v>13</v>
      </c>
      <c r="F47" t="s">
        <v>11</v>
      </c>
      <c r="I47" t="s">
        <v>1689</v>
      </c>
      <c r="L47" t="s">
        <v>1596</v>
      </c>
    </row>
    <row r="48" spans="1:13" x14ac:dyDescent="0.35">
      <c r="A48" s="11" t="s">
        <v>1690</v>
      </c>
      <c r="D48" t="s">
        <v>1602</v>
      </c>
      <c r="E48" t="s">
        <v>26</v>
      </c>
      <c r="F48" t="s">
        <v>1603</v>
      </c>
      <c r="L48" t="s">
        <v>1617</v>
      </c>
    </row>
    <row r="49" spans="1:13" x14ac:dyDescent="0.35">
      <c r="A49" s="11" t="s">
        <v>1691</v>
      </c>
      <c r="D49" t="s">
        <v>181</v>
      </c>
      <c r="E49" t="s">
        <v>26</v>
      </c>
      <c r="F49" t="s">
        <v>86</v>
      </c>
      <c r="G49" t="s">
        <v>60</v>
      </c>
      <c r="H49" t="s">
        <v>43</v>
      </c>
      <c r="I49" t="s">
        <v>1605</v>
      </c>
      <c r="L49" t="s">
        <v>1596</v>
      </c>
    </row>
    <row r="50" spans="1:13" x14ac:dyDescent="0.35">
      <c r="A50" s="11" t="s">
        <v>1692</v>
      </c>
      <c r="D50" t="s">
        <v>1612</v>
      </c>
      <c r="E50" t="s">
        <v>13</v>
      </c>
      <c r="F50" t="s">
        <v>11</v>
      </c>
      <c r="I50" t="s">
        <v>1676</v>
      </c>
      <c r="L50" t="s">
        <v>1596</v>
      </c>
    </row>
    <row r="51" spans="1:13" x14ac:dyDescent="0.35">
      <c r="A51" s="11" t="s">
        <v>1693</v>
      </c>
      <c r="D51" t="s">
        <v>181</v>
      </c>
      <c r="E51" t="s">
        <v>26</v>
      </c>
      <c r="F51" t="s">
        <v>86</v>
      </c>
      <c r="L51" t="s">
        <v>1694</v>
      </c>
    </row>
    <row r="52" spans="1:13" x14ac:dyDescent="0.35">
      <c r="A52" s="11" t="s">
        <v>1695</v>
      </c>
      <c r="B52" t="s">
        <v>1696</v>
      </c>
      <c r="D52" t="s">
        <v>1589</v>
      </c>
      <c r="E52" t="s">
        <v>26</v>
      </c>
      <c r="F52" t="s">
        <v>86</v>
      </c>
      <c r="G52" t="s">
        <v>34</v>
      </c>
      <c r="I52" t="s">
        <v>1697</v>
      </c>
      <c r="L52" t="s">
        <v>1596</v>
      </c>
    </row>
    <row r="53" spans="1:13" x14ac:dyDescent="0.35">
      <c r="A53" s="11" t="s">
        <v>1698</v>
      </c>
      <c r="D53" t="s">
        <v>181</v>
      </c>
      <c r="E53" t="s">
        <v>26</v>
      </c>
      <c r="F53" t="s">
        <v>86</v>
      </c>
      <c r="G53" t="s">
        <v>60</v>
      </c>
      <c r="H53" t="s">
        <v>43</v>
      </c>
      <c r="I53" t="s">
        <v>1605</v>
      </c>
      <c r="L53" t="s">
        <v>1596</v>
      </c>
    </row>
    <row r="54" spans="1:13" x14ac:dyDescent="0.35">
      <c r="A54" s="11" t="s">
        <v>1699</v>
      </c>
      <c r="D54" t="s">
        <v>181</v>
      </c>
      <c r="E54" t="s">
        <v>26</v>
      </c>
      <c r="F54" t="s">
        <v>86</v>
      </c>
      <c r="G54" t="s">
        <v>60</v>
      </c>
      <c r="H54" t="s">
        <v>43</v>
      </c>
      <c r="I54" t="s">
        <v>1605</v>
      </c>
      <c r="L54" t="s">
        <v>1596</v>
      </c>
    </row>
    <row r="55" spans="1:13" x14ac:dyDescent="0.35">
      <c r="A55" s="11" t="s">
        <v>1700</v>
      </c>
      <c r="D55" t="s">
        <v>1612</v>
      </c>
      <c r="E55" t="s">
        <v>13</v>
      </c>
      <c r="F55" t="s">
        <v>11</v>
      </c>
      <c r="I55" t="s">
        <v>1701</v>
      </c>
      <c r="L55" t="s">
        <v>1596</v>
      </c>
      <c r="M55" t="s">
        <v>1702</v>
      </c>
    </row>
    <row r="56" spans="1:13" x14ac:dyDescent="0.35">
      <c r="A56" s="11" t="s">
        <v>1703</v>
      </c>
      <c r="D56" t="s">
        <v>1704</v>
      </c>
      <c r="E56" t="s">
        <v>26</v>
      </c>
      <c r="F56" t="s">
        <v>86</v>
      </c>
      <c r="I56" t="s">
        <v>1705</v>
      </c>
      <c r="L56" t="s">
        <v>1600</v>
      </c>
      <c r="M56" t="s">
        <v>1592</v>
      </c>
    </row>
    <row r="57" spans="1:13" x14ac:dyDescent="0.35">
      <c r="A57" s="11" t="s">
        <v>1706</v>
      </c>
      <c r="D57" t="s">
        <v>1303</v>
      </c>
      <c r="E57" t="s">
        <v>26</v>
      </c>
      <c r="F57" t="s">
        <v>86</v>
      </c>
      <c r="I57" t="s">
        <v>1707</v>
      </c>
      <c r="L57" t="s">
        <v>1624</v>
      </c>
    </row>
    <row r="61" spans="1:13" x14ac:dyDescent="0.35">
      <c r="A61" s="47" t="s">
        <v>1708</v>
      </c>
      <c r="B61" s="8" t="s">
        <v>1709</v>
      </c>
      <c r="E61" s="8" t="s">
        <v>1710</v>
      </c>
    </row>
    <row r="62" spans="1:13" x14ac:dyDescent="0.35">
      <c r="E62" s="48" t="s">
        <v>1711</v>
      </c>
    </row>
  </sheetData>
  <sortState xmlns:xlrd2="http://schemas.microsoft.com/office/spreadsheetml/2017/richdata2" ref="A2:L57">
    <sortCondition ref="A1:A57"/>
  </sortState>
  <phoneticPr fontId="13" type="noConversion"/>
  <hyperlinks>
    <hyperlink ref="B61" r:id="rId1" xr:uid="{2AE41195-9E81-49BE-BD42-F96CA167A2B9}"/>
    <hyperlink ref="E61" r:id="rId2" xr:uid="{9A4F930C-067F-4F65-AF9D-1CF1F017C47D}"/>
  </hyperlinks>
  <pageMargins left="0.7" right="0.7" top="0.75" bottom="0.75" header="0.3" footer="0.3"/>
  <pageSetup orientation="portrait" horizontalDpi="360" verticalDpi="360"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FCA54-5561-40F8-BC2F-FE262AD459F3}">
  <dimension ref="A1:F13"/>
  <sheetViews>
    <sheetView workbookViewId="0">
      <selection activeCell="D5" sqref="D5"/>
    </sheetView>
  </sheetViews>
  <sheetFormatPr defaultColWidth="9.1796875" defaultRowHeight="14.5" x14ac:dyDescent="0.35"/>
  <cols>
    <col min="1" max="1" width="9.1796875" style="12"/>
    <col min="2" max="2" width="45" style="12" customWidth="1"/>
    <col min="3" max="3" width="29.453125" style="12" customWidth="1"/>
    <col min="4" max="4" width="9.1796875" style="12"/>
    <col min="5" max="5" width="54.453125" style="12" customWidth="1"/>
    <col min="6" max="6" width="31.81640625" style="12" customWidth="1"/>
    <col min="7" max="16384" width="9.1796875" style="12"/>
  </cols>
  <sheetData>
    <row r="1" spans="1:6" s="13" customFormat="1" x14ac:dyDescent="0.35">
      <c r="A1" s="13" t="s">
        <v>1712</v>
      </c>
      <c r="B1" s="13" t="s">
        <v>1713</v>
      </c>
      <c r="C1" s="13" t="s">
        <v>1714</v>
      </c>
      <c r="D1" s="13" t="s">
        <v>1715</v>
      </c>
      <c r="E1" s="13" t="s">
        <v>649</v>
      </c>
      <c r="F1" s="13" t="s">
        <v>1716</v>
      </c>
    </row>
    <row r="2" spans="1:6" ht="130.5" customHeight="1" x14ac:dyDescent="0.35">
      <c r="A2" s="12">
        <v>1</v>
      </c>
      <c r="B2" s="12" t="s">
        <v>1717</v>
      </c>
      <c r="C2" s="12" t="s">
        <v>1718</v>
      </c>
      <c r="D2" s="12">
        <v>2020</v>
      </c>
      <c r="E2" s="12" t="s">
        <v>1719</v>
      </c>
    </row>
    <row r="3" spans="1:6" ht="72.5" x14ac:dyDescent="0.35">
      <c r="A3" s="12">
        <v>2</v>
      </c>
      <c r="B3" s="12" t="s">
        <v>1720</v>
      </c>
      <c r="C3" s="12" t="s">
        <v>1721</v>
      </c>
      <c r="D3" s="12">
        <v>2022</v>
      </c>
      <c r="E3" s="12" t="s">
        <v>1722</v>
      </c>
    </row>
    <row r="4" spans="1:6" ht="58" x14ac:dyDescent="0.35">
      <c r="A4" s="12">
        <v>3</v>
      </c>
      <c r="B4" s="12" t="s">
        <v>1723</v>
      </c>
      <c r="C4" s="12" t="s">
        <v>1724</v>
      </c>
      <c r="D4" s="12">
        <v>2014</v>
      </c>
      <c r="E4" s="12" t="s">
        <v>1725</v>
      </c>
    </row>
    <row r="5" spans="1:6" ht="194.25" customHeight="1" x14ac:dyDescent="0.35">
      <c r="A5" s="12">
        <v>4</v>
      </c>
      <c r="B5" s="12" t="s">
        <v>1726</v>
      </c>
      <c r="C5" s="12" t="s">
        <v>1727</v>
      </c>
      <c r="D5" s="12">
        <v>2022</v>
      </c>
      <c r="E5" s="12" t="s">
        <v>1728</v>
      </c>
      <c r="F5" s="12" t="s">
        <v>1729</v>
      </c>
    </row>
    <row r="6" spans="1:6" ht="43.5" x14ac:dyDescent="0.35">
      <c r="A6" s="12">
        <v>5</v>
      </c>
      <c r="B6" s="12" t="s">
        <v>1730</v>
      </c>
      <c r="C6" s="12" t="s">
        <v>1731</v>
      </c>
      <c r="D6" s="12">
        <v>2021</v>
      </c>
      <c r="E6" s="12" t="s">
        <v>1732</v>
      </c>
    </row>
    <row r="7" spans="1:6" ht="110.25" customHeight="1" x14ac:dyDescent="0.35">
      <c r="A7" s="12">
        <v>6</v>
      </c>
      <c r="B7" s="12" t="s">
        <v>1733</v>
      </c>
      <c r="C7" s="12" t="s">
        <v>1734</v>
      </c>
      <c r="D7" s="12">
        <v>2020</v>
      </c>
      <c r="E7" s="12" t="s">
        <v>1735</v>
      </c>
      <c r="F7" s="16" t="s">
        <v>1736</v>
      </c>
    </row>
    <row r="8" spans="1:6" ht="216.75" customHeight="1" x14ac:dyDescent="0.35">
      <c r="A8" s="12">
        <v>7</v>
      </c>
      <c r="B8" s="12" t="s">
        <v>1737</v>
      </c>
      <c r="C8" s="12" t="s">
        <v>1738</v>
      </c>
      <c r="D8" s="12">
        <v>2019</v>
      </c>
      <c r="E8" s="12" t="s">
        <v>1739</v>
      </c>
      <c r="F8" s="12" t="s">
        <v>1740</v>
      </c>
    </row>
    <row r="9" spans="1:6" ht="72.5" x14ac:dyDescent="0.35">
      <c r="A9" s="12">
        <v>8</v>
      </c>
      <c r="B9" s="12" t="s">
        <v>1741</v>
      </c>
      <c r="C9" s="12" t="s">
        <v>1738</v>
      </c>
      <c r="D9" s="12">
        <v>2019</v>
      </c>
      <c r="E9" s="12" t="s">
        <v>1742</v>
      </c>
      <c r="F9" s="12" t="s">
        <v>1743</v>
      </c>
    </row>
    <row r="10" spans="1:6" ht="268.5" customHeight="1" x14ac:dyDescent="0.35">
      <c r="A10" s="12">
        <v>9</v>
      </c>
      <c r="B10" s="12" t="s">
        <v>1744</v>
      </c>
      <c r="C10" s="12" t="s">
        <v>1745</v>
      </c>
      <c r="D10" s="12">
        <v>2019</v>
      </c>
      <c r="E10" s="14" t="s">
        <v>1746</v>
      </c>
    </row>
    <row r="11" spans="1:6" ht="101.5" x14ac:dyDescent="0.35">
      <c r="A11" s="12">
        <v>10</v>
      </c>
      <c r="B11" s="12" t="s">
        <v>1747</v>
      </c>
      <c r="C11" s="12" t="s">
        <v>1748</v>
      </c>
      <c r="D11" s="12">
        <v>2013</v>
      </c>
      <c r="E11" s="12" t="s">
        <v>1749</v>
      </c>
    </row>
    <row r="12" spans="1:6" ht="43.5" x14ac:dyDescent="0.35">
      <c r="A12" s="12">
        <v>11</v>
      </c>
      <c r="B12" s="12" t="s">
        <v>1750</v>
      </c>
      <c r="C12" s="12" t="s">
        <v>1751</v>
      </c>
      <c r="D12" s="12">
        <v>2016</v>
      </c>
      <c r="E12" s="12" t="s">
        <v>1752</v>
      </c>
    </row>
    <row r="13" spans="1:6" ht="28.5" customHeight="1" x14ac:dyDescent="0.35">
      <c r="A13" s="12">
        <v>12</v>
      </c>
      <c r="B13" s="12" t="s">
        <v>1753</v>
      </c>
      <c r="C13" s="12" t="s">
        <v>1754</v>
      </c>
      <c r="D13" s="12">
        <v>2020</v>
      </c>
      <c r="E13" s="12" t="s">
        <v>1755</v>
      </c>
      <c r="F13" s="12" t="s">
        <v>1756</v>
      </c>
    </row>
  </sheetData>
  <hyperlinks>
    <hyperlink ref="F7" r:id="rId1" xr:uid="{A938D223-F59B-4F92-B6BD-E6EAA7C46E6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C5119-E19C-4344-9D53-776DC162CA1A}">
  <dimension ref="A1:H8"/>
  <sheetViews>
    <sheetView workbookViewId="0">
      <selection activeCell="B4" sqref="B4"/>
    </sheetView>
  </sheetViews>
  <sheetFormatPr defaultRowHeight="14.5" x14ac:dyDescent="0.35"/>
  <cols>
    <col min="1" max="1" width="30.26953125" customWidth="1"/>
    <col min="2" max="2" width="68.54296875" style="12" customWidth="1"/>
    <col min="3" max="3" width="28.54296875" style="12" customWidth="1"/>
    <col min="4" max="4" width="22.54296875" style="12" customWidth="1"/>
    <col min="5" max="5" width="37.7265625" customWidth="1"/>
    <col min="6" max="6" width="12.26953125" customWidth="1"/>
  </cols>
  <sheetData>
    <row r="1" spans="1:8" s="11" customFormat="1" x14ac:dyDescent="0.35">
      <c r="A1" s="11" t="s">
        <v>214</v>
      </c>
      <c r="B1" s="13" t="s">
        <v>215</v>
      </c>
      <c r="C1" s="13" t="s">
        <v>216</v>
      </c>
      <c r="D1" s="13" t="s">
        <v>217</v>
      </c>
      <c r="E1" s="11" t="s">
        <v>218</v>
      </c>
      <c r="F1" s="11" t="s">
        <v>219</v>
      </c>
    </row>
    <row r="2" spans="1:8" ht="43.5" x14ac:dyDescent="0.35">
      <c r="A2" t="s">
        <v>220</v>
      </c>
      <c r="B2" s="12" t="s">
        <v>221</v>
      </c>
      <c r="C2" s="12" t="s">
        <v>222</v>
      </c>
      <c r="D2" s="12" t="s">
        <v>223</v>
      </c>
      <c r="E2" s="8" t="s">
        <v>224</v>
      </c>
      <c r="F2">
        <v>1</v>
      </c>
    </row>
    <row r="3" spans="1:8" ht="72.5" x14ac:dyDescent="0.35">
      <c r="A3" t="s">
        <v>131</v>
      </c>
      <c r="B3" s="12" t="s">
        <v>225</v>
      </c>
      <c r="C3" s="12" t="s">
        <v>226</v>
      </c>
      <c r="D3" s="12" t="s">
        <v>227</v>
      </c>
      <c r="E3" t="s">
        <v>228</v>
      </c>
      <c r="F3">
        <v>1</v>
      </c>
    </row>
    <row r="4" spans="1:8" ht="87" x14ac:dyDescent="0.35">
      <c r="A4" t="s">
        <v>120</v>
      </c>
      <c r="B4" s="12" t="s">
        <v>229</v>
      </c>
      <c r="C4" s="12" t="s">
        <v>230</v>
      </c>
      <c r="D4" s="12" t="s">
        <v>231</v>
      </c>
      <c r="E4" t="s">
        <v>232</v>
      </c>
      <c r="F4">
        <v>1</v>
      </c>
    </row>
    <row r="5" spans="1:8" ht="58" x14ac:dyDescent="0.35">
      <c r="A5" t="s">
        <v>78</v>
      </c>
      <c r="B5" s="12" t="s">
        <v>233</v>
      </c>
      <c r="C5" s="12" t="s">
        <v>234</v>
      </c>
      <c r="D5" s="12" t="s">
        <v>235</v>
      </c>
      <c r="F5">
        <v>1</v>
      </c>
    </row>
    <row r="6" spans="1:8" ht="58" x14ac:dyDescent="0.35">
      <c r="A6" t="s">
        <v>35</v>
      </c>
      <c r="B6" s="12" t="s">
        <v>236</v>
      </c>
      <c r="C6" s="12" t="s">
        <v>237</v>
      </c>
      <c r="D6" s="12" t="s">
        <v>238</v>
      </c>
      <c r="F6">
        <v>1</v>
      </c>
    </row>
    <row r="7" spans="1:8" ht="58" x14ac:dyDescent="0.35">
      <c r="A7" t="s">
        <v>149</v>
      </c>
      <c r="B7" s="12" t="s">
        <v>239</v>
      </c>
      <c r="C7" s="12" t="s">
        <v>240</v>
      </c>
      <c r="D7" s="12" t="s">
        <v>241</v>
      </c>
      <c r="E7" t="s">
        <v>242</v>
      </c>
      <c r="F7" t="s">
        <v>165</v>
      </c>
      <c r="G7" t="s">
        <v>243</v>
      </c>
      <c r="H7">
        <v>1</v>
      </c>
    </row>
    <row r="8" spans="1:8" ht="43.5" x14ac:dyDescent="0.35">
      <c r="A8" t="s">
        <v>180</v>
      </c>
      <c r="B8" s="12" t="s">
        <v>244</v>
      </c>
      <c r="C8" s="12" t="s">
        <v>245</v>
      </c>
      <c r="D8" s="12" t="s">
        <v>246</v>
      </c>
      <c r="F8">
        <v>1</v>
      </c>
    </row>
  </sheetData>
  <hyperlinks>
    <hyperlink ref="E2" r:id="rId1" xr:uid="{22084E0B-BFD9-47FD-B38B-93B7B0DDAA0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9E4FF-75D3-431C-9450-3974D802F99E}">
  <dimension ref="A1"/>
  <sheetViews>
    <sheetView topLeftCell="A11" workbookViewId="0">
      <selection activeCell="T20" sqref="T20"/>
    </sheetView>
  </sheetViews>
  <sheetFormatPr defaultRowHeight="14.5"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B627C-8835-4D7A-9940-D8389D525D12}">
  <dimension ref="A1:AJ91"/>
  <sheetViews>
    <sheetView topLeftCell="A20" zoomScale="76" zoomScaleNormal="76" workbookViewId="0">
      <pane xSplit="1" topLeftCell="B1" activePane="topRight" state="frozen"/>
      <selection pane="topRight" activeCell="AL63" sqref="AL63"/>
    </sheetView>
  </sheetViews>
  <sheetFormatPr defaultRowHeight="14.5" x14ac:dyDescent="0.35"/>
  <cols>
    <col min="1" max="1" width="64.7265625" style="11" customWidth="1"/>
    <col min="2" max="2" width="13.26953125" customWidth="1"/>
    <col min="3" max="3" width="11.54296875" customWidth="1"/>
    <col min="4" max="4" width="11" customWidth="1"/>
    <col min="5" max="5" width="12.1796875" bestFit="1" customWidth="1"/>
    <col min="6" max="6" width="13.26953125" bestFit="1" customWidth="1"/>
    <col min="7" max="7" width="12.1796875" bestFit="1" customWidth="1"/>
    <col min="8" max="8" width="13.26953125" bestFit="1" customWidth="1"/>
    <col min="9" max="11" width="11" bestFit="1" customWidth="1"/>
    <col min="12" max="12" width="13.26953125" bestFit="1" customWidth="1"/>
    <col min="13" max="13" width="9.26953125" bestFit="1" customWidth="1"/>
    <col min="14" max="14" width="13.26953125" bestFit="1" customWidth="1"/>
    <col min="15" max="16" width="9.26953125" bestFit="1" customWidth="1"/>
    <col min="17" max="17" width="13.26953125" bestFit="1" customWidth="1"/>
    <col min="18" max="21" width="12.1796875" bestFit="1" customWidth="1"/>
    <col min="22" max="22" width="11" bestFit="1" customWidth="1"/>
    <col min="23" max="23" width="9.26953125" bestFit="1" customWidth="1"/>
    <col min="24" max="24" width="11" bestFit="1" customWidth="1"/>
    <col min="25" max="25" width="13.26953125" bestFit="1" customWidth="1"/>
    <col min="26" max="26" width="11" bestFit="1" customWidth="1"/>
    <col min="27" max="28" width="13.26953125" bestFit="1" customWidth="1"/>
    <col min="29" max="29" width="12.81640625" bestFit="1" customWidth="1"/>
    <col min="30" max="30" width="12.1796875" customWidth="1"/>
    <col min="31" max="31" width="13.26953125" bestFit="1" customWidth="1"/>
    <col min="32" max="32" width="12.81640625" bestFit="1" customWidth="1"/>
    <col min="33" max="36" width="12.1796875" bestFit="1" customWidth="1"/>
  </cols>
  <sheetData>
    <row r="1" spans="1:6" x14ac:dyDescent="0.35">
      <c r="A1" s="22" t="s">
        <v>247</v>
      </c>
      <c r="B1" s="22" t="s">
        <v>248</v>
      </c>
      <c r="C1" s="22" t="s">
        <v>249</v>
      </c>
      <c r="D1" s="22"/>
      <c r="E1" s="22" t="s">
        <v>250</v>
      </c>
    </row>
    <row r="2" spans="1:6" x14ac:dyDescent="0.35">
      <c r="A2" s="11" t="s">
        <v>251</v>
      </c>
      <c r="B2">
        <v>870000</v>
      </c>
      <c r="C2" t="s">
        <v>252</v>
      </c>
      <c r="E2" t="s">
        <v>253</v>
      </c>
    </row>
    <row r="3" spans="1:6" x14ac:dyDescent="0.35">
      <c r="A3" s="11" t="s">
        <v>254</v>
      </c>
      <c r="B3">
        <v>12</v>
      </c>
      <c r="C3" t="s">
        <v>255</v>
      </c>
      <c r="E3" t="s">
        <v>256</v>
      </c>
    </row>
    <row r="4" spans="1:6" x14ac:dyDescent="0.35">
      <c r="A4" s="11" t="s">
        <v>257</v>
      </c>
      <c r="B4">
        <v>10</v>
      </c>
      <c r="C4" t="s">
        <v>258</v>
      </c>
      <c r="E4" t="s">
        <v>256</v>
      </c>
    </row>
    <row r="5" spans="1:6" x14ac:dyDescent="0.35">
      <c r="A5" s="5" t="s">
        <v>259</v>
      </c>
      <c r="B5">
        <v>35</v>
      </c>
      <c r="C5" t="s">
        <v>258</v>
      </c>
      <c r="E5" t="s">
        <v>260</v>
      </c>
    </row>
    <row r="6" spans="1:6" x14ac:dyDescent="0.35">
      <c r="A6" s="11" t="s">
        <v>261</v>
      </c>
      <c r="B6">
        <f>100-B5</f>
        <v>65</v>
      </c>
      <c r="C6" t="s">
        <v>258</v>
      </c>
      <c r="E6" t="s">
        <v>260</v>
      </c>
    </row>
    <row r="7" spans="1:6" ht="16" x14ac:dyDescent="0.45">
      <c r="A7" s="27" t="s">
        <v>262</v>
      </c>
      <c r="B7">
        <f>B4/2</f>
        <v>5</v>
      </c>
      <c r="C7" t="s">
        <v>258</v>
      </c>
      <c r="E7" s="25" t="s">
        <v>263</v>
      </c>
    </row>
    <row r="8" spans="1:6" ht="16" x14ac:dyDescent="0.45">
      <c r="A8" s="5" t="s">
        <v>264</v>
      </c>
      <c r="B8">
        <v>5</v>
      </c>
      <c r="C8" t="s">
        <v>258</v>
      </c>
      <c r="E8" s="25" t="s">
        <v>265</v>
      </c>
    </row>
    <row r="9" spans="1:6" x14ac:dyDescent="0.35">
      <c r="A9" s="5" t="s">
        <v>266</v>
      </c>
      <c r="B9">
        <v>5</v>
      </c>
      <c r="C9" t="s">
        <v>258</v>
      </c>
      <c r="E9" t="s">
        <v>267</v>
      </c>
    </row>
    <row r="10" spans="1:6" x14ac:dyDescent="0.35">
      <c r="A10" s="5" t="s">
        <v>268</v>
      </c>
      <c r="B10">
        <v>3</v>
      </c>
      <c r="C10" t="s">
        <v>269</v>
      </c>
      <c r="E10" t="s">
        <v>270</v>
      </c>
      <c r="F10" t="s">
        <v>271</v>
      </c>
    </row>
    <row r="11" spans="1:6" x14ac:dyDescent="0.35">
      <c r="A11" s="5" t="s">
        <v>272</v>
      </c>
      <c r="B11">
        <f>B10*52/2/B3</f>
        <v>6.5</v>
      </c>
      <c r="E11" t="s">
        <v>273</v>
      </c>
    </row>
    <row r="12" spans="1:6" x14ac:dyDescent="0.35">
      <c r="A12" s="11" t="s">
        <v>274</v>
      </c>
      <c r="B12">
        <f>B4/2</f>
        <v>5</v>
      </c>
      <c r="C12" t="s">
        <v>258</v>
      </c>
    </row>
    <row r="13" spans="1:6" x14ac:dyDescent="0.35">
      <c r="A13" s="11" t="s">
        <v>275</v>
      </c>
      <c r="B13">
        <v>360</v>
      </c>
      <c r="C13" t="s">
        <v>276</v>
      </c>
      <c r="E13" t="s">
        <v>277</v>
      </c>
    </row>
    <row r="14" spans="1:6" ht="15.75" customHeight="1" x14ac:dyDescent="0.35">
      <c r="A14" s="26" t="s">
        <v>278</v>
      </c>
      <c r="B14">
        <v>90</v>
      </c>
      <c r="C14" t="s">
        <v>258</v>
      </c>
      <c r="E14" t="s">
        <v>279</v>
      </c>
    </row>
    <row r="15" spans="1:6" ht="15.75" customHeight="1" x14ac:dyDescent="0.35">
      <c r="A15" s="208" t="s">
        <v>280</v>
      </c>
      <c r="B15">
        <v>0.20899999999999999</v>
      </c>
      <c r="E15" t="s">
        <v>281</v>
      </c>
    </row>
    <row r="16" spans="1:6" ht="15.75" customHeight="1" x14ac:dyDescent="0.35">
      <c r="A16" s="208" t="s">
        <v>282</v>
      </c>
      <c r="B16">
        <v>0.58599999999999997</v>
      </c>
      <c r="E16" t="s">
        <v>281</v>
      </c>
    </row>
    <row r="17" spans="1:7" ht="15.75" customHeight="1" x14ac:dyDescent="0.35">
      <c r="A17" s="208" t="s">
        <v>283</v>
      </c>
      <c r="B17">
        <v>0.20499999999999999</v>
      </c>
      <c r="E17" t="s">
        <v>281</v>
      </c>
    </row>
    <row r="18" spans="1:7" x14ac:dyDescent="0.35">
      <c r="A18" s="28" t="s">
        <v>284</v>
      </c>
      <c r="B18">
        <v>2</v>
      </c>
      <c r="C18" t="s">
        <v>258</v>
      </c>
      <c r="E18" t="s">
        <v>285</v>
      </c>
    </row>
    <row r="19" spans="1:7" x14ac:dyDescent="0.35">
      <c r="A19" s="28" t="s">
        <v>286</v>
      </c>
      <c r="B19">
        <v>23.6</v>
      </c>
      <c r="C19" t="s">
        <v>258</v>
      </c>
      <c r="E19" t="s">
        <v>287</v>
      </c>
    </row>
    <row r="20" spans="1:7" x14ac:dyDescent="0.35">
      <c r="A20" s="28" t="s">
        <v>288</v>
      </c>
      <c r="B20">
        <v>11.8</v>
      </c>
      <c r="C20" t="s">
        <v>258</v>
      </c>
      <c r="E20" t="s">
        <v>287</v>
      </c>
    </row>
    <row r="21" spans="1:7" x14ac:dyDescent="0.35">
      <c r="A21" s="28" t="s">
        <v>289</v>
      </c>
      <c r="B21">
        <v>50</v>
      </c>
      <c r="C21" t="s">
        <v>258</v>
      </c>
      <c r="E21" t="s">
        <v>287</v>
      </c>
    </row>
    <row r="22" spans="1:7" x14ac:dyDescent="0.35">
      <c r="A22" s="28" t="s">
        <v>290</v>
      </c>
      <c r="B22">
        <f>(B19/SUM(B19:B21)*100)</f>
        <v>27.634660421545664</v>
      </c>
      <c r="C22" t="s">
        <v>258</v>
      </c>
      <c r="E22" t="s">
        <v>273</v>
      </c>
    </row>
    <row r="23" spans="1:7" x14ac:dyDescent="0.35">
      <c r="A23" s="28" t="s">
        <v>291</v>
      </c>
      <c r="B23">
        <f>B20/(SUM(B19:B21))*100</f>
        <v>13.817330210772832</v>
      </c>
      <c r="C23" t="s">
        <v>258</v>
      </c>
      <c r="E23" t="s">
        <v>273</v>
      </c>
    </row>
    <row r="24" spans="1:7" x14ac:dyDescent="0.35">
      <c r="A24" s="28" t="s">
        <v>292</v>
      </c>
      <c r="B24">
        <f>B21/(SUM(B19:B21))*100</f>
        <v>58.548009367681495</v>
      </c>
      <c r="C24" t="s">
        <v>258</v>
      </c>
      <c r="E24" t="s">
        <v>273</v>
      </c>
    </row>
    <row r="25" spans="1:7" x14ac:dyDescent="0.35">
      <c r="A25" s="34" t="s">
        <v>293</v>
      </c>
      <c r="B25">
        <v>1</v>
      </c>
      <c r="C25" t="s">
        <v>258</v>
      </c>
      <c r="E25" t="s">
        <v>294</v>
      </c>
    </row>
    <row r="26" spans="1:7" x14ac:dyDescent="0.35">
      <c r="A26" s="31" t="s">
        <v>295</v>
      </c>
      <c r="B26">
        <v>20</v>
      </c>
      <c r="C26" t="s">
        <v>258</v>
      </c>
      <c r="E26" t="s">
        <v>296</v>
      </c>
    </row>
    <row r="27" spans="1:7" x14ac:dyDescent="0.35">
      <c r="A27" s="31" t="s">
        <v>297</v>
      </c>
      <c r="B27">
        <v>15</v>
      </c>
      <c r="C27" t="s">
        <v>258</v>
      </c>
      <c r="E27" t="s">
        <v>296</v>
      </c>
    </row>
    <row r="28" spans="1:7" x14ac:dyDescent="0.35">
      <c r="A28" s="31" t="s">
        <v>298</v>
      </c>
      <c r="B28">
        <v>95</v>
      </c>
      <c r="C28" t="s">
        <v>258</v>
      </c>
      <c r="E28" t="s">
        <v>299</v>
      </c>
    </row>
    <row r="29" spans="1:7" x14ac:dyDescent="0.35">
      <c r="A29" s="31" t="s">
        <v>300</v>
      </c>
      <c r="B29">
        <v>85</v>
      </c>
      <c r="C29" t="s">
        <v>258</v>
      </c>
      <c r="E29" t="s">
        <v>296</v>
      </c>
    </row>
    <row r="30" spans="1:7" x14ac:dyDescent="0.35">
      <c r="A30" s="36" t="s">
        <v>301</v>
      </c>
      <c r="B30">
        <v>10</v>
      </c>
      <c r="C30" t="s">
        <v>258</v>
      </c>
      <c r="E30" t="s">
        <v>294</v>
      </c>
    </row>
    <row r="31" spans="1:7" x14ac:dyDescent="0.35">
      <c r="A31" s="36" t="s">
        <v>302</v>
      </c>
      <c r="B31">
        <v>2</v>
      </c>
      <c r="C31" t="s">
        <v>258</v>
      </c>
      <c r="E31" t="s">
        <v>303</v>
      </c>
    </row>
    <row r="32" spans="1:7" x14ac:dyDescent="0.35">
      <c r="A32" s="36" t="s">
        <v>304</v>
      </c>
      <c r="B32">
        <v>11</v>
      </c>
      <c r="C32" t="s">
        <v>258</v>
      </c>
      <c r="E32" t="s">
        <v>303</v>
      </c>
      <c r="F32" t="s">
        <v>305</v>
      </c>
      <c r="G32" t="s">
        <v>306</v>
      </c>
    </row>
    <row r="33" spans="1:36" x14ac:dyDescent="0.35">
      <c r="J33" t="s">
        <v>307</v>
      </c>
      <c r="M33" t="s">
        <v>308</v>
      </c>
      <c r="O33" t="s">
        <v>309</v>
      </c>
      <c r="W33" t="s">
        <v>310</v>
      </c>
      <c r="AD33" t="s">
        <v>311</v>
      </c>
      <c r="AF33" t="s">
        <v>312</v>
      </c>
      <c r="AJ33" t="s">
        <v>313</v>
      </c>
    </row>
    <row r="34" spans="1:36" s="24" customFormat="1" x14ac:dyDescent="0.35">
      <c r="A34" s="24" t="s">
        <v>314</v>
      </c>
      <c r="B34" s="39">
        <v>1</v>
      </c>
      <c r="C34" s="39">
        <f>B34+1</f>
        <v>2</v>
      </c>
      <c r="D34" s="39">
        <v>3</v>
      </c>
      <c r="E34" s="39">
        <v>4</v>
      </c>
      <c r="F34" s="39">
        <f t="shared" ref="F34:AJ34" si="0">E34+1</f>
        <v>5</v>
      </c>
      <c r="G34" s="39">
        <f>F34+1</f>
        <v>6</v>
      </c>
      <c r="H34" s="39">
        <f t="shared" si="0"/>
        <v>7</v>
      </c>
      <c r="I34" s="39">
        <v>8</v>
      </c>
      <c r="J34" s="40">
        <f t="shared" si="0"/>
        <v>9</v>
      </c>
      <c r="K34" s="39">
        <f t="shared" si="0"/>
        <v>10</v>
      </c>
      <c r="L34" s="39">
        <f t="shared" si="0"/>
        <v>11</v>
      </c>
      <c r="M34" s="40">
        <f t="shared" si="0"/>
        <v>12</v>
      </c>
      <c r="N34" s="39">
        <f t="shared" si="0"/>
        <v>13</v>
      </c>
      <c r="O34" s="39">
        <v>14</v>
      </c>
      <c r="P34" s="39">
        <v>15</v>
      </c>
      <c r="Q34" s="39">
        <v>16</v>
      </c>
      <c r="R34" s="39">
        <v>17</v>
      </c>
      <c r="S34" s="39">
        <v>18</v>
      </c>
      <c r="T34" s="39">
        <v>19</v>
      </c>
      <c r="U34" s="39">
        <v>20</v>
      </c>
      <c r="V34" s="39">
        <f t="shared" si="0"/>
        <v>21</v>
      </c>
      <c r="W34" s="39">
        <v>22</v>
      </c>
      <c r="X34" s="39">
        <f t="shared" si="0"/>
        <v>23</v>
      </c>
      <c r="Y34" s="39">
        <f t="shared" si="0"/>
        <v>24</v>
      </c>
      <c r="Z34" s="41">
        <f t="shared" si="0"/>
        <v>25</v>
      </c>
      <c r="AA34" s="39">
        <f t="shared" si="0"/>
        <v>26</v>
      </c>
      <c r="AB34" s="39">
        <f t="shared" si="0"/>
        <v>27</v>
      </c>
      <c r="AC34" s="39">
        <f>AB34+1</f>
        <v>28</v>
      </c>
      <c r="AD34" s="41">
        <f t="shared" si="0"/>
        <v>29</v>
      </c>
      <c r="AE34" s="39">
        <f t="shared" si="0"/>
        <v>30</v>
      </c>
      <c r="AF34" s="41">
        <f t="shared" si="0"/>
        <v>31</v>
      </c>
      <c r="AG34" s="39">
        <f t="shared" si="0"/>
        <v>32</v>
      </c>
      <c r="AH34" s="39">
        <f>AG34+1</f>
        <v>33</v>
      </c>
      <c r="AI34" s="39">
        <f t="shared" si="0"/>
        <v>34</v>
      </c>
      <c r="AJ34" s="41">
        <f t="shared" si="0"/>
        <v>35</v>
      </c>
    </row>
    <row r="35" spans="1:36" s="23" customFormat="1" x14ac:dyDescent="0.35">
      <c r="B35" s="39" t="s">
        <v>315</v>
      </c>
      <c r="C35" s="39" t="s">
        <v>315</v>
      </c>
      <c r="D35" s="39" t="s">
        <v>315</v>
      </c>
      <c r="E35" s="39" t="s">
        <v>315</v>
      </c>
      <c r="F35" s="39" t="s">
        <v>315</v>
      </c>
      <c r="G35" s="39" t="s">
        <v>315</v>
      </c>
      <c r="H35" s="39" t="s">
        <v>315</v>
      </c>
      <c r="I35" s="39" t="s">
        <v>315</v>
      </c>
      <c r="J35" s="40" t="s">
        <v>315</v>
      </c>
      <c r="K35" s="39" t="s">
        <v>315</v>
      </c>
      <c r="L35" s="39" t="s">
        <v>315</v>
      </c>
      <c r="M35" s="40" t="s">
        <v>315</v>
      </c>
      <c r="N35" s="39" t="s">
        <v>315</v>
      </c>
      <c r="O35" s="39" t="s">
        <v>315</v>
      </c>
      <c r="P35" s="39" t="s">
        <v>315</v>
      </c>
      <c r="Q35" s="39" t="s">
        <v>315</v>
      </c>
      <c r="R35" s="39" t="s">
        <v>315</v>
      </c>
      <c r="S35" s="39" t="s">
        <v>315</v>
      </c>
      <c r="T35" s="39" t="s">
        <v>315</v>
      </c>
      <c r="U35" s="39" t="s">
        <v>315</v>
      </c>
      <c r="V35" s="39" t="s">
        <v>315</v>
      </c>
      <c r="W35" s="39" t="s">
        <v>315</v>
      </c>
      <c r="X35" s="39" t="s">
        <v>315</v>
      </c>
      <c r="Y35" s="39" t="s">
        <v>315</v>
      </c>
      <c r="Z35" s="41" t="s">
        <v>315</v>
      </c>
      <c r="AA35" s="39" t="s">
        <v>315</v>
      </c>
      <c r="AB35" s="39" t="s">
        <v>315</v>
      </c>
      <c r="AC35" s="39" t="s">
        <v>315</v>
      </c>
      <c r="AD35" s="41" t="s">
        <v>315</v>
      </c>
      <c r="AE35" s="39" t="s">
        <v>315</v>
      </c>
      <c r="AF35" s="41" t="s">
        <v>315</v>
      </c>
      <c r="AG35" s="39" t="s">
        <v>315</v>
      </c>
      <c r="AH35" s="39" t="s">
        <v>315</v>
      </c>
      <c r="AI35" s="39" t="s">
        <v>315</v>
      </c>
      <c r="AJ35" s="41" t="s">
        <v>315</v>
      </c>
    </row>
    <row r="36" spans="1:36" x14ac:dyDescent="0.35">
      <c r="A36" s="13" t="s">
        <v>316</v>
      </c>
      <c r="B36" s="30">
        <f>$B$46*($B$5/100)*(1-($B$9/100))</f>
        <v>3471300</v>
      </c>
      <c r="C36" s="30">
        <f>B36</f>
        <v>3471300</v>
      </c>
      <c r="D36" s="30">
        <v>0</v>
      </c>
      <c r="E36" s="30">
        <v>0</v>
      </c>
      <c r="F36" s="30">
        <f>$C$36*($B$12/100)</f>
        <v>173565</v>
      </c>
      <c r="G36" s="30">
        <v>0</v>
      </c>
      <c r="H36" s="30">
        <f>F36</f>
        <v>173565</v>
      </c>
      <c r="I36" s="30">
        <f>H36*(B8/100)</f>
        <v>8678.25</v>
      </c>
      <c r="J36" s="133">
        <f>I36*B13*365/(10^9)</f>
        <v>1.14032205</v>
      </c>
      <c r="K36" s="30">
        <f>I36-J36</f>
        <v>8677.1096779500003</v>
      </c>
      <c r="L36" s="30">
        <f t="shared" ref="L36:L43" si="1">H36-I36</f>
        <v>164886.75</v>
      </c>
      <c r="M36" s="33">
        <f>L36*$B$25/100</f>
        <v>1648.8675000000001</v>
      </c>
      <c r="N36" s="30">
        <f>L36+W36-M36</f>
        <v>163237.88250000001</v>
      </c>
      <c r="O36" s="30">
        <v>0</v>
      </c>
      <c r="P36" s="30">
        <v>0</v>
      </c>
      <c r="Q36" s="30">
        <f>N36</f>
        <v>163237.88250000001</v>
      </c>
      <c r="R36" s="30">
        <f>E36</f>
        <v>0</v>
      </c>
      <c r="S36" s="30">
        <v>0</v>
      </c>
      <c r="T36" s="30">
        <v>0</v>
      </c>
      <c r="U36" s="30">
        <f>T36</f>
        <v>0</v>
      </c>
      <c r="V36" s="30">
        <f>R36-S36</f>
        <v>0</v>
      </c>
      <c r="W36" s="30">
        <v>0</v>
      </c>
      <c r="X36" s="30">
        <f t="shared" ref="X36:X43" si="2">V36-W36</f>
        <v>0</v>
      </c>
      <c r="Y36" s="30">
        <f>K36+U36+X36</f>
        <v>8677.1096779500003</v>
      </c>
      <c r="Z36" s="33">
        <v>0</v>
      </c>
      <c r="AA36" s="30">
        <f>Y36-Z36</f>
        <v>8677.1096779500003</v>
      </c>
      <c r="AB36" s="30">
        <f t="shared" ref="AB36:AB43" si="3">Q36+AA36</f>
        <v>171914.99217795001</v>
      </c>
      <c r="AC36" s="30">
        <v>0</v>
      </c>
      <c r="AD36" s="33">
        <v>0</v>
      </c>
      <c r="AE36" s="30">
        <f>AB36</f>
        <v>171914.99217795001</v>
      </c>
      <c r="AF36" s="33">
        <f>AE36*$B$25/100</f>
        <v>1719.1499217795001</v>
      </c>
      <c r="AG36" s="30">
        <v>0</v>
      </c>
      <c r="AH36" s="30">
        <v>0</v>
      </c>
      <c r="AI36" s="30">
        <f t="shared" ref="AI36:AI43" si="4">O36+AH36</f>
        <v>0</v>
      </c>
      <c r="AJ36" s="33">
        <f t="shared" ref="AJ36:AJ42" si="5">(AG36+AI36)*$B$30/100</f>
        <v>0</v>
      </c>
    </row>
    <row r="37" spans="1:36" x14ac:dyDescent="0.35">
      <c r="A37" s="11" t="s">
        <v>317</v>
      </c>
      <c r="B37" s="30">
        <f>$B$46*($B$5/100)*($B$9/100)</f>
        <v>182700</v>
      </c>
      <c r="C37" s="30">
        <f>B37</f>
        <v>182700</v>
      </c>
      <c r="D37" s="30">
        <v>0</v>
      </c>
      <c r="E37" s="30">
        <v>0</v>
      </c>
      <c r="F37" s="30">
        <f>$C$37*($B$12/100)</f>
        <v>9135</v>
      </c>
      <c r="G37" s="30">
        <f>F37-H37</f>
        <v>8221.5</v>
      </c>
      <c r="H37" s="30">
        <f>F37*($B$4/100)</f>
        <v>913.5</v>
      </c>
      <c r="I37" s="30">
        <f>H37*(B9/100)</f>
        <v>45.675000000000004</v>
      </c>
      <c r="J37" s="133">
        <v>0</v>
      </c>
      <c r="K37" s="30">
        <f t="shared" ref="K37:K43" si="6">I37-J37</f>
        <v>45.675000000000004</v>
      </c>
      <c r="L37" s="30">
        <f t="shared" si="1"/>
        <v>867.82500000000005</v>
      </c>
      <c r="M37" s="33">
        <f t="shared" ref="M37:M38" si="7">L37*$B$25/100</f>
        <v>8.6782500000000002</v>
      </c>
      <c r="N37" s="30">
        <f>L37+W37-M37</f>
        <v>859.14675</v>
      </c>
      <c r="O37" s="30">
        <f>N37*(B14/100)</f>
        <v>773.23207500000001</v>
      </c>
      <c r="P37" s="30">
        <v>0</v>
      </c>
      <c r="Q37" s="30">
        <f>N37-O37</f>
        <v>85.914674999999988</v>
      </c>
      <c r="R37" s="30">
        <f>E37</f>
        <v>0</v>
      </c>
      <c r="S37" s="30">
        <v>0</v>
      </c>
      <c r="T37" s="30">
        <v>0</v>
      </c>
      <c r="U37" s="30">
        <f t="shared" ref="U37:U43" si="8">T37</f>
        <v>0</v>
      </c>
      <c r="V37" s="30">
        <f t="shared" ref="V37:V43" si="9">R37-S37</f>
        <v>0</v>
      </c>
      <c r="W37" s="30">
        <v>0</v>
      </c>
      <c r="X37" s="30">
        <f t="shared" si="2"/>
        <v>0</v>
      </c>
      <c r="Y37" s="30">
        <f>K37+U37+X37</f>
        <v>45.675000000000004</v>
      </c>
      <c r="Z37" s="33">
        <v>0</v>
      </c>
      <c r="AA37" s="30">
        <f t="shared" ref="AA37:AA43" si="10">Y37-Z37</f>
        <v>45.675000000000004</v>
      </c>
      <c r="AB37" s="30">
        <f t="shared" si="3"/>
        <v>131.589675</v>
      </c>
      <c r="AC37" s="30">
        <v>0</v>
      </c>
      <c r="AD37" s="33">
        <v>0</v>
      </c>
      <c r="AE37" s="30">
        <f t="shared" ref="AE37:AE38" si="11">AB37</f>
        <v>131.589675</v>
      </c>
      <c r="AF37" s="33">
        <f>AE37*$B$25/100</f>
        <v>1.3158967500000001</v>
      </c>
      <c r="AG37" s="30">
        <f>AE37-AF37</f>
        <v>130.27377824999999</v>
      </c>
      <c r="AH37" s="30">
        <v>0</v>
      </c>
      <c r="AI37" s="30">
        <f t="shared" si="4"/>
        <v>773.23207500000001</v>
      </c>
      <c r="AJ37" s="33">
        <f t="shared" si="5"/>
        <v>90.350585324999997</v>
      </c>
    </row>
    <row r="38" spans="1:36" x14ac:dyDescent="0.35">
      <c r="A38" s="11" t="s">
        <v>318</v>
      </c>
      <c r="B38" s="30">
        <v>0</v>
      </c>
      <c r="C38" s="30">
        <v>0</v>
      </c>
      <c r="D38" s="30">
        <f>B11*F40</f>
        <v>21435277.5</v>
      </c>
      <c r="E38" s="30">
        <v>0</v>
      </c>
      <c r="F38" s="30">
        <f>C38+D38</f>
        <v>21435277.5</v>
      </c>
      <c r="G38" s="30">
        <v>0</v>
      </c>
      <c r="H38" s="30">
        <f>F38</f>
        <v>21435277.5</v>
      </c>
      <c r="I38" s="30">
        <v>0</v>
      </c>
      <c r="J38" s="133">
        <v>0</v>
      </c>
      <c r="K38" s="30">
        <f t="shared" si="6"/>
        <v>0</v>
      </c>
      <c r="L38" s="30">
        <f t="shared" si="1"/>
        <v>21435277.5</v>
      </c>
      <c r="M38" s="33">
        <f t="shared" si="7"/>
        <v>214352.77499999999</v>
      </c>
      <c r="N38" s="30">
        <f>L38-M38</f>
        <v>21220924.725000001</v>
      </c>
      <c r="O38" s="30">
        <v>0</v>
      </c>
      <c r="P38" s="30">
        <v>0</v>
      </c>
      <c r="Q38" s="30">
        <f>N38</f>
        <v>21220924.725000001</v>
      </c>
      <c r="R38" s="30">
        <v>0</v>
      </c>
      <c r="S38" s="30">
        <f>R38</f>
        <v>0</v>
      </c>
      <c r="T38" s="30">
        <f>R38</f>
        <v>0</v>
      </c>
      <c r="U38" s="30">
        <f t="shared" si="8"/>
        <v>0</v>
      </c>
      <c r="V38" s="30">
        <f t="shared" si="9"/>
        <v>0</v>
      </c>
      <c r="W38" s="30">
        <v>0</v>
      </c>
      <c r="X38" s="30">
        <f t="shared" si="2"/>
        <v>0</v>
      </c>
      <c r="Y38" s="30">
        <f t="shared" ref="Y38:Z38" si="12">X38</f>
        <v>0</v>
      </c>
      <c r="Z38" s="33">
        <f t="shared" si="12"/>
        <v>0</v>
      </c>
      <c r="AA38" s="30">
        <f t="shared" si="10"/>
        <v>0</v>
      </c>
      <c r="AB38" s="30">
        <f>Q38+AA38</f>
        <v>21220924.725000001</v>
      </c>
      <c r="AC38" s="30">
        <v>0</v>
      </c>
      <c r="AD38" s="33">
        <v>0</v>
      </c>
      <c r="AE38" s="30">
        <f t="shared" si="11"/>
        <v>21220924.725000001</v>
      </c>
      <c r="AF38" s="33">
        <f t="shared" ref="AF38:AF40" si="13">AE38*$B$25/100</f>
        <v>212209.24725000001</v>
      </c>
      <c r="AG38" s="30">
        <v>0</v>
      </c>
      <c r="AH38" s="30">
        <v>0</v>
      </c>
      <c r="AI38" s="30">
        <f t="shared" si="4"/>
        <v>0</v>
      </c>
      <c r="AJ38" s="33">
        <f t="shared" si="5"/>
        <v>0</v>
      </c>
    </row>
    <row r="39" spans="1:36" ht="14.25" customHeight="1" x14ac:dyDescent="0.35">
      <c r="A39" s="13" t="s">
        <v>319</v>
      </c>
      <c r="B39" s="30">
        <f>B46*(B6/100)</f>
        <v>6786000</v>
      </c>
      <c r="C39" s="30">
        <v>0</v>
      </c>
      <c r="D39" s="30">
        <v>0</v>
      </c>
      <c r="E39" s="30">
        <f>B39</f>
        <v>6786000</v>
      </c>
      <c r="F39" s="30">
        <f t="shared" ref="F39" si="14">C39</f>
        <v>0</v>
      </c>
      <c r="G39" s="30">
        <f>F39-H39</f>
        <v>0</v>
      </c>
      <c r="H39" s="30">
        <v>0</v>
      </c>
      <c r="I39" s="30">
        <f>H39*(1-B34/100)</f>
        <v>0</v>
      </c>
      <c r="J39" s="133">
        <v>0</v>
      </c>
      <c r="K39" s="30">
        <f t="shared" si="6"/>
        <v>0</v>
      </c>
      <c r="L39" s="30">
        <f t="shared" si="1"/>
        <v>0</v>
      </c>
      <c r="M39" s="33">
        <v>0</v>
      </c>
      <c r="N39" s="30">
        <f>L39+W39-M39</f>
        <v>0</v>
      </c>
      <c r="O39" s="30">
        <v>0</v>
      </c>
      <c r="P39" s="30">
        <v>0</v>
      </c>
      <c r="Q39" s="30">
        <f>N39-O39</f>
        <v>0</v>
      </c>
      <c r="R39" s="30">
        <f>$E$39*($B$12/100)</f>
        <v>339300</v>
      </c>
      <c r="S39" s="30">
        <v>0</v>
      </c>
      <c r="T39" s="30">
        <v>0</v>
      </c>
      <c r="U39" s="30">
        <f t="shared" si="8"/>
        <v>0</v>
      </c>
      <c r="V39" s="30">
        <f>R39-S39</f>
        <v>339300</v>
      </c>
      <c r="W39" s="30">
        <v>0</v>
      </c>
      <c r="X39" s="30">
        <f>V39-W39</f>
        <v>339300</v>
      </c>
      <c r="Y39" s="30">
        <f>K39+U39+X39</f>
        <v>339300</v>
      </c>
      <c r="Z39" s="33">
        <v>0</v>
      </c>
      <c r="AA39" s="30">
        <f t="shared" si="10"/>
        <v>339300</v>
      </c>
      <c r="AB39" s="30">
        <f t="shared" si="3"/>
        <v>339300</v>
      </c>
      <c r="AC39" s="30">
        <f>AB39*$B$22/100</f>
        <v>93764.40281030444</v>
      </c>
      <c r="AD39" s="33">
        <f>AC39*$B$25/100</f>
        <v>937.64402810304443</v>
      </c>
      <c r="AE39" s="30">
        <f>AB39*$B$23/100</f>
        <v>46882.20140515222</v>
      </c>
      <c r="AF39" s="33">
        <f t="shared" si="13"/>
        <v>468.82201405152222</v>
      </c>
      <c r="AG39" s="30">
        <v>0</v>
      </c>
      <c r="AH39" s="30">
        <f>AB39*$B$24/100</f>
        <v>198653.3957845433</v>
      </c>
      <c r="AI39" s="30">
        <f t="shared" si="4"/>
        <v>198653.3957845433</v>
      </c>
      <c r="AJ39" s="33">
        <f t="shared" si="5"/>
        <v>19865.339578454332</v>
      </c>
    </row>
    <row r="40" spans="1:36" x14ac:dyDescent="0.35">
      <c r="A40" s="13" t="s">
        <v>320</v>
      </c>
      <c r="B40" s="30">
        <v>0</v>
      </c>
      <c r="C40" s="30">
        <v>0</v>
      </c>
      <c r="D40" s="30">
        <v>0</v>
      </c>
      <c r="E40" s="30">
        <v>0</v>
      </c>
      <c r="F40" s="30">
        <f>$C$36+C37-F36-F41-F37</f>
        <v>3297735</v>
      </c>
      <c r="G40" s="30">
        <f>F40</f>
        <v>3297735</v>
      </c>
      <c r="H40" s="30">
        <v>0</v>
      </c>
      <c r="I40" s="30">
        <v>0</v>
      </c>
      <c r="J40" s="133">
        <v>0</v>
      </c>
      <c r="K40" s="30">
        <f t="shared" si="6"/>
        <v>0</v>
      </c>
      <c r="L40" s="30">
        <f t="shared" si="1"/>
        <v>0</v>
      </c>
      <c r="M40" s="33">
        <v>0</v>
      </c>
      <c r="N40" s="30">
        <v>0</v>
      </c>
      <c r="O40" s="30">
        <v>0</v>
      </c>
      <c r="P40" s="30">
        <v>0</v>
      </c>
      <c r="Q40" s="30">
        <v>0</v>
      </c>
      <c r="R40" s="30">
        <f>E39-R41-R39</f>
        <v>6107400</v>
      </c>
      <c r="S40" s="30">
        <f>R40</f>
        <v>6107400</v>
      </c>
      <c r="T40" s="30">
        <f>S40+G40</f>
        <v>9405135</v>
      </c>
      <c r="U40" s="30">
        <f t="shared" si="8"/>
        <v>9405135</v>
      </c>
      <c r="V40" s="30">
        <f t="shared" si="9"/>
        <v>0</v>
      </c>
      <c r="W40" s="30">
        <v>0</v>
      </c>
      <c r="X40" s="30">
        <f t="shared" si="2"/>
        <v>0</v>
      </c>
      <c r="Y40" s="30">
        <f>K40+U40+X40</f>
        <v>9405135</v>
      </c>
      <c r="Z40" s="33">
        <f>Y40*($B$18/100)</f>
        <v>188102.7</v>
      </c>
      <c r="AA40" s="30">
        <f t="shared" si="10"/>
        <v>9217032.3000000007</v>
      </c>
      <c r="AB40" s="30">
        <f t="shared" si="3"/>
        <v>9217032.3000000007</v>
      </c>
      <c r="AC40" s="30">
        <f>AB40*$B$22/100</f>
        <v>2547095.5770491804</v>
      </c>
      <c r="AD40" s="33">
        <f t="shared" ref="AD40:AD41" si="15">AC40*$B$25/100</f>
        <v>25470.955770491804</v>
      </c>
      <c r="AE40" s="30">
        <f t="shared" ref="AE40:AE41" si="16">AB40*$B$23/100</f>
        <v>1273547.7885245902</v>
      </c>
      <c r="AF40" s="33">
        <f t="shared" si="13"/>
        <v>12735.477885245902</v>
      </c>
      <c r="AG40" s="30">
        <v>0</v>
      </c>
      <c r="AH40" s="30">
        <f t="shared" ref="AH40:AH41" si="17">AB40*$B$24/100</f>
        <v>5396388.9344262294</v>
      </c>
      <c r="AI40" s="30">
        <f t="shared" si="4"/>
        <v>5396388.9344262294</v>
      </c>
      <c r="AJ40" s="33">
        <f>(AG40+AI40)*$B$30/100</f>
        <v>539638.89344262297</v>
      </c>
    </row>
    <row r="41" spans="1:36" x14ac:dyDescent="0.35">
      <c r="A41" s="13" t="s">
        <v>321</v>
      </c>
      <c r="B41" s="30">
        <v>0</v>
      </c>
      <c r="C41" s="30">
        <v>0</v>
      </c>
      <c r="D41" s="30">
        <v>0</v>
      </c>
      <c r="E41" s="30">
        <v>0</v>
      </c>
      <c r="F41" s="30">
        <f>$C$36*($B$7/100)</f>
        <v>173565</v>
      </c>
      <c r="G41" s="30">
        <v>0</v>
      </c>
      <c r="H41" s="30">
        <f>F41</f>
        <v>173565</v>
      </c>
      <c r="I41" s="30">
        <f>H41</f>
        <v>173565</v>
      </c>
      <c r="J41" s="133">
        <v>0</v>
      </c>
      <c r="K41" s="30">
        <f t="shared" si="6"/>
        <v>173565</v>
      </c>
      <c r="L41" s="30">
        <f t="shared" si="1"/>
        <v>0</v>
      </c>
      <c r="M41" s="33">
        <v>0</v>
      </c>
      <c r="N41" s="30">
        <v>0</v>
      </c>
      <c r="O41" s="30">
        <v>0</v>
      </c>
      <c r="P41" s="30">
        <v>0</v>
      </c>
      <c r="Q41" s="30">
        <v>0</v>
      </c>
      <c r="R41" s="30">
        <f>$E$39*(B7/100)</f>
        <v>339300</v>
      </c>
      <c r="S41" s="30">
        <v>0</v>
      </c>
      <c r="T41" s="30">
        <v>0</v>
      </c>
      <c r="U41" s="30">
        <f t="shared" si="8"/>
        <v>0</v>
      </c>
      <c r="V41" s="30">
        <f t="shared" si="9"/>
        <v>339300</v>
      </c>
      <c r="W41" s="30">
        <v>0</v>
      </c>
      <c r="X41" s="30">
        <f t="shared" si="2"/>
        <v>339300</v>
      </c>
      <c r="Y41" s="30">
        <f>K41+U41+X41</f>
        <v>512865</v>
      </c>
      <c r="Z41" s="33">
        <f>Y41*($B$18/100)</f>
        <v>10257.300000000001</v>
      </c>
      <c r="AA41" s="30">
        <f t="shared" si="10"/>
        <v>502607.7</v>
      </c>
      <c r="AB41" s="30">
        <f t="shared" si="3"/>
        <v>502607.7</v>
      </c>
      <c r="AC41" s="30">
        <f t="shared" ref="AC41:AC43" si="18">AB41*$B$22/100</f>
        <v>138893.93114754098</v>
      </c>
      <c r="AD41" s="33">
        <f t="shared" si="15"/>
        <v>1388.9393114754098</v>
      </c>
      <c r="AE41" s="30">
        <f t="shared" si="16"/>
        <v>69446.965573770489</v>
      </c>
      <c r="AF41" s="33">
        <f>AE41*$B$25/100</f>
        <v>694.4696557377049</v>
      </c>
      <c r="AG41" s="30">
        <v>0</v>
      </c>
      <c r="AH41" s="30">
        <f t="shared" si="17"/>
        <v>294266.80327868852</v>
      </c>
      <c r="AI41" s="30">
        <f t="shared" si="4"/>
        <v>294266.80327868852</v>
      </c>
      <c r="AJ41" s="33">
        <f t="shared" si="5"/>
        <v>29426.680327868853</v>
      </c>
    </row>
    <row r="42" spans="1:36" x14ac:dyDescent="0.35">
      <c r="A42" s="13" t="s">
        <v>322</v>
      </c>
      <c r="B42" s="30">
        <v>0</v>
      </c>
      <c r="C42" s="30">
        <v>0</v>
      </c>
      <c r="D42" s="30">
        <v>0</v>
      </c>
      <c r="E42" s="30">
        <v>0</v>
      </c>
      <c r="F42" s="30">
        <v>0</v>
      </c>
      <c r="G42" s="30">
        <v>0</v>
      </c>
      <c r="H42" s="30">
        <v>0</v>
      </c>
      <c r="I42" s="30">
        <v>0</v>
      </c>
      <c r="J42" s="133">
        <v>0</v>
      </c>
      <c r="K42" s="30">
        <f t="shared" si="6"/>
        <v>0</v>
      </c>
      <c r="L42" s="30">
        <f t="shared" si="1"/>
        <v>0</v>
      </c>
      <c r="M42" s="33">
        <v>0</v>
      </c>
      <c r="N42" s="30">
        <v>0</v>
      </c>
      <c r="O42" s="30">
        <v>0</v>
      </c>
      <c r="P42" s="30">
        <v>0</v>
      </c>
      <c r="Q42" s="30">
        <v>0</v>
      </c>
      <c r="R42" s="30">
        <v>0</v>
      </c>
      <c r="S42" s="30">
        <v>0</v>
      </c>
      <c r="T42" s="30">
        <v>0</v>
      </c>
      <c r="U42" s="30">
        <f t="shared" si="8"/>
        <v>0</v>
      </c>
      <c r="V42" s="30">
        <f t="shared" si="9"/>
        <v>0</v>
      </c>
      <c r="W42" s="30">
        <v>0</v>
      </c>
      <c r="X42" s="30">
        <f t="shared" si="2"/>
        <v>0</v>
      </c>
      <c r="Y42" s="30">
        <v>0</v>
      </c>
      <c r="Z42" s="33">
        <v>0</v>
      </c>
      <c r="AA42" s="30">
        <f t="shared" si="10"/>
        <v>0</v>
      </c>
      <c r="AB42" s="30">
        <f t="shared" si="3"/>
        <v>0</v>
      </c>
      <c r="AC42" s="30">
        <v>0</v>
      </c>
      <c r="AD42" s="33">
        <v>0</v>
      </c>
      <c r="AE42" s="30">
        <v>0</v>
      </c>
      <c r="AF42" s="33">
        <f>($AE$46-$AE$37)*(B$26/100)*(B$27/100)*((100-B$28)/100)</f>
        <v>34174.075009022192</v>
      </c>
      <c r="AG42" s="30">
        <f>($AE$46-$AE$37)*(B26/100)*(B27/100)*(B28/100)</f>
        <v>649307.42517142161</v>
      </c>
      <c r="AH42" s="30">
        <v>0</v>
      </c>
      <c r="AI42" s="30">
        <f t="shared" si="4"/>
        <v>0</v>
      </c>
      <c r="AJ42" s="33">
        <f t="shared" si="5"/>
        <v>64930.742517142164</v>
      </c>
    </row>
    <row r="43" spans="1:36" x14ac:dyDescent="0.35">
      <c r="A43" s="13" t="s">
        <v>323</v>
      </c>
      <c r="B43" s="30">
        <v>0</v>
      </c>
      <c r="C43" s="30">
        <v>0</v>
      </c>
      <c r="D43" s="30">
        <v>0</v>
      </c>
      <c r="E43" s="30">
        <v>0</v>
      </c>
      <c r="F43" s="30">
        <v>0</v>
      </c>
      <c r="G43" s="30">
        <v>0</v>
      </c>
      <c r="H43" s="30">
        <v>0</v>
      </c>
      <c r="I43" s="30">
        <v>0</v>
      </c>
      <c r="J43" s="133">
        <v>0</v>
      </c>
      <c r="K43" s="30">
        <f t="shared" si="6"/>
        <v>0</v>
      </c>
      <c r="L43" s="30">
        <f t="shared" si="1"/>
        <v>0</v>
      </c>
      <c r="M43" s="33">
        <v>0</v>
      </c>
      <c r="N43" s="30">
        <v>0</v>
      </c>
      <c r="O43" s="30">
        <v>0</v>
      </c>
      <c r="P43" s="30">
        <v>0</v>
      </c>
      <c r="Q43" s="30">
        <v>0</v>
      </c>
      <c r="R43" s="30">
        <v>0</v>
      </c>
      <c r="S43" s="30">
        <v>0</v>
      </c>
      <c r="T43" s="30">
        <v>0</v>
      </c>
      <c r="U43" s="30">
        <f t="shared" si="8"/>
        <v>0</v>
      </c>
      <c r="V43" s="30">
        <f t="shared" si="9"/>
        <v>0</v>
      </c>
      <c r="W43" s="30">
        <v>0</v>
      </c>
      <c r="X43" s="30">
        <f t="shared" si="2"/>
        <v>0</v>
      </c>
      <c r="Y43" s="30">
        <v>0</v>
      </c>
      <c r="Z43" s="33">
        <v>0</v>
      </c>
      <c r="AA43" s="30">
        <f t="shared" si="10"/>
        <v>0</v>
      </c>
      <c r="AB43" s="30">
        <f t="shared" si="3"/>
        <v>0</v>
      </c>
      <c r="AC43" s="30">
        <f t="shared" si="18"/>
        <v>0</v>
      </c>
      <c r="AD43" s="33">
        <v>0</v>
      </c>
      <c r="AE43" s="30">
        <v>0</v>
      </c>
      <c r="AF43" s="33">
        <v>0</v>
      </c>
      <c r="AG43" s="30">
        <f>($AE$46-$AE$37)*($B$26/100)*($B$29/100)</f>
        <v>3873061.8343558484</v>
      </c>
      <c r="AH43" s="30">
        <f t="shared" ref="AH43" si="19">AB43*$B$21/100</f>
        <v>0</v>
      </c>
      <c r="AI43" s="30">
        <f t="shared" si="4"/>
        <v>0</v>
      </c>
      <c r="AJ43" s="33">
        <f>(AG43+AI43)*$B$30/100</f>
        <v>387306.18343558483</v>
      </c>
    </row>
    <row r="44" spans="1:36" x14ac:dyDescent="0.35">
      <c r="A44" s="13" t="s">
        <v>324</v>
      </c>
      <c r="B44" s="30">
        <v>0</v>
      </c>
      <c r="C44" s="30">
        <v>0</v>
      </c>
      <c r="D44" s="30">
        <v>0</v>
      </c>
      <c r="E44" s="30">
        <v>0</v>
      </c>
      <c r="F44" s="30">
        <v>0</v>
      </c>
      <c r="G44" s="30">
        <v>0</v>
      </c>
      <c r="H44" s="30">
        <v>0</v>
      </c>
      <c r="I44" s="30">
        <v>0</v>
      </c>
      <c r="J44" s="33">
        <v>0</v>
      </c>
      <c r="K44" s="30">
        <v>0</v>
      </c>
      <c r="L44" s="30">
        <v>0</v>
      </c>
      <c r="M44" s="33">
        <v>0</v>
      </c>
      <c r="N44" s="30">
        <v>0</v>
      </c>
      <c r="O44" s="30">
        <v>0</v>
      </c>
      <c r="P44" s="30">
        <v>0</v>
      </c>
      <c r="Q44" s="30">
        <v>0</v>
      </c>
      <c r="R44" s="30">
        <v>0</v>
      </c>
      <c r="S44" s="30">
        <v>0</v>
      </c>
      <c r="T44" s="30">
        <v>0</v>
      </c>
      <c r="U44" s="30">
        <v>0</v>
      </c>
      <c r="V44" s="30">
        <v>0</v>
      </c>
      <c r="W44" s="30">
        <v>0</v>
      </c>
      <c r="X44" s="30">
        <v>0</v>
      </c>
      <c r="Y44" s="30">
        <v>0</v>
      </c>
      <c r="Z44" s="33">
        <v>0</v>
      </c>
      <c r="AA44" s="30">
        <v>0</v>
      </c>
      <c r="AB44" s="30">
        <v>0</v>
      </c>
      <c r="AC44" s="30">
        <v>0</v>
      </c>
      <c r="AD44" s="33">
        <v>0</v>
      </c>
      <c r="AE44" s="30">
        <v>0</v>
      </c>
      <c r="AF44" s="33">
        <v>0</v>
      </c>
      <c r="AG44" s="30">
        <v>0</v>
      </c>
      <c r="AH44" s="30">
        <v>0</v>
      </c>
      <c r="AI44" s="30">
        <v>0</v>
      </c>
      <c r="AJ44" s="33">
        <f>(AI46+AG46)*(B$31/100)</f>
        <v>208251.6379773996</v>
      </c>
    </row>
    <row r="45" spans="1:36" x14ac:dyDescent="0.35">
      <c r="A45" s="13" t="s">
        <v>325</v>
      </c>
      <c r="B45" s="30">
        <v>0</v>
      </c>
      <c r="C45" s="30">
        <v>0</v>
      </c>
      <c r="D45" s="30">
        <v>0</v>
      </c>
      <c r="E45" s="30">
        <v>0</v>
      </c>
      <c r="F45" s="30">
        <v>0</v>
      </c>
      <c r="G45" s="30">
        <v>0</v>
      </c>
      <c r="H45" s="30">
        <v>0</v>
      </c>
      <c r="I45" s="30">
        <v>0</v>
      </c>
      <c r="J45" s="33">
        <v>0</v>
      </c>
      <c r="K45" s="30">
        <v>0</v>
      </c>
      <c r="L45" s="30">
        <v>0</v>
      </c>
      <c r="M45" s="33">
        <v>0</v>
      </c>
      <c r="N45" s="30">
        <v>0</v>
      </c>
      <c r="O45" s="30">
        <v>0</v>
      </c>
      <c r="P45" s="30">
        <v>0</v>
      </c>
      <c r="Q45" s="30">
        <v>0</v>
      </c>
      <c r="R45" s="30">
        <v>0</v>
      </c>
      <c r="S45" s="30">
        <v>0</v>
      </c>
      <c r="T45" s="30">
        <v>0</v>
      </c>
      <c r="U45" s="30">
        <v>0</v>
      </c>
      <c r="V45" s="30">
        <v>0</v>
      </c>
      <c r="W45" s="30">
        <v>0</v>
      </c>
      <c r="X45" s="30">
        <v>0</v>
      </c>
      <c r="Y45" s="30">
        <v>0</v>
      </c>
      <c r="Z45" s="33">
        <v>0</v>
      </c>
      <c r="AA45" s="30">
        <v>0</v>
      </c>
      <c r="AB45" s="30">
        <v>0</v>
      </c>
      <c r="AC45" s="30">
        <v>0</v>
      </c>
      <c r="AD45" s="33">
        <v>0</v>
      </c>
      <c r="AE45" s="30">
        <v>0</v>
      </c>
      <c r="AF45" s="33">
        <v>0</v>
      </c>
      <c r="AG45" s="30">
        <v>0</v>
      </c>
      <c r="AH45" s="30">
        <v>0</v>
      </c>
      <c r="AI45" s="30">
        <v>0</v>
      </c>
      <c r="AJ45" s="33">
        <f>(AI46+AG46)*(B$32/100)</f>
        <v>1145384.0088756979</v>
      </c>
    </row>
    <row r="46" spans="1:36" x14ac:dyDescent="0.35">
      <c r="A46" s="22" t="s">
        <v>326</v>
      </c>
      <c r="B46" s="32">
        <f>B2*1*B3</f>
        <v>10440000</v>
      </c>
      <c r="C46" s="32">
        <f>SUM(C36:C45)</f>
        <v>3654000</v>
      </c>
      <c r="D46" s="32">
        <f t="shared" ref="D46:AJ46" si="20">SUM(D36:D45)</f>
        <v>21435277.5</v>
      </c>
      <c r="E46" s="32">
        <f t="shared" si="20"/>
        <v>6786000</v>
      </c>
      <c r="F46" s="32">
        <f t="shared" si="20"/>
        <v>25089277.5</v>
      </c>
      <c r="G46" s="32">
        <f t="shared" si="20"/>
        <v>3305956.5</v>
      </c>
      <c r="H46" s="32">
        <f t="shared" si="20"/>
        <v>21783321</v>
      </c>
      <c r="I46" s="32">
        <f t="shared" si="20"/>
        <v>182288.92499999999</v>
      </c>
      <c r="J46" s="32">
        <f t="shared" si="20"/>
        <v>1.14032205</v>
      </c>
      <c r="K46" s="32">
        <f t="shared" si="20"/>
        <v>182287.78467795</v>
      </c>
      <c r="L46" s="32">
        <f t="shared" si="20"/>
        <v>21601032.074999999</v>
      </c>
      <c r="M46" s="32">
        <f t="shared" si="20"/>
        <v>216010.32074999998</v>
      </c>
      <c r="N46" s="32">
        <f t="shared" si="20"/>
        <v>21385021.754250001</v>
      </c>
      <c r="O46" s="32">
        <f t="shared" si="20"/>
        <v>773.23207500000001</v>
      </c>
      <c r="P46" s="32">
        <f t="shared" si="20"/>
        <v>0</v>
      </c>
      <c r="Q46" s="32">
        <f t="shared" si="20"/>
        <v>21384248.522175003</v>
      </c>
      <c r="R46" s="32">
        <f t="shared" si="20"/>
        <v>6786000</v>
      </c>
      <c r="S46" s="32">
        <f t="shared" si="20"/>
        <v>6107400</v>
      </c>
      <c r="T46" s="32">
        <f t="shared" si="20"/>
        <v>9405135</v>
      </c>
      <c r="U46" s="32">
        <f t="shared" si="20"/>
        <v>9405135</v>
      </c>
      <c r="V46" s="32">
        <f t="shared" si="20"/>
        <v>678600</v>
      </c>
      <c r="W46" s="32">
        <f t="shared" si="20"/>
        <v>0</v>
      </c>
      <c r="X46" s="32">
        <f t="shared" si="20"/>
        <v>678600</v>
      </c>
      <c r="Y46" s="32">
        <f t="shared" si="20"/>
        <v>10266022.784677951</v>
      </c>
      <c r="Z46" s="32">
        <f t="shared" si="20"/>
        <v>198360</v>
      </c>
      <c r="AA46" s="32">
        <f t="shared" si="20"/>
        <v>10067662.784677951</v>
      </c>
      <c r="AB46" s="32">
        <f t="shared" si="20"/>
        <v>31451911.306852952</v>
      </c>
      <c r="AC46" s="32">
        <f t="shared" si="20"/>
        <v>2779753.9110070257</v>
      </c>
      <c r="AD46" s="32">
        <f t="shared" si="20"/>
        <v>27797.539110070258</v>
      </c>
      <c r="AE46" s="32">
        <f t="shared" si="20"/>
        <v>22782848.262356464</v>
      </c>
      <c r="AF46" s="32">
        <f t="shared" si="20"/>
        <v>262002.55763258686</v>
      </c>
      <c r="AG46" s="32">
        <f t="shared" si="20"/>
        <v>4522499.5333055202</v>
      </c>
      <c r="AH46" s="32">
        <f t="shared" si="20"/>
        <v>5889309.1334894607</v>
      </c>
      <c r="AI46" s="32">
        <f t="shared" si="20"/>
        <v>5890082.3655644609</v>
      </c>
      <c r="AJ46" s="32">
        <f t="shared" si="20"/>
        <v>2394893.8367400956</v>
      </c>
    </row>
    <row r="47" spans="1:36" x14ac:dyDescent="0.35">
      <c r="B47" s="42">
        <f t="shared" ref="B47:AJ47" si="21">B46/1000000</f>
        <v>10.44</v>
      </c>
      <c r="C47" s="42">
        <f t="shared" si="21"/>
        <v>3.6539999999999999</v>
      </c>
      <c r="D47" s="42">
        <f t="shared" si="21"/>
        <v>21.435277500000002</v>
      </c>
      <c r="E47" s="42">
        <f t="shared" si="21"/>
        <v>6.7859999999999996</v>
      </c>
      <c r="F47" s="42">
        <f t="shared" si="21"/>
        <v>25.089277500000001</v>
      </c>
      <c r="G47" s="42">
        <f t="shared" si="21"/>
        <v>3.3059565000000002</v>
      </c>
      <c r="H47" s="42">
        <f t="shared" si="21"/>
        <v>21.783321000000001</v>
      </c>
      <c r="I47" s="42">
        <f t="shared" si="21"/>
        <v>0.18228892499999999</v>
      </c>
      <c r="J47" s="46">
        <f t="shared" si="21"/>
        <v>1.1403220500000001E-6</v>
      </c>
      <c r="K47" s="42">
        <f t="shared" si="21"/>
        <v>0.18228778467794998</v>
      </c>
      <c r="L47" s="42">
        <f t="shared" si="21"/>
        <v>21.601032074999999</v>
      </c>
      <c r="M47" s="44">
        <f t="shared" si="21"/>
        <v>0.21601032074999998</v>
      </c>
      <c r="N47" s="42">
        <f t="shared" si="21"/>
        <v>21.385021754250001</v>
      </c>
      <c r="O47" s="45">
        <f t="shared" si="21"/>
        <v>7.7323207500000002E-4</v>
      </c>
      <c r="P47" s="42">
        <f t="shared" si="21"/>
        <v>0</v>
      </c>
      <c r="Q47" s="42">
        <f t="shared" si="21"/>
        <v>21.384248522175003</v>
      </c>
      <c r="R47" s="42">
        <f t="shared" si="21"/>
        <v>6.7859999999999996</v>
      </c>
      <c r="S47" s="42">
        <f t="shared" si="21"/>
        <v>6.1074000000000002</v>
      </c>
      <c r="T47" s="42">
        <f t="shared" si="21"/>
        <v>9.4051349999999996</v>
      </c>
      <c r="U47" s="42">
        <f t="shared" si="21"/>
        <v>9.4051349999999996</v>
      </c>
      <c r="V47" s="42">
        <f t="shared" si="21"/>
        <v>0.67859999999999998</v>
      </c>
      <c r="W47" s="42">
        <f t="shared" si="21"/>
        <v>0</v>
      </c>
      <c r="X47" s="42">
        <f t="shared" si="21"/>
        <v>0.67859999999999998</v>
      </c>
      <c r="Y47" s="42">
        <f t="shared" si="21"/>
        <v>10.266022784677951</v>
      </c>
      <c r="Z47" s="42">
        <f t="shared" si="21"/>
        <v>0.19836000000000001</v>
      </c>
      <c r="AA47" s="42">
        <f t="shared" si="21"/>
        <v>10.067662784677951</v>
      </c>
      <c r="AB47" s="42">
        <f t="shared" si="21"/>
        <v>31.451911306852953</v>
      </c>
      <c r="AC47" s="42">
        <f t="shared" si="21"/>
        <v>2.7797539110070257</v>
      </c>
      <c r="AD47" s="45">
        <f t="shared" si="21"/>
        <v>2.7797539110070258E-2</v>
      </c>
      <c r="AE47" s="42">
        <f t="shared" si="21"/>
        <v>22.782848262356463</v>
      </c>
      <c r="AF47" s="42">
        <f t="shared" si="21"/>
        <v>0.26200255763258684</v>
      </c>
      <c r="AG47" s="42">
        <f t="shared" si="21"/>
        <v>4.5224995333055205</v>
      </c>
      <c r="AH47" s="42">
        <f t="shared" si="21"/>
        <v>5.8893091334894603</v>
      </c>
      <c r="AI47" s="42">
        <f t="shared" si="21"/>
        <v>5.890082365564461</v>
      </c>
      <c r="AJ47" s="42">
        <f t="shared" si="21"/>
        <v>2.3948938367400956</v>
      </c>
    </row>
    <row r="48" spans="1:36" x14ac:dyDescent="0.35">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row>
    <row r="49" spans="1:36" x14ac:dyDescent="0.35">
      <c r="G49" s="30"/>
      <c r="H49" s="30"/>
      <c r="AF49" s="30"/>
    </row>
    <row r="50" spans="1:36" x14ac:dyDescent="0.35">
      <c r="G50" s="30"/>
      <c r="H50" s="30"/>
      <c r="AF50" s="30"/>
    </row>
    <row r="51" spans="1:36" x14ac:dyDescent="0.35">
      <c r="A51" s="11" t="s">
        <v>1762</v>
      </c>
      <c r="G51" s="30"/>
      <c r="H51" s="30"/>
      <c r="AF51" s="30"/>
    </row>
    <row r="52" spans="1:36" x14ac:dyDescent="0.35">
      <c r="A52" s="24" t="s">
        <v>314</v>
      </c>
      <c r="B52" s="39">
        <v>1</v>
      </c>
      <c r="C52" s="39">
        <f>B52+1</f>
        <v>2</v>
      </c>
      <c r="D52" s="39">
        <v>3</v>
      </c>
      <c r="E52" s="39">
        <v>4</v>
      </c>
      <c r="F52" s="39">
        <f t="shared" ref="F52" si="22">E52+1</f>
        <v>5</v>
      </c>
      <c r="G52" s="39">
        <f>F52+1</f>
        <v>6</v>
      </c>
      <c r="H52" s="39">
        <f t="shared" ref="H52" si="23">G52+1</f>
        <v>7</v>
      </c>
      <c r="I52" s="39">
        <v>8</v>
      </c>
      <c r="J52" s="40">
        <f t="shared" ref="J52" si="24">I52+1</f>
        <v>9</v>
      </c>
      <c r="K52" s="39">
        <f t="shared" ref="K52" si="25">J52+1</f>
        <v>10</v>
      </c>
      <c r="L52" s="39">
        <f t="shared" ref="L52" si="26">K52+1</f>
        <v>11</v>
      </c>
      <c r="M52" s="40">
        <f t="shared" ref="M52" si="27">L52+1</f>
        <v>12</v>
      </c>
      <c r="N52" s="39">
        <f t="shared" ref="N52" si="28">M52+1</f>
        <v>13</v>
      </c>
      <c r="O52" s="39">
        <v>14</v>
      </c>
      <c r="P52" s="39">
        <v>15</v>
      </c>
      <c r="Q52" s="39">
        <v>16</v>
      </c>
      <c r="R52" s="39">
        <v>17</v>
      </c>
      <c r="S52" s="39">
        <v>18</v>
      </c>
      <c r="T52" s="39">
        <v>19</v>
      </c>
      <c r="U52" s="39">
        <v>20</v>
      </c>
      <c r="V52" s="39">
        <f t="shared" ref="V52" si="29">U52+1</f>
        <v>21</v>
      </c>
      <c r="W52" s="39">
        <v>22</v>
      </c>
      <c r="X52" s="39">
        <f t="shared" ref="X52" si="30">W52+1</f>
        <v>23</v>
      </c>
      <c r="Y52" s="39">
        <f t="shared" ref="Y52" si="31">X52+1</f>
        <v>24</v>
      </c>
      <c r="Z52" s="41">
        <f t="shared" ref="Z52" si="32">Y52+1</f>
        <v>25</v>
      </c>
      <c r="AA52" s="39">
        <f t="shared" ref="AA52" si="33">Z52+1</f>
        <v>26</v>
      </c>
      <c r="AB52" s="39">
        <f t="shared" ref="AB52" si="34">AA52+1</f>
        <v>27</v>
      </c>
      <c r="AC52" s="39">
        <f>AB52+1</f>
        <v>28</v>
      </c>
      <c r="AD52" s="41">
        <f t="shared" ref="AD52" si="35">AC52+1</f>
        <v>29</v>
      </c>
      <c r="AE52" s="39">
        <f t="shared" ref="AE52" si="36">AD52+1</f>
        <v>30</v>
      </c>
      <c r="AF52" s="41">
        <f t="shared" ref="AF52" si="37">AE52+1</f>
        <v>31</v>
      </c>
      <c r="AG52" s="39">
        <f t="shared" ref="AG52" si="38">AF52+1</f>
        <v>32</v>
      </c>
      <c r="AH52" s="39">
        <f>AG52+1</f>
        <v>33</v>
      </c>
      <c r="AI52" s="39">
        <f t="shared" ref="AI52" si="39">AH52+1</f>
        <v>34</v>
      </c>
      <c r="AJ52" s="41">
        <f t="shared" ref="AJ52" si="40">AI52+1</f>
        <v>35</v>
      </c>
    </row>
    <row r="53" spans="1:36" x14ac:dyDescent="0.35">
      <c r="A53" s="23"/>
      <c r="B53" s="39" t="s">
        <v>315</v>
      </c>
      <c r="C53" s="39" t="s">
        <v>315</v>
      </c>
      <c r="D53" s="39" t="s">
        <v>315</v>
      </c>
      <c r="E53" s="39" t="s">
        <v>315</v>
      </c>
      <c r="F53" s="39" t="s">
        <v>315</v>
      </c>
      <c r="G53" s="39" t="s">
        <v>315</v>
      </c>
      <c r="H53" s="39" t="s">
        <v>315</v>
      </c>
      <c r="I53" s="39" t="s">
        <v>315</v>
      </c>
      <c r="J53" s="40" t="s">
        <v>315</v>
      </c>
      <c r="K53" s="39" t="s">
        <v>315</v>
      </c>
      <c r="L53" s="39" t="s">
        <v>315</v>
      </c>
      <c r="M53" s="40" t="s">
        <v>315</v>
      </c>
      <c r="N53" s="39" t="s">
        <v>315</v>
      </c>
      <c r="O53" s="39" t="s">
        <v>315</v>
      </c>
      <c r="P53" s="39" t="s">
        <v>315</v>
      </c>
      <c r="Q53" s="39" t="s">
        <v>315</v>
      </c>
      <c r="R53" s="39" t="s">
        <v>315</v>
      </c>
      <c r="S53" s="39" t="s">
        <v>315</v>
      </c>
      <c r="T53" s="39" t="s">
        <v>315</v>
      </c>
      <c r="U53" s="39" t="s">
        <v>315</v>
      </c>
      <c r="V53" s="39" t="s">
        <v>315</v>
      </c>
      <c r="W53" s="39" t="s">
        <v>315</v>
      </c>
      <c r="X53" s="39" t="s">
        <v>315</v>
      </c>
      <c r="Y53" s="39" t="s">
        <v>315</v>
      </c>
      <c r="Z53" s="41" t="s">
        <v>315</v>
      </c>
      <c r="AA53" s="39" t="s">
        <v>315</v>
      </c>
      <c r="AB53" s="39" t="s">
        <v>315</v>
      </c>
      <c r="AC53" s="39" t="s">
        <v>315</v>
      </c>
      <c r="AD53" s="41" t="s">
        <v>315</v>
      </c>
      <c r="AE53" s="39" t="s">
        <v>315</v>
      </c>
      <c r="AF53" s="41" t="s">
        <v>315</v>
      </c>
      <c r="AG53" s="39" t="s">
        <v>315</v>
      </c>
      <c r="AH53" s="39" t="s">
        <v>315</v>
      </c>
      <c r="AI53" s="39" t="s">
        <v>315</v>
      </c>
      <c r="AJ53" s="41" t="s">
        <v>315</v>
      </c>
    </row>
    <row r="54" spans="1:36" x14ac:dyDescent="0.35">
      <c r="A54" s="13" t="s">
        <v>316</v>
      </c>
      <c r="B54" s="30">
        <f>$B$46*($B$5/100)*(1-($B$9/100))</f>
        <v>3471300</v>
      </c>
      <c r="C54" s="30">
        <f>B54</f>
        <v>3471300</v>
      </c>
      <c r="D54" s="30">
        <v>0</v>
      </c>
      <c r="E54" s="30">
        <v>0</v>
      </c>
      <c r="F54" s="30">
        <f>$C$54*($B$12/100)</f>
        <v>173565</v>
      </c>
      <c r="G54" s="30">
        <v>0</v>
      </c>
      <c r="H54" s="30">
        <f>F54</f>
        <v>173565</v>
      </c>
      <c r="I54" s="30">
        <f>H54*(B26/100)</f>
        <v>34713</v>
      </c>
      <c r="J54" s="133">
        <f>I54*B31*365/(10^9)</f>
        <v>2.534049E-2</v>
      </c>
      <c r="K54" s="30">
        <f>I54-J54</f>
        <v>34712.97465951</v>
      </c>
      <c r="L54" s="30">
        <f t="shared" ref="L54:L61" si="41">H54-I54</f>
        <v>138852</v>
      </c>
      <c r="M54" s="33">
        <f>L54*$B$25/100</f>
        <v>1388.52</v>
      </c>
      <c r="N54" s="30">
        <f>L54+W54-M54</f>
        <v>137463.48000000001</v>
      </c>
      <c r="O54" s="30">
        <v>0</v>
      </c>
      <c r="P54" s="30">
        <v>0</v>
      </c>
      <c r="Q54" s="30">
        <f>N54</f>
        <v>137463.48000000001</v>
      </c>
      <c r="R54" s="30">
        <f>E54</f>
        <v>0</v>
      </c>
      <c r="S54" s="30">
        <v>0</v>
      </c>
      <c r="T54" s="30">
        <v>0</v>
      </c>
      <c r="U54" s="30">
        <f>T54</f>
        <v>0</v>
      </c>
      <c r="V54" s="30">
        <f>R54-S54</f>
        <v>0</v>
      </c>
      <c r="W54" s="30">
        <v>0</v>
      </c>
      <c r="X54" s="30">
        <f t="shared" ref="X54:X61" si="42">V54-W54</f>
        <v>0</v>
      </c>
      <c r="Y54" s="30">
        <f>K54+U54+X54</f>
        <v>34712.97465951</v>
      </c>
      <c r="Z54" s="33">
        <v>0</v>
      </c>
      <c r="AA54" s="30">
        <f>Y54-Z54</f>
        <v>34712.97465951</v>
      </c>
      <c r="AB54" s="30">
        <f t="shared" ref="AB54:AB55" si="43">Q54+AA54</f>
        <v>172176.45465951</v>
      </c>
      <c r="AC54" s="30">
        <v>0</v>
      </c>
      <c r="AD54" s="33">
        <v>0</v>
      </c>
      <c r="AE54" s="30">
        <f>AB54</f>
        <v>172176.45465951</v>
      </c>
      <c r="AF54" s="33">
        <f>AE54*$B$25/100</f>
        <v>1721.7645465951</v>
      </c>
      <c r="AG54" s="30">
        <v>0</v>
      </c>
      <c r="AH54" s="30">
        <v>0</v>
      </c>
      <c r="AI54" s="30">
        <f t="shared" ref="AI54:AI61" si="44">O54+AH54</f>
        <v>0</v>
      </c>
      <c r="AJ54" s="33">
        <f t="shared" ref="AJ54:AJ57" si="45">(AG54+AI54)*$B$30/100</f>
        <v>0</v>
      </c>
    </row>
    <row r="55" spans="1:36" x14ac:dyDescent="0.35">
      <c r="A55" s="11" t="s">
        <v>317</v>
      </c>
      <c r="B55" s="30">
        <f>$B$46*($B$5/100)*($B$9/100)</f>
        <v>182700</v>
      </c>
      <c r="C55" s="30">
        <f>B55</f>
        <v>182700</v>
      </c>
      <c r="D55" s="30">
        <v>0</v>
      </c>
      <c r="E55" s="30">
        <v>0</v>
      </c>
      <c r="F55" s="30">
        <f>$C$55*($B$12/100)</f>
        <v>9135</v>
      </c>
      <c r="G55" s="30">
        <f>F55-H55</f>
        <v>8221.5</v>
      </c>
      <c r="H55" s="30">
        <f>F55*($B$4/100)</f>
        <v>913.5</v>
      </c>
      <c r="I55" s="30">
        <f>H55*(B27/100)</f>
        <v>137.02500000000001</v>
      </c>
      <c r="J55" s="133">
        <v>0</v>
      </c>
      <c r="K55" s="30">
        <f t="shared" ref="K55:K61" si="46">I55-J55</f>
        <v>137.02500000000001</v>
      </c>
      <c r="L55" s="30">
        <f t="shared" si="41"/>
        <v>776.47500000000002</v>
      </c>
      <c r="M55" s="33">
        <f t="shared" ref="M55:M56" si="47">L55*$B$25/100</f>
        <v>7.7647500000000003</v>
      </c>
      <c r="N55" s="30">
        <f>L55+W55-M55</f>
        <v>768.71024999999997</v>
      </c>
      <c r="O55" s="30">
        <f>N55*(B32/100)</f>
        <v>84.558127499999998</v>
      </c>
      <c r="P55" s="30">
        <v>0</v>
      </c>
      <c r="Q55" s="30">
        <f>N55-O55</f>
        <v>684.15212250000002</v>
      </c>
      <c r="R55" s="30">
        <f>E55</f>
        <v>0</v>
      </c>
      <c r="S55" s="30">
        <v>0</v>
      </c>
      <c r="T55" s="30">
        <v>0</v>
      </c>
      <c r="U55" s="30">
        <f t="shared" ref="U55:U61" si="48">T55</f>
        <v>0</v>
      </c>
      <c r="V55" s="30">
        <f t="shared" ref="V55:V61" si="49">R55-S55</f>
        <v>0</v>
      </c>
      <c r="W55" s="30">
        <v>0</v>
      </c>
      <c r="X55" s="30">
        <f t="shared" si="42"/>
        <v>0</v>
      </c>
      <c r="Y55" s="30">
        <f>K55+U55+X55</f>
        <v>137.02500000000001</v>
      </c>
      <c r="Z55" s="33">
        <v>0</v>
      </c>
      <c r="AA55" s="30">
        <f t="shared" ref="AA55:AA61" si="50">Y55-Z55</f>
        <v>137.02500000000001</v>
      </c>
      <c r="AB55" s="30">
        <f t="shared" si="43"/>
        <v>821.1771225</v>
      </c>
      <c r="AC55" s="30">
        <v>0</v>
      </c>
      <c r="AD55" s="33">
        <v>0</v>
      </c>
      <c r="AE55" s="30">
        <f t="shared" ref="AE55:AE56" si="51">AB55</f>
        <v>821.1771225</v>
      </c>
      <c r="AF55" s="33">
        <f>AE55*$B$25/100</f>
        <v>8.2117712249999997</v>
      </c>
      <c r="AG55" s="30">
        <f>AE55-AF55</f>
        <v>812.96535127499999</v>
      </c>
      <c r="AH55" s="30">
        <v>0</v>
      </c>
      <c r="AI55" s="30">
        <f t="shared" si="44"/>
        <v>84.558127499999998</v>
      </c>
      <c r="AJ55" s="33">
        <f t="shared" si="45"/>
        <v>89.7523478775</v>
      </c>
    </row>
    <row r="56" spans="1:36" x14ac:dyDescent="0.35">
      <c r="A56" s="11" t="s">
        <v>318</v>
      </c>
      <c r="B56" s="30">
        <v>0</v>
      </c>
      <c r="C56" s="30">
        <v>0</v>
      </c>
      <c r="D56" s="30">
        <f>D38*0.05</f>
        <v>1071763.875</v>
      </c>
      <c r="E56" s="30">
        <v>0</v>
      </c>
      <c r="F56" s="30">
        <f>C56+D56</f>
        <v>1071763.875</v>
      </c>
      <c r="G56" s="30">
        <v>0</v>
      </c>
      <c r="H56" s="30">
        <f>F56</f>
        <v>1071763.875</v>
      </c>
      <c r="I56" s="30">
        <v>0</v>
      </c>
      <c r="J56" s="133">
        <v>0</v>
      </c>
      <c r="K56" s="30">
        <f t="shared" si="46"/>
        <v>0</v>
      </c>
      <c r="L56" s="30">
        <f t="shared" si="41"/>
        <v>1071763.875</v>
      </c>
      <c r="M56" s="33">
        <f t="shared" si="47"/>
        <v>10717.63875</v>
      </c>
      <c r="N56" s="30">
        <f>L56-M56</f>
        <v>1061046.2362500001</v>
      </c>
      <c r="O56" s="30">
        <v>0</v>
      </c>
      <c r="P56" s="30">
        <v>0</v>
      </c>
      <c r="Q56" s="30">
        <f>N56</f>
        <v>1061046.2362500001</v>
      </c>
      <c r="R56" s="30">
        <v>0</v>
      </c>
      <c r="S56" s="30">
        <f>R56</f>
        <v>0</v>
      </c>
      <c r="T56" s="30">
        <f>R56</f>
        <v>0</v>
      </c>
      <c r="U56" s="30">
        <f t="shared" si="48"/>
        <v>0</v>
      </c>
      <c r="V56" s="30">
        <f t="shared" si="49"/>
        <v>0</v>
      </c>
      <c r="W56" s="30">
        <v>0</v>
      </c>
      <c r="X56" s="30">
        <f t="shared" si="42"/>
        <v>0</v>
      </c>
      <c r="Y56" s="30">
        <f t="shared" ref="Y56" si="52">X56</f>
        <v>0</v>
      </c>
      <c r="Z56" s="33">
        <f t="shared" ref="Z56" si="53">Y56</f>
        <v>0</v>
      </c>
      <c r="AA56" s="30">
        <f t="shared" si="50"/>
        <v>0</v>
      </c>
      <c r="AB56" s="30">
        <f>Q56+AA56</f>
        <v>1061046.2362500001</v>
      </c>
      <c r="AC56" s="30">
        <v>0</v>
      </c>
      <c r="AD56" s="33">
        <v>0</v>
      </c>
      <c r="AE56" s="30">
        <f t="shared" si="51"/>
        <v>1061046.2362500001</v>
      </c>
      <c r="AF56" s="33">
        <f t="shared" ref="AF56:AF58" si="54">AE56*$B$25/100</f>
        <v>10610.4623625</v>
      </c>
      <c r="AG56" s="30">
        <v>0</v>
      </c>
      <c r="AH56" s="30">
        <v>0</v>
      </c>
      <c r="AI56" s="30">
        <f t="shared" si="44"/>
        <v>0</v>
      </c>
      <c r="AJ56" s="33">
        <f t="shared" si="45"/>
        <v>0</v>
      </c>
    </row>
    <row r="57" spans="1:36" x14ac:dyDescent="0.35">
      <c r="A57" s="13" t="s">
        <v>319</v>
      </c>
      <c r="B57" s="30">
        <f>B64*(B24/100)</f>
        <v>6112412.1779859485</v>
      </c>
      <c r="C57" s="30">
        <v>0</v>
      </c>
      <c r="D57" s="30">
        <v>0</v>
      </c>
      <c r="E57" s="30">
        <f>B57</f>
        <v>6112412.1779859485</v>
      </c>
      <c r="F57" s="30">
        <f t="shared" ref="F57" si="55">C57</f>
        <v>0</v>
      </c>
      <c r="G57" s="30">
        <f>F57-H57</f>
        <v>0</v>
      </c>
      <c r="H57" s="30">
        <v>0</v>
      </c>
      <c r="I57" s="30">
        <f>H57*(1-B52/100)</f>
        <v>0</v>
      </c>
      <c r="J57" s="133">
        <v>0</v>
      </c>
      <c r="K57" s="30">
        <f t="shared" si="46"/>
        <v>0</v>
      </c>
      <c r="L57" s="30">
        <f t="shared" si="41"/>
        <v>0</v>
      </c>
      <c r="M57" s="33">
        <v>0</v>
      </c>
      <c r="N57" s="30">
        <f>L57+W57-M57</f>
        <v>0</v>
      </c>
      <c r="O57" s="30">
        <v>0</v>
      </c>
      <c r="P57" s="30">
        <v>0</v>
      </c>
      <c r="Q57" s="30">
        <f>N57-O57</f>
        <v>0</v>
      </c>
      <c r="R57" s="30">
        <f>$E$57*($B$12/100)</f>
        <v>305620.60889929743</v>
      </c>
      <c r="S57" s="30">
        <v>0</v>
      </c>
      <c r="T57" s="30">
        <v>0</v>
      </c>
      <c r="U57" s="30">
        <f t="shared" si="48"/>
        <v>0</v>
      </c>
      <c r="V57" s="30">
        <f t="shared" si="49"/>
        <v>305620.60889929743</v>
      </c>
      <c r="W57" s="30">
        <v>0</v>
      </c>
      <c r="X57" s="30">
        <f t="shared" si="42"/>
        <v>305620.60889929743</v>
      </c>
      <c r="Y57" s="30">
        <f>K57+U57+X57</f>
        <v>305620.60889929743</v>
      </c>
      <c r="Z57" s="33">
        <v>0</v>
      </c>
      <c r="AA57" s="30">
        <f>Y57-Z57</f>
        <v>305620.60889929743</v>
      </c>
      <c r="AB57" s="30">
        <f>Q57+AA57</f>
        <v>305620.60889929743</v>
      </c>
      <c r="AC57" s="30">
        <f>AB57*$B$22/100</f>
        <v>84457.217447581017</v>
      </c>
      <c r="AD57" s="33">
        <f>AC57*$B$25/100</f>
        <v>844.57217447581013</v>
      </c>
      <c r="AE57" s="30">
        <f>AB57*$B$23/100</f>
        <v>42228.608723790509</v>
      </c>
      <c r="AF57" s="33">
        <f>AE57*$B$25/100</f>
        <v>422.28608723790506</v>
      </c>
      <c r="AG57" s="30">
        <v>0</v>
      </c>
      <c r="AH57" s="30">
        <f>AB57*$B$24/100</f>
        <v>178934.78272792589</v>
      </c>
      <c r="AI57" s="30">
        <f t="shared" si="44"/>
        <v>178934.78272792589</v>
      </c>
      <c r="AJ57" s="33">
        <f t="shared" si="45"/>
        <v>17893.478272792589</v>
      </c>
    </row>
    <row r="58" spans="1:36" x14ac:dyDescent="0.35">
      <c r="A58" s="13" t="s">
        <v>320</v>
      </c>
      <c r="B58" s="30">
        <v>0</v>
      </c>
      <c r="C58" s="30">
        <v>0</v>
      </c>
      <c r="D58" s="30">
        <v>0</v>
      </c>
      <c r="E58" s="30">
        <v>0</v>
      </c>
      <c r="F58" s="30">
        <f>$C$54+C55-F54-F59-F55</f>
        <v>3297735</v>
      </c>
      <c r="G58" s="30">
        <f>F58</f>
        <v>3297735</v>
      </c>
      <c r="H58" s="30">
        <v>0</v>
      </c>
      <c r="I58" s="30">
        <v>0</v>
      </c>
      <c r="J58" s="133">
        <v>0</v>
      </c>
      <c r="K58" s="30">
        <f t="shared" si="46"/>
        <v>0</v>
      </c>
      <c r="L58" s="30">
        <f t="shared" si="41"/>
        <v>0</v>
      </c>
      <c r="M58" s="33">
        <v>0</v>
      </c>
      <c r="N58" s="30">
        <v>0</v>
      </c>
      <c r="O58" s="30">
        <v>0</v>
      </c>
      <c r="P58" s="30">
        <v>0</v>
      </c>
      <c r="Q58" s="30">
        <v>0</v>
      </c>
      <c r="R58" s="30">
        <f>E57-R59-R57</f>
        <v>5745667.4473067923</v>
      </c>
      <c r="S58" s="30">
        <f>R58</f>
        <v>5745667.4473067923</v>
      </c>
      <c r="T58" s="30">
        <f>S58+G58</f>
        <v>9043402.4473067932</v>
      </c>
      <c r="U58" s="30">
        <f t="shared" si="48"/>
        <v>9043402.4473067932</v>
      </c>
      <c r="V58" s="30">
        <f t="shared" si="49"/>
        <v>0</v>
      </c>
      <c r="W58" s="30">
        <v>0</v>
      </c>
      <c r="X58" s="30">
        <f t="shared" si="42"/>
        <v>0</v>
      </c>
      <c r="Y58" s="30">
        <f>K58+U58+X58</f>
        <v>9043402.4473067932</v>
      </c>
      <c r="Z58" s="33">
        <f>Y58*($B$18/100)</f>
        <v>180868.04894613588</v>
      </c>
      <c r="AA58" s="30">
        <f t="shared" si="50"/>
        <v>8862534.3983606566</v>
      </c>
      <c r="AB58" s="30">
        <f t="shared" ref="AB58:AB61" si="56">Q58+AA58</f>
        <v>8862534.3983606566</v>
      </c>
      <c r="AC58" s="30">
        <f>AB58*$B$22/100</f>
        <v>2449131.2857296425</v>
      </c>
      <c r="AD58" s="33">
        <f t="shared" ref="AD58:AD59" si="57">AC58*$B$25/100</f>
        <v>24491.312857296423</v>
      </c>
      <c r="AE58" s="30">
        <f t="shared" ref="AE58:AE59" si="58">AB58*$B$23/100</f>
        <v>1224565.6428648212</v>
      </c>
      <c r="AF58" s="33">
        <f t="shared" si="54"/>
        <v>12245.656428648212</v>
      </c>
      <c r="AG58" s="30">
        <v>0</v>
      </c>
      <c r="AH58" s="30">
        <f t="shared" ref="AH58:AH59" si="59">AB58*$B$24/100</f>
        <v>5188837.4697661921</v>
      </c>
      <c r="AI58" s="30">
        <f t="shared" si="44"/>
        <v>5188837.4697661921</v>
      </c>
      <c r="AJ58" s="33">
        <f>(AG58+AI58)*$B$30/100</f>
        <v>518883.74697661924</v>
      </c>
    </row>
    <row r="59" spans="1:36" x14ac:dyDescent="0.35">
      <c r="A59" s="13" t="s">
        <v>321</v>
      </c>
      <c r="B59" s="30">
        <v>0</v>
      </c>
      <c r="C59" s="30">
        <v>0</v>
      </c>
      <c r="D59" s="30">
        <v>0</v>
      </c>
      <c r="E59" s="30">
        <v>0</v>
      </c>
      <c r="F59" s="30">
        <f>$C$54*($B$7/100)</f>
        <v>173565</v>
      </c>
      <c r="G59" s="30">
        <v>0</v>
      </c>
      <c r="H59" s="30">
        <f>F59</f>
        <v>173565</v>
      </c>
      <c r="I59" s="30">
        <f>H59</f>
        <v>173565</v>
      </c>
      <c r="J59" s="133">
        <v>0</v>
      </c>
      <c r="K59" s="30">
        <f t="shared" si="46"/>
        <v>173565</v>
      </c>
      <c r="L59" s="30">
        <f t="shared" si="41"/>
        <v>0</v>
      </c>
      <c r="M59" s="33">
        <v>0</v>
      </c>
      <c r="N59" s="30">
        <v>0</v>
      </c>
      <c r="O59" s="30">
        <v>0</v>
      </c>
      <c r="P59" s="30">
        <v>0</v>
      </c>
      <c r="Q59" s="30">
        <v>0</v>
      </c>
      <c r="R59" s="30">
        <f>$E$57*(B25/100)</f>
        <v>61124.121779859488</v>
      </c>
      <c r="S59" s="30">
        <v>0</v>
      </c>
      <c r="T59" s="30">
        <v>0</v>
      </c>
      <c r="U59" s="30">
        <f t="shared" si="48"/>
        <v>0</v>
      </c>
      <c r="V59" s="30">
        <f t="shared" si="49"/>
        <v>61124.121779859488</v>
      </c>
      <c r="W59" s="30">
        <v>0</v>
      </c>
      <c r="X59" s="30">
        <f t="shared" si="42"/>
        <v>61124.121779859488</v>
      </c>
      <c r="Y59" s="30">
        <f>K59+U59+X59</f>
        <v>234689.12177985947</v>
      </c>
      <c r="Z59" s="33">
        <f>Y59*($B$18/100)</f>
        <v>4693.7824355971898</v>
      </c>
      <c r="AA59" s="30">
        <f t="shared" si="50"/>
        <v>229995.33934426229</v>
      </c>
      <c r="AB59" s="30">
        <f t="shared" si="56"/>
        <v>229995.33934426229</v>
      </c>
      <c r="AC59" s="30">
        <f>AB59*$B$22/100</f>
        <v>63558.431013168498</v>
      </c>
      <c r="AD59" s="33">
        <f t="shared" si="57"/>
        <v>635.58431013168502</v>
      </c>
      <c r="AE59" s="30">
        <f t="shared" si="58"/>
        <v>31779.215506584249</v>
      </c>
      <c r="AF59" s="33">
        <f>AE59*$B$25/100</f>
        <v>317.79215506584251</v>
      </c>
      <c r="AG59" s="30">
        <v>0</v>
      </c>
      <c r="AH59" s="30">
        <f t="shared" si="59"/>
        <v>134657.69282450955</v>
      </c>
      <c r="AI59" s="30">
        <f t="shared" si="44"/>
        <v>134657.69282450955</v>
      </c>
      <c r="AJ59" s="33">
        <f t="shared" ref="AJ59:AJ60" si="60">(AG59+AI59)*$B$30/100</f>
        <v>13465.769282450956</v>
      </c>
    </row>
    <row r="60" spans="1:36" x14ac:dyDescent="0.35">
      <c r="A60" s="13" t="s">
        <v>322</v>
      </c>
      <c r="B60" s="30">
        <v>0</v>
      </c>
      <c r="C60" s="30">
        <v>0</v>
      </c>
      <c r="D60" s="30">
        <v>0</v>
      </c>
      <c r="E60" s="30">
        <v>0</v>
      </c>
      <c r="F60" s="30">
        <v>0</v>
      </c>
      <c r="G60" s="30">
        <v>0</v>
      </c>
      <c r="H60" s="30">
        <v>0</v>
      </c>
      <c r="I60" s="30">
        <v>0</v>
      </c>
      <c r="J60" s="133">
        <v>0</v>
      </c>
      <c r="K60" s="30">
        <f t="shared" si="46"/>
        <v>0</v>
      </c>
      <c r="L60" s="30">
        <f t="shared" si="41"/>
        <v>0</v>
      </c>
      <c r="M60" s="33">
        <v>0</v>
      </c>
      <c r="N60" s="30">
        <v>0</v>
      </c>
      <c r="O60" s="30">
        <v>0</v>
      </c>
      <c r="P60" s="30">
        <v>0</v>
      </c>
      <c r="Q60" s="30">
        <v>0</v>
      </c>
      <c r="R60" s="30">
        <v>0</v>
      </c>
      <c r="S60" s="30">
        <v>0</v>
      </c>
      <c r="T60" s="30">
        <v>0</v>
      </c>
      <c r="U60" s="30">
        <f t="shared" si="48"/>
        <v>0</v>
      </c>
      <c r="V60" s="30">
        <f t="shared" si="49"/>
        <v>0</v>
      </c>
      <c r="W60" s="30">
        <v>0</v>
      </c>
      <c r="X60" s="30">
        <f t="shared" si="42"/>
        <v>0</v>
      </c>
      <c r="Y60" s="30">
        <v>0</v>
      </c>
      <c r="Z60" s="33">
        <v>0</v>
      </c>
      <c r="AA60" s="30">
        <f t="shared" si="50"/>
        <v>0</v>
      </c>
      <c r="AB60" s="30">
        <f t="shared" si="56"/>
        <v>0</v>
      </c>
      <c r="AC60" s="30">
        <v>0</v>
      </c>
      <c r="AD60" s="33">
        <v>0</v>
      </c>
      <c r="AE60" s="30">
        <v>0</v>
      </c>
      <c r="AF60" s="33">
        <f>($AE$64-$AE$55)*(B$26/100)*(B$27/100)*((100-B$28)/100)</f>
        <v>3797.6942370070606</v>
      </c>
      <c r="AG60" s="30">
        <f>($AE$64-$AE$55)*(B44/100)*(B45/100)*(B46/100)</f>
        <v>0</v>
      </c>
      <c r="AH60" s="30">
        <v>0</v>
      </c>
      <c r="AI60" s="30">
        <f t="shared" si="44"/>
        <v>0</v>
      </c>
      <c r="AJ60" s="33">
        <f t="shared" si="60"/>
        <v>0</v>
      </c>
    </row>
    <row r="61" spans="1:36" x14ac:dyDescent="0.35">
      <c r="A61" s="13" t="s">
        <v>323</v>
      </c>
      <c r="B61" s="30">
        <v>0</v>
      </c>
      <c r="C61" s="30">
        <v>0</v>
      </c>
      <c r="D61" s="30">
        <v>0</v>
      </c>
      <c r="E61" s="30">
        <v>0</v>
      </c>
      <c r="F61" s="30">
        <v>0</v>
      </c>
      <c r="G61" s="30">
        <v>0</v>
      </c>
      <c r="H61" s="30">
        <v>0</v>
      </c>
      <c r="I61" s="30">
        <v>0</v>
      </c>
      <c r="J61" s="133">
        <v>0</v>
      </c>
      <c r="K61" s="30">
        <f t="shared" si="46"/>
        <v>0</v>
      </c>
      <c r="L61" s="30">
        <f t="shared" si="41"/>
        <v>0</v>
      </c>
      <c r="M61" s="33">
        <v>0</v>
      </c>
      <c r="N61" s="30">
        <v>0</v>
      </c>
      <c r="O61" s="30">
        <v>0</v>
      </c>
      <c r="P61" s="30">
        <v>0</v>
      </c>
      <c r="Q61" s="30">
        <v>0</v>
      </c>
      <c r="R61" s="30">
        <v>0</v>
      </c>
      <c r="S61" s="30">
        <v>0</v>
      </c>
      <c r="T61" s="30">
        <v>0</v>
      </c>
      <c r="U61" s="30">
        <f t="shared" si="48"/>
        <v>0</v>
      </c>
      <c r="V61" s="30">
        <f t="shared" si="49"/>
        <v>0</v>
      </c>
      <c r="W61" s="30">
        <v>0</v>
      </c>
      <c r="X61" s="30">
        <f t="shared" si="42"/>
        <v>0</v>
      </c>
      <c r="Y61" s="30">
        <v>0</v>
      </c>
      <c r="Z61" s="33">
        <v>0</v>
      </c>
      <c r="AA61" s="30">
        <f t="shared" si="50"/>
        <v>0</v>
      </c>
      <c r="AB61" s="30">
        <f t="shared" si="56"/>
        <v>0</v>
      </c>
      <c r="AC61" s="30">
        <f t="shared" ref="AC61" si="61">AB61*$B$22/100</f>
        <v>0</v>
      </c>
      <c r="AD61" s="33">
        <v>0</v>
      </c>
      <c r="AE61" s="30">
        <v>0</v>
      </c>
      <c r="AF61" s="33">
        <v>0</v>
      </c>
      <c r="AG61" s="30">
        <f>($AE$64-$AE$55)*($B$26/100)*($B$29/100)</f>
        <v>430405.34686080017</v>
      </c>
      <c r="AH61" s="30">
        <f t="shared" ref="AH61" si="62">AB61*$B$21/100</f>
        <v>0</v>
      </c>
      <c r="AI61" s="30">
        <f t="shared" si="44"/>
        <v>0</v>
      </c>
      <c r="AJ61" s="33">
        <f>(AG61+AI61)*$B$30/100</f>
        <v>43040.534686080013</v>
      </c>
    </row>
    <row r="62" spans="1:36" x14ac:dyDescent="0.35">
      <c r="A62" s="13" t="s">
        <v>324</v>
      </c>
      <c r="B62" s="30">
        <v>0</v>
      </c>
      <c r="C62" s="30">
        <v>0</v>
      </c>
      <c r="D62" s="30">
        <v>0</v>
      </c>
      <c r="E62" s="30">
        <v>0</v>
      </c>
      <c r="F62" s="30">
        <v>0</v>
      </c>
      <c r="G62" s="30">
        <v>0</v>
      </c>
      <c r="H62" s="30">
        <v>0</v>
      </c>
      <c r="I62" s="30">
        <v>0</v>
      </c>
      <c r="J62" s="33">
        <v>0</v>
      </c>
      <c r="K62" s="30">
        <v>0</v>
      </c>
      <c r="L62" s="30">
        <v>0</v>
      </c>
      <c r="M62" s="33">
        <v>0</v>
      </c>
      <c r="N62" s="30">
        <v>0</v>
      </c>
      <c r="O62" s="30">
        <v>0</v>
      </c>
      <c r="P62" s="30">
        <v>0</v>
      </c>
      <c r="Q62" s="30">
        <v>0</v>
      </c>
      <c r="R62" s="30">
        <v>0</v>
      </c>
      <c r="S62" s="30">
        <v>0</v>
      </c>
      <c r="T62" s="30">
        <v>0</v>
      </c>
      <c r="U62" s="30">
        <v>0</v>
      </c>
      <c r="V62" s="30">
        <v>0</v>
      </c>
      <c r="W62" s="30">
        <v>0</v>
      </c>
      <c r="X62" s="30">
        <v>0</v>
      </c>
      <c r="Y62" s="30">
        <v>0</v>
      </c>
      <c r="Z62" s="33">
        <v>0</v>
      </c>
      <c r="AA62" s="30">
        <v>0</v>
      </c>
      <c r="AB62" s="30">
        <v>0</v>
      </c>
      <c r="AC62" s="30">
        <v>0</v>
      </c>
      <c r="AD62" s="33">
        <v>0</v>
      </c>
      <c r="AE62" s="30">
        <v>0</v>
      </c>
      <c r="AF62" s="33">
        <v>0</v>
      </c>
      <c r="AG62" s="30">
        <v>0</v>
      </c>
      <c r="AH62" s="30">
        <v>0</v>
      </c>
      <c r="AI62" s="30">
        <v>0</v>
      </c>
      <c r="AJ62" s="33">
        <f>(AI64+AG64)*(B$31/100)</f>
        <v>118674.65631316407</v>
      </c>
    </row>
    <row r="63" spans="1:36" x14ac:dyDescent="0.35">
      <c r="A63" s="13" t="s">
        <v>325</v>
      </c>
      <c r="B63" s="30">
        <v>0</v>
      </c>
      <c r="C63" s="30">
        <v>0</v>
      </c>
      <c r="D63" s="30">
        <v>0</v>
      </c>
      <c r="E63" s="30">
        <v>0</v>
      </c>
      <c r="F63" s="30">
        <v>0</v>
      </c>
      <c r="G63" s="30">
        <v>0</v>
      </c>
      <c r="H63" s="30">
        <v>0</v>
      </c>
      <c r="I63" s="30">
        <v>0</v>
      </c>
      <c r="J63" s="33">
        <v>0</v>
      </c>
      <c r="K63" s="30">
        <v>0</v>
      </c>
      <c r="L63" s="30">
        <v>0</v>
      </c>
      <c r="M63" s="33">
        <v>0</v>
      </c>
      <c r="N63" s="30">
        <v>0</v>
      </c>
      <c r="O63" s="30">
        <v>0</v>
      </c>
      <c r="P63" s="30">
        <v>0</v>
      </c>
      <c r="Q63" s="30">
        <v>0</v>
      </c>
      <c r="R63" s="30">
        <v>0</v>
      </c>
      <c r="S63" s="30">
        <v>0</v>
      </c>
      <c r="T63" s="30">
        <v>0</v>
      </c>
      <c r="U63" s="30">
        <v>0</v>
      </c>
      <c r="V63" s="30">
        <v>0</v>
      </c>
      <c r="W63" s="30">
        <v>0</v>
      </c>
      <c r="X63" s="30">
        <v>0</v>
      </c>
      <c r="Y63" s="30">
        <v>0</v>
      </c>
      <c r="Z63" s="33">
        <v>0</v>
      </c>
      <c r="AA63" s="30">
        <v>0</v>
      </c>
      <c r="AB63" s="30">
        <v>0</v>
      </c>
      <c r="AC63" s="30">
        <v>0</v>
      </c>
      <c r="AD63" s="33">
        <v>0</v>
      </c>
      <c r="AE63" s="30">
        <v>0</v>
      </c>
      <c r="AF63" s="33">
        <v>0</v>
      </c>
      <c r="AG63" s="30">
        <v>0</v>
      </c>
      <c r="AH63" s="30">
        <v>0</v>
      </c>
      <c r="AI63" s="30">
        <v>0</v>
      </c>
      <c r="AJ63" s="33">
        <f>(AI64+AG64)*(B$32/100)</f>
        <v>652710.60972240241</v>
      </c>
    </row>
    <row r="64" spans="1:36" x14ac:dyDescent="0.35">
      <c r="A64" s="22" t="s">
        <v>326</v>
      </c>
      <c r="B64" s="32">
        <f>B2*1*B3</f>
        <v>10440000</v>
      </c>
      <c r="C64" s="32">
        <f>SUM(C54:C63)</f>
        <v>3654000</v>
      </c>
      <c r="D64" s="32">
        <f t="shared" ref="D64:AJ64" si="63">SUM(D54:D63)</f>
        <v>1071763.875</v>
      </c>
      <c r="E64" s="32">
        <f t="shared" si="63"/>
        <v>6112412.1779859485</v>
      </c>
      <c r="F64" s="32">
        <f t="shared" si="63"/>
        <v>4725763.875</v>
      </c>
      <c r="G64" s="32">
        <f t="shared" si="63"/>
        <v>3305956.5</v>
      </c>
      <c r="H64" s="32">
        <f t="shared" si="63"/>
        <v>1419807.375</v>
      </c>
      <c r="I64" s="32">
        <f t="shared" si="63"/>
        <v>208415.02499999999</v>
      </c>
      <c r="J64" s="32">
        <f t="shared" si="63"/>
        <v>2.534049E-2</v>
      </c>
      <c r="K64" s="32">
        <f t="shared" si="63"/>
        <v>208414.99965951001</v>
      </c>
      <c r="L64" s="32">
        <f t="shared" si="63"/>
        <v>1211392.3500000001</v>
      </c>
      <c r="M64" s="32">
        <f t="shared" si="63"/>
        <v>12113.923500000001</v>
      </c>
      <c r="N64" s="32">
        <f t="shared" si="63"/>
        <v>1199278.4265000001</v>
      </c>
      <c r="O64" s="32">
        <f t="shared" si="63"/>
        <v>84.558127499999998</v>
      </c>
      <c r="P64" s="32">
        <f t="shared" si="63"/>
        <v>0</v>
      </c>
      <c r="Q64" s="32">
        <f t="shared" si="63"/>
        <v>1199193.8683725002</v>
      </c>
      <c r="R64" s="32">
        <f t="shared" si="63"/>
        <v>6112412.1779859485</v>
      </c>
      <c r="S64" s="32">
        <f t="shared" si="63"/>
        <v>5745667.4473067923</v>
      </c>
      <c r="T64" s="32">
        <f t="shared" si="63"/>
        <v>9043402.4473067932</v>
      </c>
      <c r="U64" s="32">
        <f t="shared" si="63"/>
        <v>9043402.4473067932</v>
      </c>
      <c r="V64" s="32">
        <f t="shared" si="63"/>
        <v>366744.7306791569</v>
      </c>
      <c r="W64" s="32">
        <f t="shared" si="63"/>
        <v>0</v>
      </c>
      <c r="X64" s="32">
        <f t="shared" si="63"/>
        <v>366744.7306791569</v>
      </c>
      <c r="Y64" s="32">
        <f t="shared" si="63"/>
        <v>9618562.1776454598</v>
      </c>
      <c r="Z64" s="32">
        <f t="shared" si="63"/>
        <v>185561.83138173306</v>
      </c>
      <c r="AA64" s="32">
        <f t="shared" si="63"/>
        <v>9433000.3462637272</v>
      </c>
      <c r="AB64" s="32">
        <f t="shared" si="63"/>
        <v>10632194.214636227</v>
      </c>
      <c r="AC64" s="32">
        <f t="shared" si="63"/>
        <v>2597146.934190392</v>
      </c>
      <c r="AD64" s="32">
        <f t="shared" si="63"/>
        <v>25971.469341903918</v>
      </c>
      <c r="AE64" s="32">
        <f t="shared" si="63"/>
        <v>2532617.3351272065</v>
      </c>
      <c r="AF64" s="32">
        <f t="shared" si="63"/>
        <v>29123.867588279121</v>
      </c>
      <c r="AG64" s="32">
        <f t="shared" si="63"/>
        <v>431218.31221207517</v>
      </c>
      <c r="AH64" s="32">
        <f t="shared" si="63"/>
        <v>5502429.9453186281</v>
      </c>
      <c r="AI64" s="32">
        <f t="shared" si="63"/>
        <v>5502514.5034461282</v>
      </c>
      <c r="AJ64" s="32">
        <f t="shared" si="63"/>
        <v>1364758.5476013869</v>
      </c>
    </row>
    <row r="65" spans="1:36" x14ac:dyDescent="0.35">
      <c r="B65" s="42">
        <f t="shared" ref="B65:AJ65" si="64">B64/1000000</f>
        <v>10.44</v>
      </c>
      <c r="C65" s="42">
        <f t="shared" si="64"/>
        <v>3.6539999999999999</v>
      </c>
      <c r="D65" s="42">
        <f t="shared" si="64"/>
        <v>1.071763875</v>
      </c>
      <c r="E65" s="42">
        <f t="shared" si="64"/>
        <v>6.1124121779859486</v>
      </c>
      <c r="F65" s="42">
        <f t="shared" si="64"/>
        <v>4.7257638750000002</v>
      </c>
      <c r="G65" s="42">
        <f t="shared" si="64"/>
        <v>3.3059565000000002</v>
      </c>
      <c r="H65" s="42">
        <f t="shared" si="64"/>
        <v>1.419807375</v>
      </c>
      <c r="I65" s="42">
        <f t="shared" si="64"/>
        <v>0.208415025</v>
      </c>
      <c r="J65" s="46">
        <f t="shared" si="64"/>
        <v>2.5340490000000001E-8</v>
      </c>
      <c r="K65" s="42">
        <f t="shared" si="64"/>
        <v>0.20841499965951002</v>
      </c>
      <c r="L65" s="42">
        <f t="shared" si="64"/>
        <v>1.2113923500000001</v>
      </c>
      <c r="M65" s="44">
        <f t="shared" si="64"/>
        <v>1.21139235E-2</v>
      </c>
      <c r="N65" s="42">
        <f t="shared" si="64"/>
        <v>1.1992784265</v>
      </c>
      <c r="O65" s="45">
        <f t="shared" si="64"/>
        <v>8.4558127499999991E-5</v>
      </c>
      <c r="P65" s="42">
        <f t="shared" si="64"/>
        <v>0</v>
      </c>
      <c r="Q65" s="42">
        <f t="shared" si="64"/>
        <v>1.1991938683725001</v>
      </c>
      <c r="R65" s="42">
        <f t="shared" si="64"/>
        <v>6.1124121779859486</v>
      </c>
      <c r="S65" s="42">
        <f t="shared" si="64"/>
        <v>5.7456674473067926</v>
      </c>
      <c r="T65" s="42">
        <f t="shared" si="64"/>
        <v>9.0434024473067929</v>
      </c>
      <c r="U65" s="42">
        <f t="shared" si="64"/>
        <v>9.0434024473067929</v>
      </c>
      <c r="V65" s="42">
        <f t="shared" si="64"/>
        <v>0.36674473067915692</v>
      </c>
      <c r="W65" s="42">
        <f t="shared" si="64"/>
        <v>0</v>
      </c>
      <c r="X65" s="42">
        <f t="shared" si="64"/>
        <v>0.36674473067915692</v>
      </c>
      <c r="Y65" s="42">
        <f t="shared" si="64"/>
        <v>9.61856217764546</v>
      </c>
      <c r="Z65" s="42">
        <f t="shared" si="64"/>
        <v>0.18556183138173307</v>
      </c>
      <c r="AA65" s="42">
        <f t="shared" si="64"/>
        <v>9.4330003462637269</v>
      </c>
      <c r="AB65" s="42">
        <f t="shared" si="64"/>
        <v>10.632194214636227</v>
      </c>
      <c r="AC65" s="42">
        <f t="shared" si="64"/>
        <v>2.5971469341903921</v>
      </c>
      <c r="AD65" s="45">
        <f t="shared" si="64"/>
        <v>2.5971469341903919E-2</v>
      </c>
      <c r="AE65" s="42">
        <f t="shared" si="64"/>
        <v>2.5326173351272065</v>
      </c>
      <c r="AF65" s="42">
        <f t="shared" si="64"/>
        <v>2.9123867588279121E-2</v>
      </c>
      <c r="AG65" s="42">
        <f t="shared" si="64"/>
        <v>0.43121831221207518</v>
      </c>
      <c r="AH65" s="42">
        <f t="shared" si="64"/>
        <v>5.5024299453186281</v>
      </c>
      <c r="AI65" s="42">
        <f t="shared" si="64"/>
        <v>5.502514503446128</v>
      </c>
      <c r="AJ65" s="42">
        <f t="shared" si="64"/>
        <v>1.3647585476013868</v>
      </c>
    </row>
    <row r="66" spans="1:36" x14ac:dyDescent="0.35">
      <c r="G66" s="30"/>
      <c r="H66" s="30"/>
      <c r="AF66" s="30"/>
    </row>
    <row r="67" spans="1:36" x14ac:dyDescent="0.35">
      <c r="A67" s="11" t="s">
        <v>327</v>
      </c>
      <c r="H67" s="30"/>
      <c r="U67" s="42"/>
      <c r="AE67" s="38"/>
      <c r="AF67" s="30"/>
    </row>
    <row r="68" spans="1:36" x14ac:dyDescent="0.35">
      <c r="A68" s="11" t="s">
        <v>328</v>
      </c>
      <c r="AC68" s="30"/>
      <c r="AD68" s="30"/>
    </row>
    <row r="69" spans="1:36" x14ac:dyDescent="0.35">
      <c r="A69" s="11" t="s">
        <v>329</v>
      </c>
      <c r="AC69" s="30"/>
      <c r="AD69" s="30"/>
      <c r="AE69" s="30"/>
      <c r="AG69" s="30"/>
      <c r="AJ69" s="30"/>
    </row>
    <row r="70" spans="1:36" x14ac:dyDescent="0.35">
      <c r="A70" s="11" t="s">
        <v>330</v>
      </c>
      <c r="B70" s="37" t="s">
        <v>331</v>
      </c>
      <c r="AC70" s="30"/>
      <c r="AD70" s="30"/>
      <c r="AE70" s="30"/>
      <c r="AG70" s="30"/>
      <c r="AJ70" s="30"/>
    </row>
    <row r="71" spans="1:36" x14ac:dyDescent="0.35">
      <c r="A71" s="11" t="s">
        <v>332</v>
      </c>
      <c r="B71" t="s">
        <v>333</v>
      </c>
      <c r="C71" t="s">
        <v>334</v>
      </c>
      <c r="D71" s="37" t="s">
        <v>331</v>
      </c>
      <c r="AC71" s="30"/>
      <c r="AD71" s="30"/>
      <c r="AE71" s="30"/>
      <c r="AH71" s="30"/>
      <c r="AJ71" s="30"/>
    </row>
    <row r="72" spans="1:36" x14ac:dyDescent="0.35">
      <c r="A72" s="11" t="s">
        <v>335</v>
      </c>
      <c r="B72" t="s">
        <v>336</v>
      </c>
      <c r="C72" t="s">
        <v>337</v>
      </c>
      <c r="D72" t="s">
        <v>338</v>
      </c>
      <c r="AC72" s="30"/>
      <c r="AD72" s="30"/>
      <c r="AE72" s="45"/>
      <c r="AH72" s="49"/>
      <c r="AJ72" s="30"/>
    </row>
    <row r="73" spans="1:36" x14ac:dyDescent="0.35">
      <c r="A73" s="11" t="s">
        <v>339</v>
      </c>
      <c r="B73" t="s">
        <v>340</v>
      </c>
      <c r="C73" t="s">
        <v>341</v>
      </c>
      <c r="AC73" s="30"/>
      <c r="AD73" s="30"/>
      <c r="AE73" s="45" t="s">
        <v>1758</v>
      </c>
      <c r="AH73" s="30"/>
      <c r="AJ73" s="30"/>
    </row>
    <row r="74" spans="1:36" x14ac:dyDescent="0.35">
      <c r="A74" s="11" t="s">
        <v>342</v>
      </c>
      <c r="B74" t="s">
        <v>271</v>
      </c>
      <c r="AC74" s="30"/>
      <c r="AD74" s="30"/>
      <c r="AE74" s="45">
        <v>28</v>
      </c>
      <c r="AF74">
        <v>30</v>
      </c>
      <c r="AG74" t="s">
        <v>1757</v>
      </c>
      <c r="AJ74" s="30"/>
    </row>
    <row r="75" spans="1:36" x14ac:dyDescent="0.35">
      <c r="A75" s="11" t="s">
        <v>343</v>
      </c>
      <c r="AC75" s="30"/>
      <c r="AD75" s="30"/>
      <c r="AE75" s="45">
        <f>AC47</f>
        <v>2.7797539110070257</v>
      </c>
      <c r="AF75" s="42">
        <f>AE47</f>
        <v>22.782848262356463</v>
      </c>
      <c r="AG75" s="42">
        <f>AG47+AI47</f>
        <v>10.412581898869981</v>
      </c>
      <c r="AH75" s="45">
        <f>SUM(AE75:AG75)</f>
        <v>35.975184072233468</v>
      </c>
      <c r="AJ75" s="30"/>
    </row>
    <row r="76" spans="1:36" x14ac:dyDescent="0.35">
      <c r="A76" s="11" t="s">
        <v>344</v>
      </c>
      <c r="B76" t="s">
        <v>345</v>
      </c>
      <c r="AC76" s="30"/>
      <c r="AD76" s="30"/>
      <c r="AE76" s="45">
        <f>AE75/$AH$75</f>
        <v>7.7268650117971405E-2</v>
      </c>
      <c r="AF76" s="45">
        <f t="shared" ref="AF76:AG76" si="65">AF75/$AH$75</f>
        <v>0.6332934451874237</v>
      </c>
      <c r="AG76" s="45">
        <f t="shared" si="65"/>
        <v>0.28943790469460495</v>
      </c>
      <c r="AJ76" s="30"/>
    </row>
    <row r="77" spans="1:36" ht="58" x14ac:dyDescent="0.35">
      <c r="A77" s="11" t="s">
        <v>346</v>
      </c>
      <c r="B77" s="29" t="s">
        <v>347</v>
      </c>
      <c r="AD77" s="30"/>
      <c r="AE77" s="45"/>
    </row>
    <row r="78" spans="1:36" x14ac:dyDescent="0.35">
      <c r="A78" s="11" t="s">
        <v>348</v>
      </c>
      <c r="B78" t="s">
        <v>296</v>
      </c>
      <c r="AD78" s="30"/>
      <c r="AE78" s="45"/>
    </row>
    <row r="79" spans="1:36" x14ac:dyDescent="0.35">
      <c r="A79" s="11" t="s">
        <v>349</v>
      </c>
      <c r="AD79" s="30"/>
      <c r="AE79" s="45"/>
    </row>
    <row r="80" spans="1:36" ht="130.5" x14ac:dyDescent="0.35">
      <c r="A80" s="35" t="s">
        <v>350</v>
      </c>
      <c r="B80" s="29" t="s">
        <v>351</v>
      </c>
      <c r="AD80" s="30"/>
    </row>
    <row r="81" spans="1:30" x14ac:dyDescent="0.35">
      <c r="A81" s="11" t="s">
        <v>352</v>
      </c>
      <c r="B81" t="s">
        <v>353</v>
      </c>
      <c r="AD81" s="30"/>
    </row>
    <row r="82" spans="1:30" x14ac:dyDescent="0.35">
      <c r="AD82" s="30"/>
    </row>
    <row r="83" spans="1:30" x14ac:dyDescent="0.35">
      <c r="AD83" s="30"/>
    </row>
    <row r="84" spans="1:30" x14ac:dyDescent="0.35">
      <c r="AD84" s="30"/>
    </row>
    <row r="85" spans="1:30" x14ac:dyDescent="0.35">
      <c r="AD85" s="30"/>
    </row>
    <row r="86" spans="1:30" x14ac:dyDescent="0.35">
      <c r="AD86" s="30"/>
    </row>
    <row r="87" spans="1:30" x14ac:dyDescent="0.35">
      <c r="AD87" s="30"/>
    </row>
    <row r="88" spans="1:30" x14ac:dyDescent="0.35">
      <c r="AD88" s="30"/>
    </row>
    <row r="89" spans="1:30" x14ac:dyDescent="0.35">
      <c r="AD89" s="30"/>
    </row>
    <row r="90" spans="1:30" x14ac:dyDescent="0.35">
      <c r="AD90" s="30"/>
    </row>
    <row r="91" spans="1:30" x14ac:dyDescent="0.35">
      <c r="AD91" s="30"/>
    </row>
  </sheetData>
  <hyperlinks>
    <hyperlink ref="B77" r:id="rId1" xr:uid="{1F1BF86A-ADD3-4978-AC85-B0FA373F70D5}"/>
    <hyperlink ref="B80" r:id="rId2" location=":~:text=Of%20the%20260%20million%20tons,damaging%20life%20on%20the%20seabed." xr:uid="{A9BA6BF2-9AA6-44CE-9DAF-63561BA0B54A}"/>
    <hyperlink ref="B70" r:id="rId3" display="https://doi.org/10.1016/j.scitotenv.2020.139604" xr:uid="{74A3DBC1-D0C8-4A52-A390-8488AEF279C6}"/>
    <hyperlink ref="D71" r:id="rId4" display="https://doi.org/10.1016/j.scitotenv.2020.139604" xr:uid="{9F1137A7-5AB2-4DA8-8ECF-97E71859F09B}"/>
  </hyperlinks>
  <pageMargins left="0.7" right="0.7" top="0.75" bottom="0.75" header="0.3" footer="0.3"/>
  <pageSetup orientation="portrait" horizontalDpi="360" verticalDpi="360" r:id="rId5"/>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1A2A9-7A61-4C8F-AC44-3C3B8487AD8A}">
  <dimension ref="A1:I112"/>
  <sheetViews>
    <sheetView zoomScaleNormal="100" workbookViewId="0">
      <selection activeCell="F51" sqref="F51"/>
    </sheetView>
  </sheetViews>
  <sheetFormatPr defaultRowHeight="14.5" x14ac:dyDescent="0.35"/>
  <cols>
    <col min="1" max="1" width="52.7265625" customWidth="1"/>
    <col min="2" max="2" width="31.7265625" customWidth="1"/>
    <col min="3" max="3" width="15.453125" customWidth="1"/>
    <col min="4" max="4" width="15" customWidth="1"/>
  </cols>
  <sheetData>
    <row r="1" spans="1:3" s="11" customFormat="1" x14ac:dyDescent="0.35">
      <c r="A1" s="11" t="s">
        <v>354</v>
      </c>
      <c r="B1" s="11" t="s">
        <v>355</v>
      </c>
      <c r="C1" s="11" t="s">
        <v>356</v>
      </c>
    </row>
    <row r="2" spans="1:3" ht="17.25" customHeight="1" x14ac:dyDescent="0.35">
      <c r="A2" s="12" t="s">
        <v>316</v>
      </c>
      <c r="B2" s="60">
        <v>60</v>
      </c>
      <c r="C2" t="s">
        <v>357</v>
      </c>
    </row>
    <row r="3" spans="1:3" x14ac:dyDescent="0.35">
      <c r="A3" t="s">
        <v>317</v>
      </c>
      <c r="B3" s="60">
        <v>300.64999999999998</v>
      </c>
      <c r="C3" t="s">
        <v>358</v>
      </c>
    </row>
    <row r="4" spans="1:3" x14ac:dyDescent="0.35">
      <c r="A4" t="s">
        <v>318</v>
      </c>
      <c r="B4" s="60">
        <v>1.149</v>
      </c>
      <c r="C4" t="s">
        <v>359</v>
      </c>
    </row>
    <row r="5" spans="1:3" ht="31.5" customHeight="1" x14ac:dyDescent="0.35">
      <c r="A5" s="12" t="s">
        <v>360</v>
      </c>
      <c r="B5" s="60">
        <v>307.5</v>
      </c>
      <c r="C5" t="s">
        <v>361</v>
      </c>
    </row>
    <row r="6" spans="1:3" x14ac:dyDescent="0.35">
      <c r="A6" s="12" t="s">
        <v>320</v>
      </c>
      <c r="B6">
        <f>0.35*B2+0.65*B5</f>
        <v>220.875</v>
      </c>
      <c r="C6" t="s">
        <v>362</v>
      </c>
    </row>
    <row r="7" spans="1:3" ht="14.25" customHeight="1" x14ac:dyDescent="0.35">
      <c r="A7" s="12" t="s">
        <v>321</v>
      </c>
      <c r="B7" s="60">
        <v>0</v>
      </c>
    </row>
    <row r="8" spans="1:3" x14ac:dyDescent="0.35">
      <c r="A8" s="12" t="s">
        <v>322</v>
      </c>
      <c r="B8" s="60">
        <v>7.7499999999999999E-2</v>
      </c>
      <c r="C8" t="s">
        <v>363</v>
      </c>
    </row>
    <row r="9" spans="1:3" x14ac:dyDescent="0.35">
      <c r="A9" s="12" t="s">
        <v>323</v>
      </c>
      <c r="B9" s="60">
        <v>0</v>
      </c>
    </row>
    <row r="10" spans="1:3" x14ac:dyDescent="0.35">
      <c r="A10" s="12" t="s">
        <v>324</v>
      </c>
      <c r="B10" s="60">
        <v>0</v>
      </c>
    </row>
    <row r="11" spans="1:3" x14ac:dyDescent="0.35">
      <c r="A11" s="12" t="s">
        <v>325</v>
      </c>
      <c r="B11" s="64" t="e">
        <f>(5.17/(1.293*1.04))*#REF!</f>
        <v>#REF!</v>
      </c>
      <c r="C11" t="s">
        <v>364</v>
      </c>
    </row>
    <row r="12" spans="1:3" x14ac:dyDescent="0.35">
      <c r="A12" s="12" t="s">
        <v>365</v>
      </c>
      <c r="B12" s="60">
        <f>B5*1.75</f>
        <v>538.125</v>
      </c>
      <c r="C12" t="s">
        <v>366</v>
      </c>
    </row>
    <row r="18" spans="1:4" x14ac:dyDescent="0.35">
      <c r="A18" t="s">
        <v>367</v>
      </c>
    </row>
    <row r="19" spans="1:4" x14ac:dyDescent="0.35">
      <c r="A19" s="11" t="s">
        <v>368</v>
      </c>
      <c r="B19" s="11" t="s">
        <v>369</v>
      </c>
      <c r="C19" s="11" t="s">
        <v>370</v>
      </c>
      <c r="D19" s="11" t="s">
        <v>371</v>
      </c>
    </row>
    <row r="20" spans="1:4" x14ac:dyDescent="0.35">
      <c r="A20" t="s">
        <v>372</v>
      </c>
      <c r="B20" s="54">
        <v>58.5</v>
      </c>
      <c r="C20" t="s">
        <v>373</v>
      </c>
      <c r="D20" t="s">
        <v>374</v>
      </c>
    </row>
    <row r="21" spans="1:4" x14ac:dyDescent="0.35">
      <c r="A21" t="s">
        <v>375</v>
      </c>
      <c r="B21" s="54">
        <v>85.49</v>
      </c>
      <c r="C21" t="s">
        <v>373</v>
      </c>
      <c r="D21" t="s">
        <v>376</v>
      </c>
    </row>
    <row r="22" spans="1:4" x14ac:dyDescent="0.35">
      <c r="A22" t="s">
        <v>377</v>
      </c>
      <c r="B22" s="54">
        <v>66.3</v>
      </c>
      <c r="C22" t="s">
        <v>378</v>
      </c>
      <c r="D22" t="s">
        <v>379</v>
      </c>
    </row>
    <row r="23" spans="1:4" x14ac:dyDescent="0.35">
      <c r="A23" t="s">
        <v>380</v>
      </c>
      <c r="B23" s="54">
        <v>37.79</v>
      </c>
      <c r="C23" t="s">
        <v>373</v>
      </c>
      <c r="D23" t="s">
        <v>381</v>
      </c>
    </row>
    <row r="24" spans="1:4" x14ac:dyDescent="0.35">
      <c r="A24" t="s">
        <v>382</v>
      </c>
      <c r="B24" s="54">
        <v>89.95</v>
      </c>
      <c r="C24" t="s">
        <v>383</v>
      </c>
      <c r="D24" t="s">
        <v>384</v>
      </c>
    </row>
    <row r="25" spans="1:4" x14ac:dyDescent="0.35">
      <c r="A25" t="s">
        <v>385</v>
      </c>
      <c r="B25" s="54">
        <v>89.95</v>
      </c>
      <c r="C25" t="s">
        <v>383</v>
      </c>
      <c r="D25" t="s">
        <v>386</v>
      </c>
    </row>
    <row r="26" spans="1:4" x14ac:dyDescent="0.35">
      <c r="A26" t="s">
        <v>387</v>
      </c>
      <c r="B26" s="54">
        <v>175</v>
      </c>
      <c r="C26" t="s">
        <v>388</v>
      </c>
      <c r="D26" t="s">
        <v>389</v>
      </c>
    </row>
    <row r="27" spans="1:4" x14ac:dyDescent="0.35">
      <c r="A27" t="s">
        <v>390</v>
      </c>
      <c r="B27" s="54">
        <v>119</v>
      </c>
      <c r="C27" t="s">
        <v>391</v>
      </c>
      <c r="D27" t="s">
        <v>392</v>
      </c>
    </row>
    <row r="28" spans="1:4" x14ac:dyDescent="0.35">
      <c r="A28" t="s">
        <v>393</v>
      </c>
      <c r="B28" s="54">
        <v>59</v>
      </c>
      <c r="C28" t="s">
        <v>394</v>
      </c>
      <c r="D28" t="s">
        <v>395</v>
      </c>
    </row>
    <row r="29" spans="1:4" x14ac:dyDescent="0.35">
      <c r="A29" t="s">
        <v>396</v>
      </c>
      <c r="B29" s="54">
        <v>88</v>
      </c>
      <c r="C29" t="s">
        <v>397</v>
      </c>
      <c r="D29" t="s">
        <v>398</v>
      </c>
    </row>
    <row r="30" spans="1:4" x14ac:dyDescent="0.35">
      <c r="A30" t="s">
        <v>399</v>
      </c>
      <c r="B30" s="54">
        <v>24.99</v>
      </c>
      <c r="C30" t="s">
        <v>400</v>
      </c>
      <c r="D30" t="s">
        <v>401</v>
      </c>
    </row>
    <row r="31" spans="1:4" x14ac:dyDescent="0.35">
      <c r="A31" t="s">
        <v>402</v>
      </c>
      <c r="B31" s="54">
        <v>149</v>
      </c>
      <c r="C31" t="s">
        <v>403</v>
      </c>
      <c r="D31" t="s">
        <v>404</v>
      </c>
    </row>
    <row r="32" spans="1:4" x14ac:dyDescent="0.35">
      <c r="A32" t="s">
        <v>405</v>
      </c>
      <c r="B32" s="54">
        <v>249</v>
      </c>
      <c r="C32" t="s">
        <v>403</v>
      </c>
      <c r="D32" t="s">
        <v>406</v>
      </c>
    </row>
    <row r="33" spans="1:4" x14ac:dyDescent="0.35">
      <c r="A33" s="137" t="s">
        <v>407</v>
      </c>
      <c r="B33" s="54" t="s">
        <v>408</v>
      </c>
      <c r="C33" t="s">
        <v>409</v>
      </c>
      <c r="D33" t="s">
        <v>410</v>
      </c>
    </row>
    <row r="34" spans="1:4" x14ac:dyDescent="0.35">
      <c r="A34" s="137" t="s">
        <v>411</v>
      </c>
      <c r="B34" s="54" t="s">
        <v>412</v>
      </c>
      <c r="C34" t="s">
        <v>409</v>
      </c>
      <c r="D34" t="s">
        <v>410</v>
      </c>
    </row>
    <row r="35" spans="1:4" x14ac:dyDescent="0.35">
      <c r="A35" s="137" t="s">
        <v>413</v>
      </c>
      <c r="B35" s="54" t="s">
        <v>414</v>
      </c>
      <c r="C35" t="s">
        <v>409</v>
      </c>
      <c r="D35" t="s">
        <v>410</v>
      </c>
    </row>
    <row r="36" spans="1:4" x14ac:dyDescent="0.35">
      <c r="A36" s="137" t="s">
        <v>415</v>
      </c>
      <c r="B36" s="54" t="s">
        <v>416</v>
      </c>
      <c r="C36" t="s">
        <v>409</v>
      </c>
      <c r="D36" t="s">
        <v>410</v>
      </c>
    </row>
    <row r="37" spans="1:4" x14ac:dyDescent="0.35">
      <c r="A37" s="137" t="s">
        <v>417</v>
      </c>
      <c r="B37" s="54" t="s">
        <v>418</v>
      </c>
      <c r="C37" t="s">
        <v>409</v>
      </c>
      <c r="D37" t="s">
        <v>410</v>
      </c>
    </row>
    <row r="38" spans="1:4" x14ac:dyDescent="0.35">
      <c r="A38" s="137" t="s">
        <v>419</v>
      </c>
      <c r="B38" s="54" t="s">
        <v>420</v>
      </c>
      <c r="C38" t="s">
        <v>409</v>
      </c>
      <c r="D38" t="s">
        <v>410</v>
      </c>
    </row>
    <row r="39" spans="1:4" x14ac:dyDescent="0.35">
      <c r="A39" s="137" t="s">
        <v>421</v>
      </c>
      <c r="B39" s="54" t="s">
        <v>422</v>
      </c>
      <c r="C39" t="s">
        <v>409</v>
      </c>
      <c r="D39" t="s">
        <v>410</v>
      </c>
    </row>
    <row r="40" spans="1:4" x14ac:dyDescent="0.35">
      <c r="A40" s="137" t="s">
        <v>423</v>
      </c>
      <c r="B40" s="54" t="s">
        <v>424</v>
      </c>
      <c r="C40" t="s">
        <v>409</v>
      </c>
      <c r="D40" t="s">
        <v>410</v>
      </c>
    </row>
    <row r="41" spans="1:4" x14ac:dyDescent="0.35">
      <c r="A41" s="137" t="s">
        <v>425</v>
      </c>
      <c r="B41" s="54" t="s">
        <v>426</v>
      </c>
      <c r="C41" t="s">
        <v>427</v>
      </c>
      <c r="D41" t="s">
        <v>428</v>
      </c>
    </row>
    <row r="42" spans="1:4" x14ac:dyDescent="0.35">
      <c r="A42" s="137" t="s">
        <v>429</v>
      </c>
      <c r="B42" s="54" t="s">
        <v>430</v>
      </c>
      <c r="C42" t="s">
        <v>431</v>
      </c>
      <c r="D42" t="s">
        <v>432</v>
      </c>
    </row>
    <row r="43" spans="1:4" x14ac:dyDescent="0.35">
      <c r="A43" s="137" t="s">
        <v>433</v>
      </c>
      <c r="B43" s="54" t="s">
        <v>434</v>
      </c>
      <c r="C43" t="s">
        <v>435</v>
      </c>
      <c r="D43" t="s">
        <v>436</v>
      </c>
    </row>
    <row r="44" spans="1:4" x14ac:dyDescent="0.35">
      <c r="A44" s="137" t="s">
        <v>437</v>
      </c>
      <c r="B44" s="54" t="s">
        <v>438</v>
      </c>
      <c r="C44" t="s">
        <v>427</v>
      </c>
      <c r="D44" t="s">
        <v>439</v>
      </c>
    </row>
    <row r="45" spans="1:4" x14ac:dyDescent="0.35">
      <c r="A45" s="137" t="s">
        <v>440</v>
      </c>
      <c r="B45" s="54" t="s">
        <v>441</v>
      </c>
      <c r="C45" t="s">
        <v>427</v>
      </c>
      <c r="D45" t="s">
        <v>442</v>
      </c>
    </row>
    <row r="46" spans="1:4" x14ac:dyDescent="0.35">
      <c r="A46" t="s">
        <v>443</v>
      </c>
      <c r="B46" s="54" t="s">
        <v>444</v>
      </c>
      <c r="D46" t="s">
        <v>445</v>
      </c>
    </row>
    <row r="47" spans="1:4" x14ac:dyDescent="0.35">
      <c r="A47" s="12" t="s">
        <v>446</v>
      </c>
      <c r="B47" s="54" t="s">
        <v>447</v>
      </c>
      <c r="D47" t="s">
        <v>445</v>
      </c>
    </row>
    <row r="51" spans="1:6" x14ac:dyDescent="0.35">
      <c r="A51" s="212" t="s">
        <v>448</v>
      </c>
      <c r="B51" s="11" t="s">
        <v>449</v>
      </c>
      <c r="C51" s="11" t="s">
        <v>450</v>
      </c>
      <c r="D51" s="11" t="s">
        <v>451</v>
      </c>
      <c r="E51" s="11" t="s">
        <v>452</v>
      </c>
      <c r="F51" t="s">
        <v>453</v>
      </c>
    </row>
    <row r="52" spans="1:6" x14ac:dyDescent="0.35">
      <c r="A52" s="271" t="s">
        <v>454</v>
      </c>
      <c r="B52" s="271"/>
      <c r="C52" s="271"/>
      <c r="D52" s="271"/>
      <c r="E52">
        <v>1</v>
      </c>
      <c r="F52" t="s">
        <v>455</v>
      </c>
    </row>
    <row r="53" spans="1:6" x14ac:dyDescent="0.35">
      <c r="A53" t="s">
        <v>456</v>
      </c>
      <c r="B53" s="209" t="s">
        <v>457</v>
      </c>
      <c r="C53" s="209" t="s">
        <v>458</v>
      </c>
      <c r="D53" s="209" t="s">
        <v>459</v>
      </c>
      <c r="E53">
        <v>2</v>
      </c>
      <c r="F53" t="s">
        <v>460</v>
      </c>
    </row>
    <row r="54" spans="1:6" x14ac:dyDescent="0.35">
      <c r="A54" t="s">
        <v>461</v>
      </c>
      <c r="B54" s="209" t="s">
        <v>462</v>
      </c>
      <c r="C54" s="209" t="s">
        <v>463</v>
      </c>
      <c r="D54" s="209" t="s">
        <v>464</v>
      </c>
      <c r="E54">
        <v>3</v>
      </c>
      <c r="F54" t="s">
        <v>465</v>
      </c>
    </row>
    <row r="55" spans="1:6" x14ac:dyDescent="0.35">
      <c r="A55" t="s">
        <v>466</v>
      </c>
      <c r="B55" s="209" t="s">
        <v>467</v>
      </c>
      <c r="C55" s="209" t="s">
        <v>468</v>
      </c>
      <c r="D55" s="209" t="s">
        <v>469</v>
      </c>
      <c r="E55">
        <v>4</v>
      </c>
      <c r="F55" t="s">
        <v>470</v>
      </c>
    </row>
    <row r="56" spans="1:6" x14ac:dyDescent="0.35">
      <c r="A56" t="s">
        <v>471</v>
      </c>
      <c r="B56" s="209" t="s">
        <v>472</v>
      </c>
      <c r="C56" s="209">
        <v>0</v>
      </c>
      <c r="D56" s="209" t="s">
        <v>472</v>
      </c>
      <c r="E56">
        <v>5</v>
      </c>
      <c r="F56" t="s">
        <v>473</v>
      </c>
    </row>
    <row r="57" spans="1:6" x14ac:dyDescent="0.35">
      <c r="A57" t="s">
        <v>474</v>
      </c>
      <c r="B57" s="209" t="s">
        <v>475</v>
      </c>
      <c r="C57" s="209" t="s">
        <v>476</v>
      </c>
      <c r="D57" s="209" t="s">
        <v>477</v>
      </c>
      <c r="E57">
        <v>6</v>
      </c>
      <c r="F57" t="s">
        <v>478</v>
      </c>
    </row>
    <row r="58" spans="1:6" x14ac:dyDescent="0.35">
      <c r="A58" t="s">
        <v>479</v>
      </c>
      <c r="B58" s="209" t="s">
        <v>480</v>
      </c>
      <c r="C58" s="209" t="s">
        <v>481</v>
      </c>
      <c r="D58" s="209" t="s">
        <v>482</v>
      </c>
      <c r="E58">
        <v>7</v>
      </c>
      <c r="F58" t="s">
        <v>483</v>
      </c>
    </row>
    <row r="59" spans="1:6" x14ac:dyDescent="0.35">
      <c r="A59" t="s">
        <v>484</v>
      </c>
      <c r="B59" s="209" t="s">
        <v>485</v>
      </c>
      <c r="C59" s="209" t="s">
        <v>486</v>
      </c>
      <c r="D59" s="209" t="s">
        <v>485</v>
      </c>
      <c r="E59">
        <v>8</v>
      </c>
      <c r="F59" t="s">
        <v>487</v>
      </c>
    </row>
    <row r="60" spans="1:6" x14ac:dyDescent="0.35">
      <c r="A60" t="s">
        <v>488</v>
      </c>
      <c r="B60" s="209" t="s">
        <v>489</v>
      </c>
      <c r="C60" s="209" t="s">
        <v>490</v>
      </c>
      <c r="D60" s="209" t="s">
        <v>491</v>
      </c>
    </row>
    <row r="61" spans="1:6" x14ac:dyDescent="0.35">
      <c r="A61" t="s">
        <v>492</v>
      </c>
      <c r="B61" s="209" t="s">
        <v>493</v>
      </c>
      <c r="C61" s="209" t="s">
        <v>494</v>
      </c>
      <c r="D61" s="209" t="s">
        <v>495</v>
      </c>
    </row>
    <row r="62" spans="1:6" x14ac:dyDescent="0.35">
      <c r="A62" t="s">
        <v>496</v>
      </c>
      <c r="B62" s="209" t="s">
        <v>497</v>
      </c>
      <c r="C62" s="209" t="s">
        <v>498</v>
      </c>
      <c r="D62" s="209" t="s">
        <v>499</v>
      </c>
    </row>
    <row r="63" spans="1:6" x14ac:dyDescent="0.35">
      <c r="A63" t="s">
        <v>500</v>
      </c>
      <c r="B63" s="209" t="s">
        <v>501</v>
      </c>
      <c r="C63" s="209" t="s">
        <v>502</v>
      </c>
      <c r="D63" s="209" t="s">
        <v>503</v>
      </c>
    </row>
    <row r="64" spans="1:6" x14ac:dyDescent="0.35">
      <c r="A64" t="s">
        <v>504</v>
      </c>
      <c r="B64" s="209" t="s">
        <v>505</v>
      </c>
      <c r="C64" s="209" t="s">
        <v>506</v>
      </c>
      <c r="D64" s="209" t="s">
        <v>507</v>
      </c>
    </row>
    <row r="65" spans="1:4" x14ac:dyDescent="0.35">
      <c r="A65" t="s">
        <v>508</v>
      </c>
      <c r="B65" s="209" t="s">
        <v>489</v>
      </c>
      <c r="C65" s="209" t="s">
        <v>509</v>
      </c>
      <c r="D65" s="209" t="s">
        <v>489</v>
      </c>
    </row>
    <row r="66" spans="1:4" x14ac:dyDescent="0.35">
      <c r="A66" t="s">
        <v>510</v>
      </c>
      <c r="B66" s="209" t="s">
        <v>472</v>
      </c>
      <c r="C66" s="209" t="s">
        <v>472</v>
      </c>
      <c r="D66" s="209" t="s">
        <v>472</v>
      </c>
    </row>
    <row r="67" spans="1:4" x14ac:dyDescent="0.35">
      <c r="A67" t="s">
        <v>511</v>
      </c>
      <c r="B67" s="209" t="s">
        <v>512</v>
      </c>
      <c r="C67" s="209" t="s">
        <v>513</v>
      </c>
      <c r="D67" s="209" t="s">
        <v>514</v>
      </c>
    </row>
    <row r="68" spans="1:4" x14ac:dyDescent="0.35">
      <c r="A68" t="s">
        <v>515</v>
      </c>
      <c r="B68" s="209" t="s">
        <v>516</v>
      </c>
      <c r="C68" s="209" t="s">
        <v>517</v>
      </c>
      <c r="D68" s="209" t="s">
        <v>518</v>
      </c>
    </row>
    <row r="69" spans="1:4" x14ac:dyDescent="0.35">
      <c r="A69" s="269" t="s">
        <v>519</v>
      </c>
      <c r="B69" s="269"/>
      <c r="C69" s="269"/>
      <c r="D69" s="269"/>
    </row>
    <row r="70" spans="1:4" x14ac:dyDescent="0.35">
      <c r="A70" t="s">
        <v>520</v>
      </c>
      <c r="B70" s="54" t="s">
        <v>521</v>
      </c>
      <c r="C70" s="54" t="s">
        <v>522</v>
      </c>
      <c r="D70" s="54" t="s">
        <v>523</v>
      </c>
    </row>
    <row r="71" spans="1:4" x14ac:dyDescent="0.35">
      <c r="A71" t="s">
        <v>524</v>
      </c>
      <c r="B71" s="54" t="s">
        <v>525</v>
      </c>
      <c r="C71" s="54" t="s">
        <v>526</v>
      </c>
      <c r="D71" s="54" t="s">
        <v>527</v>
      </c>
    </row>
    <row r="72" spans="1:4" x14ac:dyDescent="0.35">
      <c r="A72" t="s">
        <v>528</v>
      </c>
      <c r="B72" s="54" t="s">
        <v>529</v>
      </c>
      <c r="C72" s="54" t="s">
        <v>530</v>
      </c>
      <c r="D72" s="54" t="s">
        <v>531</v>
      </c>
    </row>
    <row r="73" spans="1:4" x14ac:dyDescent="0.35">
      <c r="A73" t="s">
        <v>532</v>
      </c>
      <c r="B73" s="54" t="s">
        <v>533</v>
      </c>
      <c r="C73" s="54" t="s">
        <v>534</v>
      </c>
      <c r="D73" s="54" t="s">
        <v>533</v>
      </c>
    </row>
    <row r="74" spans="1:4" x14ac:dyDescent="0.35">
      <c r="A74" t="s">
        <v>535</v>
      </c>
      <c r="B74" s="210" t="s">
        <v>536</v>
      </c>
      <c r="C74" s="54" t="s">
        <v>537</v>
      </c>
      <c r="D74" s="210" t="s">
        <v>538</v>
      </c>
    </row>
    <row r="75" spans="1:4" x14ac:dyDescent="0.35">
      <c r="A75" t="s">
        <v>539</v>
      </c>
      <c r="B75" s="54" t="s">
        <v>540</v>
      </c>
      <c r="C75" s="54">
        <v>42.5</v>
      </c>
      <c r="D75" s="54" t="s">
        <v>540</v>
      </c>
    </row>
    <row r="76" spans="1:4" x14ac:dyDescent="0.35">
      <c r="A76" s="270" t="s">
        <v>541</v>
      </c>
      <c r="B76" s="270"/>
      <c r="C76" s="270"/>
      <c r="D76" s="270"/>
    </row>
    <row r="77" spans="1:4" x14ac:dyDescent="0.35">
      <c r="A77" t="s">
        <v>542</v>
      </c>
      <c r="B77" s="54" t="s">
        <v>543</v>
      </c>
      <c r="C77" s="54" t="s">
        <v>544</v>
      </c>
      <c r="D77" s="54" t="s">
        <v>545</v>
      </c>
    </row>
    <row r="78" spans="1:4" x14ac:dyDescent="0.35">
      <c r="A78" t="s">
        <v>546</v>
      </c>
      <c r="B78" s="54" t="s">
        <v>547</v>
      </c>
      <c r="C78" s="54" t="s">
        <v>548</v>
      </c>
      <c r="D78" s="54" t="s">
        <v>547</v>
      </c>
    </row>
    <row r="79" spans="1:4" x14ac:dyDescent="0.35">
      <c r="A79" t="s">
        <v>549</v>
      </c>
      <c r="B79" s="210" t="s">
        <v>550</v>
      </c>
      <c r="C79" s="54" t="s">
        <v>551</v>
      </c>
      <c r="D79" s="210" t="s">
        <v>552</v>
      </c>
    </row>
    <row r="80" spans="1:4" x14ac:dyDescent="0.35">
      <c r="A80" t="s">
        <v>553</v>
      </c>
      <c r="B80" s="54" t="s">
        <v>554</v>
      </c>
      <c r="C80" s="54" t="s">
        <v>555</v>
      </c>
      <c r="D80" s="54" t="s">
        <v>556</v>
      </c>
    </row>
    <row r="83" spans="1:8" x14ac:dyDescent="0.35">
      <c r="A83" s="211" t="s">
        <v>557</v>
      </c>
      <c r="B83" s="11" t="s">
        <v>449</v>
      </c>
      <c r="C83" s="11" t="s">
        <v>450</v>
      </c>
      <c r="D83" s="11" t="s">
        <v>451</v>
      </c>
    </row>
    <row r="84" spans="1:8" x14ac:dyDescent="0.35">
      <c r="A84" s="271" t="s">
        <v>454</v>
      </c>
      <c r="B84" s="271"/>
      <c r="C84" s="271"/>
      <c r="D84" s="271"/>
    </row>
    <row r="85" spans="1:8" x14ac:dyDescent="0.35">
      <c r="A85" t="s">
        <v>558</v>
      </c>
      <c r="B85" s="209" t="s">
        <v>559</v>
      </c>
      <c r="C85" s="209" t="s">
        <v>560</v>
      </c>
      <c r="D85" s="209" t="s">
        <v>561</v>
      </c>
      <c r="F85" s="209"/>
      <c r="G85" s="209"/>
      <c r="H85" s="209"/>
    </row>
    <row r="86" spans="1:8" x14ac:dyDescent="0.35">
      <c r="A86" t="s">
        <v>562</v>
      </c>
      <c r="B86" s="209" t="s">
        <v>563</v>
      </c>
      <c r="C86" s="209" t="s">
        <v>564</v>
      </c>
      <c r="D86" s="209" t="s">
        <v>565</v>
      </c>
      <c r="F86" s="209"/>
      <c r="G86" s="209"/>
      <c r="H86" s="209"/>
    </row>
    <row r="87" spans="1:8" x14ac:dyDescent="0.35">
      <c r="A87" t="s">
        <v>566</v>
      </c>
      <c r="B87" s="54" t="s">
        <v>567</v>
      </c>
      <c r="C87" s="209" t="s">
        <v>568</v>
      </c>
      <c r="D87" s="209" t="s">
        <v>569</v>
      </c>
      <c r="G87" s="209"/>
      <c r="H87" s="209"/>
    </row>
    <row r="88" spans="1:8" x14ac:dyDescent="0.35">
      <c r="A88" t="s">
        <v>570</v>
      </c>
      <c r="B88" s="214" t="s">
        <v>472</v>
      </c>
      <c r="C88" s="54">
        <v>0</v>
      </c>
      <c r="D88" s="214" t="s">
        <v>472</v>
      </c>
      <c r="F88" s="214"/>
      <c r="H88" s="214"/>
    </row>
    <row r="89" spans="1:8" x14ac:dyDescent="0.35">
      <c r="A89" t="s">
        <v>571</v>
      </c>
      <c r="B89" s="209" t="s">
        <v>572</v>
      </c>
      <c r="C89" s="209" t="s">
        <v>573</v>
      </c>
      <c r="D89" s="209" t="s">
        <v>574</v>
      </c>
      <c r="F89" s="209"/>
      <c r="G89" s="209"/>
      <c r="H89" s="209"/>
    </row>
    <row r="90" spans="1:8" x14ac:dyDescent="0.35">
      <c r="A90" t="s">
        <v>575</v>
      </c>
      <c r="B90" s="209" t="s">
        <v>576</v>
      </c>
      <c r="C90" s="54" t="s">
        <v>577</v>
      </c>
      <c r="D90" s="209" t="s">
        <v>578</v>
      </c>
      <c r="F90" s="209"/>
      <c r="H90" s="209"/>
    </row>
    <row r="91" spans="1:8" x14ac:dyDescent="0.35">
      <c r="A91" t="s">
        <v>579</v>
      </c>
      <c r="B91" s="213" t="s">
        <v>580</v>
      </c>
      <c r="C91" s="214" t="s">
        <v>581</v>
      </c>
      <c r="D91" s="213" t="s">
        <v>580</v>
      </c>
      <c r="F91" s="215"/>
      <c r="G91" s="214"/>
      <c r="H91" s="215"/>
    </row>
    <row r="92" spans="1:8" x14ac:dyDescent="0.35">
      <c r="A92" t="s">
        <v>582</v>
      </c>
      <c r="B92" s="214" t="s">
        <v>583</v>
      </c>
      <c r="C92" s="214" t="s">
        <v>584</v>
      </c>
      <c r="D92" s="214" t="s">
        <v>583</v>
      </c>
      <c r="F92" s="214"/>
      <c r="G92" s="214"/>
      <c r="H92" s="214"/>
    </row>
    <row r="93" spans="1:8" x14ac:dyDescent="0.35">
      <c r="A93" t="s">
        <v>585</v>
      </c>
      <c r="B93" s="209" t="s">
        <v>586</v>
      </c>
      <c r="C93" s="209" t="s">
        <v>587</v>
      </c>
      <c r="D93" s="209" t="s">
        <v>588</v>
      </c>
      <c r="F93" s="209"/>
      <c r="G93" s="209"/>
      <c r="H93" s="209"/>
    </row>
    <row r="94" spans="1:8" x14ac:dyDescent="0.35">
      <c r="A94" t="s">
        <v>589</v>
      </c>
      <c r="B94" s="213" t="s">
        <v>590</v>
      </c>
      <c r="C94" s="209" t="s">
        <v>591</v>
      </c>
      <c r="D94" s="209" t="s">
        <v>592</v>
      </c>
      <c r="F94" s="215"/>
      <c r="G94" s="209"/>
      <c r="H94" s="209"/>
    </row>
    <row r="95" spans="1:8" x14ac:dyDescent="0.35">
      <c r="A95" t="s">
        <v>593</v>
      </c>
      <c r="B95" s="209" t="s">
        <v>594</v>
      </c>
      <c r="C95" s="209" t="s">
        <v>595</v>
      </c>
      <c r="D95" s="209" t="s">
        <v>596</v>
      </c>
      <c r="F95" s="209"/>
      <c r="G95" s="209"/>
      <c r="H95" s="209"/>
    </row>
    <row r="96" spans="1:8" x14ac:dyDescent="0.35">
      <c r="A96" t="s">
        <v>597</v>
      </c>
      <c r="B96" s="209" t="s">
        <v>598</v>
      </c>
      <c r="C96" s="209" t="s">
        <v>599</v>
      </c>
      <c r="D96" s="209" t="s">
        <v>600</v>
      </c>
      <c r="F96" s="209"/>
      <c r="G96" s="209"/>
      <c r="H96" s="209"/>
    </row>
    <row r="97" spans="1:9" x14ac:dyDescent="0.35">
      <c r="A97" t="s">
        <v>601</v>
      </c>
      <c r="B97" s="214" t="s">
        <v>583</v>
      </c>
      <c r="C97" s="213" t="s">
        <v>602</v>
      </c>
      <c r="D97" s="214" t="s">
        <v>583</v>
      </c>
      <c r="F97" s="214"/>
      <c r="G97" s="215"/>
      <c r="H97" s="214"/>
    </row>
    <row r="98" spans="1:9" x14ac:dyDescent="0.35">
      <c r="A98" t="s">
        <v>510</v>
      </c>
      <c r="B98" s="214" t="s">
        <v>472</v>
      </c>
      <c r="C98" s="214" t="s">
        <v>472</v>
      </c>
      <c r="D98" s="213" t="s">
        <v>472</v>
      </c>
      <c r="F98" s="214"/>
      <c r="G98" s="214"/>
      <c r="H98" s="215"/>
    </row>
    <row r="99" spans="1:9" x14ac:dyDescent="0.35">
      <c r="A99" t="s">
        <v>603</v>
      </c>
      <c r="B99" s="209" t="s">
        <v>604</v>
      </c>
      <c r="C99" s="209" t="s">
        <v>605</v>
      </c>
      <c r="D99" s="209" t="s">
        <v>606</v>
      </c>
      <c r="F99" s="209"/>
      <c r="G99" s="209"/>
      <c r="H99" s="209"/>
    </row>
    <row r="100" spans="1:9" x14ac:dyDescent="0.35">
      <c r="A100" t="s">
        <v>607</v>
      </c>
      <c r="B100" s="214" t="s">
        <v>608</v>
      </c>
      <c r="C100" s="54"/>
      <c r="D100" s="214" t="s">
        <v>608</v>
      </c>
      <c r="F100" s="214"/>
      <c r="H100" s="214"/>
    </row>
    <row r="101" spans="1:9" x14ac:dyDescent="0.35">
      <c r="A101" s="269" t="s">
        <v>519</v>
      </c>
      <c r="B101" s="269"/>
      <c r="C101" s="269"/>
      <c r="D101" s="269"/>
    </row>
    <row r="102" spans="1:9" x14ac:dyDescent="0.35">
      <c r="A102" t="s">
        <v>609</v>
      </c>
      <c r="B102" s="54" t="s">
        <v>610</v>
      </c>
      <c r="C102" s="54" t="s">
        <v>611</v>
      </c>
      <c r="D102" s="54" t="s">
        <v>612</v>
      </c>
      <c r="F102" s="54"/>
      <c r="G102" s="54"/>
      <c r="H102" s="54"/>
    </row>
    <row r="103" spans="1:9" x14ac:dyDescent="0.35">
      <c r="A103" t="s">
        <v>613</v>
      </c>
      <c r="B103" s="54" t="s">
        <v>614</v>
      </c>
      <c r="C103" s="54" t="s">
        <v>615</v>
      </c>
      <c r="D103" s="54" t="s">
        <v>616</v>
      </c>
      <c r="F103" s="54"/>
      <c r="G103" s="54"/>
      <c r="H103" s="54"/>
    </row>
    <row r="104" spans="1:9" x14ac:dyDescent="0.35">
      <c r="A104" t="s">
        <v>617</v>
      </c>
      <c r="B104" s="54" t="s">
        <v>618</v>
      </c>
      <c r="C104" s="54" t="s">
        <v>619</v>
      </c>
      <c r="D104" s="54" t="s">
        <v>620</v>
      </c>
      <c r="F104" s="54"/>
      <c r="G104" s="54"/>
      <c r="H104" s="54"/>
      <c r="I104" s="54"/>
    </row>
    <row r="105" spans="1:9" x14ac:dyDescent="0.35">
      <c r="A105" t="s">
        <v>621</v>
      </c>
      <c r="B105" s="54" t="s">
        <v>622</v>
      </c>
      <c r="C105" s="54" t="s">
        <v>623</v>
      </c>
      <c r="D105" s="54" t="s">
        <v>622</v>
      </c>
      <c r="F105" s="54"/>
      <c r="G105" s="54"/>
      <c r="H105" s="54"/>
      <c r="I105" s="54"/>
    </row>
    <row r="106" spans="1:9" x14ac:dyDescent="0.35">
      <c r="A106" t="s">
        <v>624</v>
      </c>
      <c r="B106" s="54" t="s">
        <v>625</v>
      </c>
      <c r="C106" s="54" t="s">
        <v>626</v>
      </c>
      <c r="D106" s="54" t="s">
        <v>625</v>
      </c>
      <c r="F106" s="54"/>
      <c r="G106" s="54"/>
      <c r="H106" s="54"/>
      <c r="I106" s="54"/>
    </row>
    <row r="107" spans="1:9" x14ac:dyDescent="0.35">
      <c r="A107" t="s">
        <v>627</v>
      </c>
      <c r="B107" s="54" t="s">
        <v>628</v>
      </c>
      <c r="C107" s="54">
        <v>4.6800000000000001E-2</v>
      </c>
      <c r="D107" s="54" t="s">
        <v>628</v>
      </c>
      <c r="F107" s="54"/>
      <c r="G107" s="54"/>
      <c r="H107" s="54"/>
      <c r="I107" s="54"/>
    </row>
    <row r="108" spans="1:9" x14ac:dyDescent="0.35">
      <c r="A108" s="270" t="s">
        <v>541</v>
      </c>
      <c r="B108" s="270"/>
      <c r="C108" s="270"/>
      <c r="D108" s="270"/>
    </row>
    <row r="109" spans="1:9" x14ac:dyDescent="0.35">
      <c r="A109" t="s">
        <v>629</v>
      </c>
      <c r="B109" s="54" t="s">
        <v>630</v>
      </c>
      <c r="C109" s="54" t="s">
        <v>631</v>
      </c>
      <c r="D109" s="54" t="s">
        <v>632</v>
      </c>
      <c r="F109" s="54"/>
      <c r="G109" s="54"/>
      <c r="H109" s="54"/>
      <c r="I109" s="54"/>
    </row>
    <row r="110" spans="1:9" x14ac:dyDescent="0.35">
      <c r="A110" t="s">
        <v>633</v>
      </c>
      <c r="B110" s="54" t="s">
        <v>634</v>
      </c>
      <c r="C110" s="54" t="s">
        <v>635</v>
      </c>
      <c r="D110" s="54" t="s">
        <v>634</v>
      </c>
      <c r="G110" s="54"/>
      <c r="H110" s="54"/>
      <c r="I110" s="54"/>
    </row>
    <row r="111" spans="1:9" x14ac:dyDescent="0.35">
      <c r="A111" t="s">
        <v>636</v>
      </c>
      <c r="B111" s="54" t="s">
        <v>637</v>
      </c>
      <c r="C111" s="54" t="s">
        <v>638</v>
      </c>
      <c r="D111" s="54" t="s">
        <v>639</v>
      </c>
    </row>
    <row r="112" spans="1:9" x14ac:dyDescent="0.35">
      <c r="A112" t="s">
        <v>640</v>
      </c>
      <c r="B112" s="213" t="s">
        <v>641</v>
      </c>
      <c r="C112" s="213" t="s">
        <v>642</v>
      </c>
      <c r="D112" s="213" t="s">
        <v>643</v>
      </c>
      <c r="F112" s="213"/>
      <c r="G112" s="213"/>
      <c r="H112" s="213"/>
      <c r="I112" s="213"/>
    </row>
  </sheetData>
  <mergeCells count="6">
    <mergeCell ref="A101:D101"/>
    <mergeCell ref="A108:D108"/>
    <mergeCell ref="A52:D52"/>
    <mergeCell ref="A69:D69"/>
    <mergeCell ref="A76:D76"/>
    <mergeCell ref="A84:D84"/>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02F08-875F-4CBD-9B58-F99620CC18C0}">
  <dimension ref="A1:P148"/>
  <sheetViews>
    <sheetView tabSelected="1" topLeftCell="C113" zoomScale="95" zoomScaleNormal="95" workbookViewId="0">
      <selection activeCell="F123" sqref="F123"/>
    </sheetView>
  </sheetViews>
  <sheetFormatPr defaultRowHeight="14.5" x14ac:dyDescent="0.35"/>
  <cols>
    <col min="1" max="1" width="50.1796875" customWidth="1"/>
    <col min="2" max="2" width="24.1796875" customWidth="1"/>
    <col min="3" max="3" width="31.453125" customWidth="1"/>
    <col min="4" max="4" width="31.26953125" customWidth="1"/>
    <col min="5" max="5" width="15" customWidth="1"/>
    <col min="6" max="6" width="22.1796875" customWidth="1"/>
    <col min="7" max="9" width="14.1796875" customWidth="1"/>
    <col min="10" max="10" width="25.453125" customWidth="1"/>
  </cols>
  <sheetData>
    <row r="1" spans="1:11" ht="18.5" x14ac:dyDescent="0.45">
      <c r="A1" t="s">
        <v>644</v>
      </c>
      <c r="E1" s="273" t="s">
        <v>1768</v>
      </c>
      <c r="F1" s="273"/>
      <c r="G1" s="273"/>
      <c r="H1" s="272" t="s">
        <v>1767</v>
      </c>
      <c r="I1" s="272"/>
      <c r="J1" s="272"/>
    </row>
    <row r="2" spans="1:11" x14ac:dyDescent="0.35">
      <c r="A2" s="50" t="s">
        <v>645</v>
      </c>
      <c r="B2" s="51" t="s">
        <v>248</v>
      </c>
      <c r="C2" s="252" t="s">
        <v>1766</v>
      </c>
      <c r="D2" s="51" t="s">
        <v>249</v>
      </c>
      <c r="E2" s="51" t="s">
        <v>646</v>
      </c>
      <c r="F2" s="51" t="s">
        <v>647</v>
      </c>
      <c r="G2" s="51" t="s">
        <v>648</v>
      </c>
      <c r="H2" s="51" t="s">
        <v>646</v>
      </c>
      <c r="I2" s="51" t="s">
        <v>647</v>
      </c>
      <c r="J2" s="251" t="s">
        <v>1760</v>
      </c>
      <c r="K2" s="51" t="s">
        <v>649</v>
      </c>
    </row>
    <row r="3" spans="1:11" x14ac:dyDescent="0.35">
      <c r="A3" s="6" t="s">
        <v>650</v>
      </c>
      <c r="B3" s="30">
        <f>('EoL Material Flow Analysis'!B46+'EoL Material Flow Analysis'!D46)/8000</f>
        <v>3984.4096875</v>
      </c>
      <c r="C3" s="30">
        <f>('EoL Material Flow Analysis'!B64+'EoL Material Flow Analysis'!D64)/8000</f>
        <v>1438.9704843750001</v>
      </c>
      <c r="D3" t="s">
        <v>651</v>
      </c>
      <c r="E3" s="30">
        <f>('EoL Material Flow Analysis'!AC46-'EoL Material Flow Analysis'!AD46)/8000</f>
        <v>343.99454648711946</v>
      </c>
      <c r="F3" s="30">
        <f>40*E3</f>
        <v>13759.781859484778</v>
      </c>
      <c r="G3" s="53">
        <f>(B3-F3)/(E3-F3)*100</f>
        <v>72.864692499366583</v>
      </c>
      <c r="H3" s="53">
        <f>('EoL Material Flow Analysis'!AC64-'EoL Material Flow Analysis'!AD64)/8000</f>
        <v>321.396933106061</v>
      </c>
      <c r="I3" s="30">
        <f>40*H3</f>
        <v>12855.877324242439</v>
      </c>
      <c r="J3" s="261">
        <f>(C3-I3)/(H3-I3)*100</f>
        <v>91.084005747384481</v>
      </c>
      <c r="K3" t="s">
        <v>652</v>
      </c>
    </row>
    <row r="4" spans="1:11" x14ac:dyDescent="0.35">
      <c r="A4" s="6" t="s">
        <v>653</v>
      </c>
      <c r="B4" s="53">
        <f>('EoL Material Flow Analysis'!B46+'EoL Material Flow Analysis'!D46)/('EoL Material Flow Analysis'!AC46-'EoL Material Flow Analysis'!AD46)</f>
        <v>11.582769925247034</v>
      </c>
      <c r="C4" s="30">
        <f>('EoL Material Flow Analysis'!B64+'EoL Material Flow Analysis'!D64)/('EoL Material Flow Analysis'!AC64-'EoL Material Flow Analysis'!AD64)</f>
        <v>4.4772377585200527</v>
      </c>
      <c r="D4" t="s">
        <v>654</v>
      </c>
      <c r="E4">
        <v>1</v>
      </c>
      <c r="F4">
        <v>40</v>
      </c>
      <c r="G4" s="53">
        <f>(B4-F4)/(E4-F4)*100</f>
        <v>72.864692499366583</v>
      </c>
      <c r="H4">
        <v>1</v>
      </c>
      <c r="I4">
        <v>40</v>
      </c>
      <c r="J4" s="261">
        <f t="shared" ref="J4:J11" si="0">(C4-I4)/(H4-I4)*100</f>
        <v>91.084005747384481</v>
      </c>
    </row>
    <row r="5" spans="1:11" x14ac:dyDescent="0.35">
      <c r="A5" s="6" t="s">
        <v>655</v>
      </c>
      <c r="B5" s="43">
        <f>('EoL Material Flow Analysis'!AC46-'EoL Material Flow Analysis'!AD46)/('EoL Material Flow Analysis'!B46+'EoL Material Flow Analysis'!D46)</f>
        <v>8.6335134553635048E-2</v>
      </c>
      <c r="C5" s="30">
        <f>('EoL Material Flow Analysis'!AC64-'EoL Material Flow Analysis'!AD64)/('EoL Material Flow Analysis'!B64+'EoL Material Flow Analysis'!D64)</f>
        <v>0.2233519982487035</v>
      </c>
      <c r="D5" t="s">
        <v>656</v>
      </c>
      <c r="E5">
        <v>1</v>
      </c>
      <c r="F5">
        <v>0</v>
      </c>
      <c r="G5" s="53">
        <f t="shared" ref="G5:G11" si="1">(B5-F5)/(E5-F5)*100</f>
        <v>8.633513455363504</v>
      </c>
      <c r="H5">
        <v>1</v>
      </c>
      <c r="I5">
        <v>0</v>
      </c>
      <c r="J5" s="261">
        <f t="shared" si="0"/>
        <v>22.335199824870351</v>
      </c>
    </row>
    <row r="6" spans="1:11" x14ac:dyDescent="0.35">
      <c r="A6" s="6" t="s">
        <v>657</v>
      </c>
      <c r="B6" s="53">
        <f>(('EoL Material Flow Analysis'!B46+'EoL Material Flow Analysis'!D46)-'EoL Material Flow Analysis'!AC46+'EoL Material Flow Analysis'!AD46)/('EoL Material Flow Analysis'!AC46-'EoL Material Flow Analysis'!AD46)</f>
        <v>10.582769925247035</v>
      </c>
      <c r="C6" s="42">
        <f>(('EoL Material Flow Analysis'!B64+'EoL Material Flow Analysis'!D64)-'EoL Material Flow Analysis'!AC64+'EoL Material Flow Analysis'!AD64)/('EoL Material Flow Analysis'!AC64-'EoL Material Flow Analysis'!AD64)</f>
        <v>3.4772377585200527</v>
      </c>
      <c r="D6" t="s">
        <v>658</v>
      </c>
      <c r="E6">
        <v>0</v>
      </c>
      <c r="F6">
        <v>39</v>
      </c>
      <c r="G6" s="53">
        <f t="shared" si="1"/>
        <v>72.864692499366583</v>
      </c>
      <c r="H6">
        <v>0</v>
      </c>
      <c r="I6">
        <v>39</v>
      </c>
      <c r="J6" s="261">
        <f t="shared" si="0"/>
        <v>91.084005747384481</v>
      </c>
    </row>
    <row r="7" spans="1:11" x14ac:dyDescent="0.35">
      <c r="A7" s="6" t="s">
        <v>659</v>
      </c>
      <c r="B7" s="53">
        <f>(('EoL Material Flow Analysis'!B46+'EoL Material Flow Analysis'!D46)-'EoL Material Flow Analysis'!AC46+'EoL Material Flow Analysis'!AD46)/('EoL Material Flow Analysis'!AC46-'EoL Material Flow Analysis'!AD46)</f>
        <v>10.582769925247035</v>
      </c>
      <c r="C7" s="30">
        <f>(('EoL Material Flow Analysis'!B64+'EoL Material Flow Analysis'!D64)-'EoL Material Flow Analysis'!AC64+'EoL Material Flow Analysis'!AD64)/('EoL Material Flow Analysis'!AC64-'EoL Material Flow Analysis'!AD64)</f>
        <v>3.4772377585200527</v>
      </c>
      <c r="D7" t="s">
        <v>660</v>
      </c>
      <c r="E7">
        <v>0</v>
      </c>
      <c r="F7">
        <v>100</v>
      </c>
      <c r="G7" s="53">
        <f t="shared" si="1"/>
        <v>89.417230074752965</v>
      </c>
      <c r="H7">
        <v>0</v>
      </c>
      <c r="I7">
        <v>100</v>
      </c>
      <c r="J7" s="261">
        <f t="shared" si="0"/>
        <v>96.522762241479953</v>
      </c>
    </row>
    <row r="8" spans="1:11" x14ac:dyDescent="0.35">
      <c r="A8" s="6" t="s">
        <v>661</v>
      </c>
      <c r="B8" s="45">
        <f>('EoL Material Flow Analysis'!B39*0.0025)/('EoL Material Flow Analysis'!B46+'EoL Material Flow Analysis'!D46)</f>
        <v>5.3223066058013147E-4</v>
      </c>
      <c r="C8" s="46">
        <f>('EoL Material Flow Analysis'!B57*0.0025)/('EoL Material Flow Analysis'!B64+'EoL Material Flow Analysis'!D64)</f>
        <v>1.327427370027156E-3</v>
      </c>
      <c r="D8" t="s">
        <v>662</v>
      </c>
      <c r="E8">
        <v>1</v>
      </c>
      <c r="F8">
        <v>0</v>
      </c>
      <c r="G8" s="53">
        <f t="shared" si="1"/>
        <v>5.3223066058013149E-2</v>
      </c>
      <c r="H8">
        <v>1</v>
      </c>
      <c r="I8">
        <v>0</v>
      </c>
      <c r="J8" s="261">
        <f t="shared" si="0"/>
        <v>0.13274273700271561</v>
      </c>
      <c r="K8" t="s">
        <v>663</v>
      </c>
    </row>
    <row r="9" spans="1:11" x14ac:dyDescent="0.35">
      <c r="A9" s="6" t="s">
        <v>664</v>
      </c>
      <c r="B9" s="45">
        <f>('EoL Material Flow Analysis'!B46+'EoL Material Flow Analysis'!D46)/(('EoL Material Flow Analysis'!B46+'EoL Material Flow Analysis'!D46)-('EoL Material Flow Analysis'!B39*0.0025))</f>
        <v>1.0005325140809012</v>
      </c>
      <c r="C9" s="30">
        <f>('EoL Material Flow Analysis'!B64+'EoL Material Flow Analysis'!D64)/(('EoL Material Flow Analysis'!B64+'EoL Material Flow Analysis'!D64)-('EoL Material Flow Analysis'!B57*0.0025))</f>
        <v>1.00132919177557</v>
      </c>
      <c r="D9" t="s">
        <v>665</v>
      </c>
      <c r="E9">
        <v>10</v>
      </c>
      <c r="F9">
        <v>0</v>
      </c>
      <c r="G9" s="53">
        <f t="shared" si="1"/>
        <v>10.005325140809012</v>
      </c>
      <c r="H9">
        <v>10</v>
      </c>
      <c r="I9">
        <v>0</v>
      </c>
      <c r="J9" s="261">
        <f t="shared" si="0"/>
        <v>10.0132919177557</v>
      </c>
    </row>
    <row r="10" spans="1:11" x14ac:dyDescent="0.35">
      <c r="A10" s="6" t="s">
        <v>666</v>
      </c>
      <c r="B10" s="42">
        <f>('EoL Material Flow Analysis'!B39)/('EoL Material Flow Analysis'!B46+'EoL Material Flow Analysis'!D46)</f>
        <v>0.21289226423205257</v>
      </c>
      <c r="C10" s="42">
        <f>('EoL Material Flow Analysis'!B57+'EoL Material Flow Analysis'!D56*0.95)/('EoL Material Flow Analysis'!B64+'EoL Material Flow Analysis'!D64)</f>
        <v>0.61941748776843708</v>
      </c>
      <c r="D10" t="s">
        <v>667</v>
      </c>
      <c r="E10">
        <v>1</v>
      </c>
      <c r="F10">
        <v>0</v>
      </c>
      <c r="G10" s="53">
        <f t="shared" si="1"/>
        <v>21.289226423205257</v>
      </c>
      <c r="H10">
        <v>1</v>
      </c>
      <c r="I10">
        <v>0</v>
      </c>
      <c r="J10" s="261">
        <f>(C10-I10)/(H10-I10)*100</f>
        <v>61.94174877684371</v>
      </c>
      <c r="K10" t="s">
        <v>668</v>
      </c>
    </row>
    <row r="11" spans="1:11" x14ac:dyDescent="0.35">
      <c r="A11" s="6" t="s">
        <v>669</v>
      </c>
      <c r="B11">
        <f>(SUM('EoL Material Flow Analysis'!AC39:AC41)-SUM('EoL Material Flow Analysis'!AD39:AD41))/('EoL Material Flow Analysis'!AC46-'EoL Material Flow Analysis'!AD46)</f>
        <v>1</v>
      </c>
      <c r="C11" s="30">
        <f>(SUM('EoL Material Flow Analysis'!AC57:AC59)-SUM('EoL Material Flow Analysis'!AD57:AD59))/('EoL Material Flow Analysis'!AC64-'EoL Material Flow Analysis'!AD64)</f>
        <v>1</v>
      </c>
      <c r="D11" t="s">
        <v>670</v>
      </c>
      <c r="E11">
        <v>1</v>
      </c>
      <c r="F11">
        <v>0</v>
      </c>
      <c r="G11" s="53">
        <f t="shared" si="1"/>
        <v>100</v>
      </c>
      <c r="H11">
        <v>1</v>
      </c>
      <c r="I11">
        <v>0</v>
      </c>
      <c r="J11" s="261">
        <f t="shared" si="0"/>
        <v>100</v>
      </c>
      <c r="K11" t="s">
        <v>671</v>
      </c>
    </row>
    <row r="12" spans="1:11" x14ac:dyDescent="0.35">
      <c r="A12" s="65" t="s">
        <v>672</v>
      </c>
      <c r="B12" s="55" t="s">
        <v>248</v>
      </c>
      <c r="C12" s="55" t="s">
        <v>1759</v>
      </c>
      <c r="D12" s="55" t="s">
        <v>249</v>
      </c>
      <c r="E12" s="55" t="s">
        <v>646</v>
      </c>
      <c r="F12" s="55" t="s">
        <v>647</v>
      </c>
      <c r="G12" s="55" t="s">
        <v>648</v>
      </c>
      <c r="H12" s="55"/>
      <c r="I12" s="55"/>
      <c r="J12" s="55"/>
      <c r="K12" s="55" t="s">
        <v>649</v>
      </c>
    </row>
    <row r="13" spans="1:11" x14ac:dyDescent="0.35">
      <c r="A13" s="52" t="s">
        <v>673</v>
      </c>
      <c r="B13" s="69" t="s">
        <v>674</v>
      </c>
      <c r="C13" s="30" t="str">
        <f t="shared" ref="C13:C67" si="2">B13</f>
        <v>&gt;0</v>
      </c>
      <c r="D13" s="70" t="s">
        <v>249</v>
      </c>
      <c r="E13" s="70">
        <v>0</v>
      </c>
      <c r="F13" s="69" t="s">
        <v>675</v>
      </c>
      <c r="G13" s="69"/>
      <c r="H13" s="69"/>
      <c r="I13" s="69"/>
      <c r="J13" s="69"/>
      <c r="K13" t="s">
        <v>676</v>
      </c>
    </row>
    <row r="14" spans="1:11" x14ac:dyDescent="0.35">
      <c r="A14" s="52" t="s">
        <v>677</v>
      </c>
      <c r="B14" s="30">
        <f>('EoL Material Flow Analysis'!B36+'EoL Material Flow Analysis'!D38)/8000</f>
        <v>3113.3221874999999</v>
      </c>
      <c r="C14" s="30">
        <f>('EoL Material Flow Analysis'!B54+'EoL Material Flow Analysis'!D56)/8000</f>
        <v>567.88298437499998</v>
      </c>
      <c r="D14" t="s">
        <v>651</v>
      </c>
      <c r="E14">
        <v>0</v>
      </c>
      <c r="F14" s="67">
        <f>('EoL Material Flow Analysis'!B46+'EoL Material Flow Analysis'!D46)/8000</f>
        <v>3984.4096875</v>
      </c>
      <c r="G14" s="53">
        <f>(B14-F14)/(E14-F14)*100</f>
        <v>21.862397903830015</v>
      </c>
      <c r="H14">
        <v>0</v>
      </c>
      <c r="I14" s="53">
        <f>('EoL Material Flow Analysis'!B64+'EoL Material Flow Analysis'!D64)/8000</f>
        <v>1438.9704843750001</v>
      </c>
      <c r="J14" s="261">
        <f>(C14-I14)/(H14-I14)*100</f>
        <v>60.535466811770412</v>
      </c>
      <c r="K14" t="s">
        <v>678</v>
      </c>
    </row>
    <row r="15" spans="1:11" x14ac:dyDescent="0.35">
      <c r="A15" s="52" t="s">
        <v>679</v>
      </c>
      <c r="B15" s="43">
        <f>B14/(('EoL Material Flow Analysis'!AC46-'EoL Material Flow Analysis'!AD46)/8000)</f>
        <v>9.0504986759043735</v>
      </c>
      <c r="C15" s="30">
        <f>C14/(('EoL Material Flow Analysis'!AC64-'EoL Material Flow Analysis'!AD64)/8000)</f>
        <v>1.7669209811270929</v>
      </c>
      <c r="D15" t="s">
        <v>680</v>
      </c>
      <c r="E15">
        <v>0</v>
      </c>
      <c r="F15" s="56">
        <f>F14/(('EoL Material Flow Analysis'!AC46-'EoL Material Flow Analysis'!AD46)/8000)</f>
        <v>11.582769925247034</v>
      </c>
      <c r="G15" s="53">
        <f t="shared" ref="G15:G16" si="3">(B15-F15)/(E15-F15)*100</f>
        <v>21.862397903830008</v>
      </c>
      <c r="H15">
        <v>0</v>
      </c>
      <c r="I15" s="53">
        <f>I14/(('EoL Material Flow Analysis'!AC64-'EoL Material Flow Analysis'!AD64)/8000)</f>
        <v>4.4772377585200536</v>
      </c>
      <c r="J15" s="261">
        <f t="shared" ref="J15:J16" si="4">(C15-I15)/(H15-I15)*100</f>
        <v>60.535466811770412</v>
      </c>
    </row>
    <row r="16" spans="1:11" x14ac:dyDescent="0.35">
      <c r="A16" s="52" t="s">
        <v>681</v>
      </c>
      <c r="B16" s="30">
        <f>B17/('EoL Material Flow Analysis'!AC46-'EoL Material Flow Analysis'!AD46)</f>
        <v>589.34411692044569</v>
      </c>
      <c r="C16" s="30">
        <f>C17/('EoL Material Flow Analysis'!AC64-'EoL Material Flow Analysis'!AD64)</f>
        <v>359.33020369966283</v>
      </c>
      <c r="D16" t="s">
        <v>682</v>
      </c>
      <c r="E16">
        <v>0</v>
      </c>
      <c r="F16">
        <v>10000</v>
      </c>
      <c r="G16" s="53">
        <f t="shared" si="3"/>
        <v>94.106558830795549</v>
      </c>
      <c r="H16">
        <v>0</v>
      </c>
      <c r="I16">
        <v>10000</v>
      </c>
      <c r="J16" s="261">
        <f t="shared" si="4"/>
        <v>96.406697963003367</v>
      </c>
      <c r="K16" t="s">
        <v>683</v>
      </c>
    </row>
    <row r="17" spans="1:16" x14ac:dyDescent="0.35">
      <c r="A17" s="58" t="s">
        <v>684</v>
      </c>
      <c r="B17">
        <f>SUM(B18*B20, B21*B23,B24*B26,B27*B29,B30*B32,B33*B35)</f>
        <v>1621849297.7992048</v>
      </c>
      <c r="C17" s="30">
        <f>SUM(C18*C20, C21*C23,C24*C26,C27*C29,C30*C32,C33*C35)</f>
        <v>923901003.53158247</v>
      </c>
      <c r="D17" t="s">
        <v>685</v>
      </c>
      <c r="E17" s="59"/>
      <c r="F17" s="59"/>
      <c r="G17" s="59"/>
      <c r="H17" s="59"/>
      <c r="I17" s="59"/>
      <c r="J17" s="59"/>
    </row>
    <row r="18" spans="1:16" x14ac:dyDescent="0.35">
      <c r="A18" s="58" t="s">
        <v>686</v>
      </c>
      <c r="B18" s="53">
        <f>10^(4*B19+1)</f>
        <v>31.622776601683803</v>
      </c>
      <c r="C18" s="53">
        <f>10^(4*C19+1)</f>
        <v>31.622776601683803</v>
      </c>
      <c r="D18" s="59"/>
      <c r="E18" s="59"/>
      <c r="F18" s="59"/>
      <c r="G18" s="59"/>
      <c r="H18" s="59"/>
      <c r="I18" s="59"/>
      <c r="J18" s="59"/>
      <c r="K18" t="s">
        <v>687</v>
      </c>
    </row>
    <row r="19" spans="1:16" x14ac:dyDescent="0.35">
      <c r="A19" s="58" t="s">
        <v>688</v>
      </c>
      <c r="B19" s="60">
        <v>0.125</v>
      </c>
      <c r="C19" s="60">
        <v>0.125</v>
      </c>
      <c r="D19" s="59"/>
      <c r="E19" s="59"/>
      <c r="F19" s="59"/>
      <c r="G19" s="59"/>
      <c r="H19" s="59"/>
      <c r="I19" s="59"/>
      <c r="J19" s="59"/>
      <c r="K19" t="s">
        <v>689</v>
      </c>
      <c r="L19" t="s">
        <v>690</v>
      </c>
      <c r="M19" t="s">
        <v>691</v>
      </c>
      <c r="N19" t="s">
        <v>692</v>
      </c>
      <c r="O19" t="s">
        <v>693</v>
      </c>
    </row>
    <row r="20" spans="1:16" x14ac:dyDescent="0.35">
      <c r="A20" s="58" t="s">
        <v>694</v>
      </c>
      <c r="B20" s="42">
        <f>'EoL Material Flow Analysis'!J46</f>
        <v>1.14032205</v>
      </c>
      <c r="C20" s="44">
        <f>'EoL Material Flow Analysis'!J64</f>
        <v>2.534049E-2</v>
      </c>
      <c r="D20" s="59"/>
      <c r="E20" s="59"/>
      <c r="F20" s="59"/>
      <c r="G20" s="59"/>
      <c r="H20" s="59"/>
      <c r="I20" s="59"/>
      <c r="J20" s="59"/>
    </row>
    <row r="21" spans="1:16" x14ac:dyDescent="0.35">
      <c r="A21" s="66" t="s">
        <v>695</v>
      </c>
      <c r="B21" s="53">
        <f>10^(4*B22+1)</f>
        <v>3162.2776601683804</v>
      </c>
      <c r="C21" s="53">
        <f>10^(4*C22+1)</f>
        <v>3162.2776601683804</v>
      </c>
      <c r="D21" s="59"/>
      <c r="E21" s="59"/>
      <c r="F21" s="59"/>
      <c r="G21" s="59"/>
      <c r="H21" s="59"/>
      <c r="I21" s="59"/>
      <c r="J21" s="59"/>
      <c r="K21" t="s">
        <v>696</v>
      </c>
    </row>
    <row r="22" spans="1:16" x14ac:dyDescent="0.35">
      <c r="A22" s="66" t="s">
        <v>697</v>
      </c>
      <c r="B22" s="60">
        <v>0.625</v>
      </c>
      <c r="C22" s="60">
        <v>0.625</v>
      </c>
      <c r="D22" s="59"/>
      <c r="E22" s="59"/>
      <c r="F22" s="59"/>
      <c r="G22" s="59"/>
      <c r="H22" s="59"/>
      <c r="I22" s="59"/>
      <c r="J22" s="59"/>
      <c r="K22" t="s">
        <v>698</v>
      </c>
      <c r="L22" t="s">
        <v>690</v>
      </c>
      <c r="M22" t="s">
        <v>699</v>
      </c>
      <c r="N22" t="s">
        <v>700</v>
      </c>
      <c r="O22" t="s">
        <v>701</v>
      </c>
      <c r="P22" t="s">
        <v>702</v>
      </c>
    </row>
    <row r="23" spans="1:16" x14ac:dyDescent="0.35">
      <c r="A23" s="66" t="s">
        <v>703</v>
      </c>
      <c r="B23" s="30">
        <f>'EoL Material Flow Analysis'!AF39*0.34</f>
        <v>159.39948477751756</v>
      </c>
      <c r="C23">
        <f>'EoL Material Flow Analysis'!AF57*0.34</f>
        <v>143.57726966088774</v>
      </c>
      <c r="D23" s="59"/>
      <c r="E23" s="59"/>
      <c r="F23" s="59"/>
      <c r="G23" s="59"/>
      <c r="H23" s="59"/>
      <c r="I23" s="59"/>
      <c r="J23" s="59"/>
    </row>
    <row r="24" spans="1:16" x14ac:dyDescent="0.35">
      <c r="A24" s="58" t="s">
        <v>704</v>
      </c>
      <c r="B24">
        <f>10^(4*B25+1)</f>
        <v>10</v>
      </c>
      <c r="C24">
        <f>10^(4*C25+1)</f>
        <v>10</v>
      </c>
      <c r="D24" s="59"/>
      <c r="E24" s="59"/>
      <c r="F24" s="59"/>
      <c r="G24" s="59"/>
      <c r="H24" s="59"/>
      <c r="I24" s="59"/>
      <c r="J24" s="59"/>
    </row>
    <row r="25" spans="1:16" x14ac:dyDescent="0.35">
      <c r="A25" s="58" t="s">
        <v>705</v>
      </c>
      <c r="B25" s="60">
        <v>0</v>
      </c>
      <c r="C25" s="60">
        <v>0</v>
      </c>
      <c r="D25" s="59"/>
      <c r="E25" s="59"/>
      <c r="F25" s="59"/>
      <c r="G25" s="59"/>
      <c r="H25" s="59"/>
      <c r="I25" s="59"/>
      <c r="J25" s="59"/>
    </row>
    <row r="26" spans="1:16" x14ac:dyDescent="0.35">
      <c r="A26" s="58" t="s">
        <v>706</v>
      </c>
      <c r="B26">
        <v>0</v>
      </c>
      <c r="C26">
        <v>0</v>
      </c>
      <c r="D26" s="59"/>
      <c r="E26" s="59"/>
      <c r="F26" s="59"/>
      <c r="G26" s="59"/>
      <c r="H26" s="59"/>
      <c r="I26" s="59"/>
      <c r="J26" s="59"/>
      <c r="K26" t="s">
        <v>707</v>
      </c>
    </row>
    <row r="27" spans="1:16" x14ac:dyDescent="0.35">
      <c r="A27" s="66" t="s">
        <v>708</v>
      </c>
      <c r="B27">
        <v>0</v>
      </c>
      <c r="C27">
        <v>0</v>
      </c>
      <c r="D27" s="59"/>
      <c r="E27" s="59"/>
      <c r="F27" s="59"/>
      <c r="G27" s="59"/>
      <c r="H27" s="59"/>
      <c r="I27" s="59"/>
      <c r="J27" s="59"/>
    </row>
    <row r="28" spans="1:16" x14ac:dyDescent="0.35">
      <c r="A28" s="66" t="s">
        <v>709</v>
      </c>
      <c r="B28" s="60">
        <v>0</v>
      </c>
      <c r="C28" s="60">
        <v>0</v>
      </c>
      <c r="D28" s="59"/>
      <c r="E28" s="59"/>
      <c r="F28" s="59"/>
      <c r="G28" s="59"/>
      <c r="H28" s="59"/>
      <c r="I28" s="59"/>
      <c r="J28" s="59"/>
      <c r="K28" t="s">
        <v>710</v>
      </c>
    </row>
    <row r="29" spans="1:16" x14ac:dyDescent="0.35">
      <c r="A29" s="66" t="s">
        <v>711</v>
      </c>
      <c r="B29" s="53">
        <f>'EoL Material Flow Analysis'!AF39*(1-0.34)</f>
        <v>309.4225292740046</v>
      </c>
      <c r="C29">
        <f>'EoL Material Flow Analysis'!AF57*(1-0.34)</f>
        <v>278.70881757701733</v>
      </c>
      <c r="D29" s="59"/>
      <c r="E29" s="59"/>
      <c r="F29" s="59"/>
      <c r="G29" s="59"/>
      <c r="H29" s="59"/>
      <c r="I29" s="59"/>
      <c r="J29" s="59"/>
      <c r="K29" t="s">
        <v>712</v>
      </c>
    </row>
    <row r="30" spans="1:16" x14ac:dyDescent="0.35">
      <c r="A30" s="58" t="s">
        <v>713</v>
      </c>
      <c r="B30" s="53">
        <f>10^(4*B31+1)</f>
        <v>31.622776601683803</v>
      </c>
      <c r="C30" s="53">
        <f>10^(4*C31+1)</f>
        <v>31.622776601683803</v>
      </c>
      <c r="D30" s="59"/>
      <c r="E30" s="59"/>
      <c r="F30" s="59"/>
      <c r="G30" s="59"/>
      <c r="H30" s="59"/>
      <c r="I30" s="59"/>
      <c r="J30" s="59"/>
    </row>
    <row r="31" spans="1:16" x14ac:dyDescent="0.35">
      <c r="A31" s="58" t="s">
        <v>714</v>
      </c>
      <c r="B31" s="60">
        <v>0.125</v>
      </c>
      <c r="C31" s="60">
        <v>0.125</v>
      </c>
      <c r="D31" s="59"/>
      <c r="E31" s="59"/>
      <c r="F31" s="59"/>
      <c r="G31" s="59"/>
      <c r="H31" s="59"/>
      <c r="I31" s="59"/>
      <c r="J31" s="59"/>
      <c r="K31" t="s">
        <v>715</v>
      </c>
      <c r="L31" t="s">
        <v>716</v>
      </c>
      <c r="M31" t="s">
        <v>717</v>
      </c>
    </row>
    <row r="32" spans="1:16" x14ac:dyDescent="0.35">
      <c r="A32" s="58" t="s">
        <v>718</v>
      </c>
      <c r="B32" s="30">
        <f>'EoL Material Flow Analysis'!AF42</f>
        <v>34174.075009022192</v>
      </c>
      <c r="C32" s="30">
        <f>'EoL Material Flow Analysis'!AF60</f>
        <v>3797.6942370070606</v>
      </c>
      <c r="D32" s="59"/>
      <c r="E32" s="59"/>
      <c r="F32" s="59"/>
      <c r="G32" s="59"/>
      <c r="H32" s="59"/>
      <c r="I32" s="59"/>
      <c r="J32" s="59"/>
      <c r="K32" t="s">
        <v>719</v>
      </c>
    </row>
    <row r="33" spans="1:14" x14ac:dyDescent="0.35">
      <c r="A33" s="66" t="s">
        <v>720</v>
      </c>
      <c r="B33" s="42">
        <f>10^(4*B34+1)</f>
        <v>1414.6037526402727</v>
      </c>
      <c r="C33" s="42">
        <f>10^(4*C34+1)</f>
        <v>1414.6037526402727</v>
      </c>
      <c r="D33" s="59"/>
      <c r="E33" s="59"/>
      <c r="F33" s="59"/>
      <c r="G33" s="59"/>
      <c r="H33" s="59"/>
      <c r="I33" s="59"/>
      <c r="J33" s="59"/>
    </row>
    <row r="34" spans="1:14" x14ac:dyDescent="0.35">
      <c r="A34" s="66" t="s">
        <v>721</v>
      </c>
      <c r="B34" s="61">
        <f>-0.109*LN(689)+1.25</f>
        <v>0.53765870145951122</v>
      </c>
      <c r="C34" s="61">
        <f>-0.109*LN(689)+1.25</f>
        <v>0.53765870145951122</v>
      </c>
      <c r="D34" s="59"/>
      <c r="E34" s="59"/>
      <c r="F34" s="59"/>
      <c r="G34" s="59"/>
      <c r="H34" s="59"/>
      <c r="I34" s="59"/>
      <c r="J34" s="59"/>
      <c r="K34" t="s">
        <v>722</v>
      </c>
      <c r="L34" t="s">
        <v>452</v>
      </c>
      <c r="M34" t="s">
        <v>723</v>
      </c>
      <c r="N34" t="s">
        <v>724</v>
      </c>
    </row>
    <row r="35" spans="1:14" x14ac:dyDescent="0.35">
      <c r="A35" s="66" t="s">
        <v>725</v>
      </c>
      <c r="B35" s="30">
        <f>'EoL Material Flow Analysis'!AJ45</f>
        <v>1145384.0088756979</v>
      </c>
      <c r="C35" s="30">
        <f>'EoL Material Flow Analysis'!AJ63</f>
        <v>652710.60972240241</v>
      </c>
      <c r="D35" s="59"/>
      <c r="E35" s="59"/>
      <c r="F35" s="59"/>
      <c r="G35" s="59"/>
      <c r="H35" s="59"/>
      <c r="I35" s="59"/>
      <c r="J35" s="59"/>
      <c r="K35" t="s">
        <v>726</v>
      </c>
    </row>
    <row r="36" spans="1:14" x14ac:dyDescent="0.35">
      <c r="A36" s="52" t="s">
        <v>727</v>
      </c>
      <c r="B36" s="53">
        <f>(B37*B38+B39*B40+B41*B42+B43*B44+B45*B46+B47*B48)/('EoL Material Flow Analysis'!AC46-'EoL Material Flow Analysis'!AD46)</f>
        <v>221.3187711811286</v>
      </c>
      <c r="C36" s="53">
        <f>(C37*C38+C39*C40+C41*C42+C43*C44+C45*C46+C47*C48)/('EoL Material Flow Analysis'!AC64-'EoL Material Flow Analysis'!AD64)</f>
        <v>54.861105697308638</v>
      </c>
      <c r="D36" t="s">
        <v>728</v>
      </c>
      <c r="E36">
        <v>0</v>
      </c>
      <c r="F36" s="68">
        <f>(B37*500+B39*500+B41*500+B43*500+B45*500+B47*500)/('EoL Material Flow Analysis'!AC46-'EoL Material Flow Analysis'!AD46)</f>
        <v>339.97874453563685</v>
      </c>
      <c r="G36" s="53">
        <f t="shared" ref="G36" si="5">(B36-F36)/(E36-F36)*100</f>
        <v>34.90217410990828</v>
      </c>
      <c r="H36" s="53">
        <v>0</v>
      </c>
      <c r="I36" s="53">
        <f>(C37*500+C39*500+C41*500+C43*500+C45*500+C47*500)/('EoL Material Flow Analysis'!AC64-'EoL Material Flow Analysis'!AD64)</f>
        <v>164.77002168297602</v>
      </c>
      <c r="J36" s="261">
        <f t="shared" ref="J36" si="6">(C36-I36)/(H36-I36)*100</f>
        <v>66.704437411033695</v>
      </c>
    </row>
    <row r="37" spans="1:14" x14ac:dyDescent="0.35">
      <c r="A37" s="58" t="s">
        <v>729</v>
      </c>
      <c r="B37" s="30">
        <f>'EoL Material Flow Analysis'!J36+'EoL Material Flow Analysis'!M36+'EoL Material Flow Analysis'!AF36</f>
        <v>3369.1577438294999</v>
      </c>
      <c r="C37" s="30">
        <f>'EoL Material Flow Analysis'!J54+'EoL Material Flow Analysis'!M54+'EoL Material Flow Analysis'!AF54</f>
        <v>3110.3098870850999</v>
      </c>
      <c r="D37" s="59"/>
      <c r="E37" s="59"/>
      <c r="F37" s="59"/>
      <c r="G37" s="59"/>
      <c r="H37" s="59"/>
      <c r="I37" s="59"/>
      <c r="J37" s="59"/>
    </row>
    <row r="38" spans="1:14" x14ac:dyDescent="0.35">
      <c r="A38" s="58" t="s">
        <v>730</v>
      </c>
      <c r="B38">
        <v>1000</v>
      </c>
      <c r="C38" s="30">
        <f t="shared" si="2"/>
        <v>1000</v>
      </c>
      <c r="D38" s="59"/>
      <c r="E38" s="59"/>
      <c r="F38" s="59"/>
      <c r="G38" s="59"/>
      <c r="H38" s="59"/>
      <c r="I38" s="59"/>
      <c r="J38" s="59"/>
    </row>
    <row r="39" spans="1:14" x14ac:dyDescent="0.35">
      <c r="A39" s="58" t="s">
        <v>731</v>
      </c>
      <c r="B39" s="30">
        <f>'EoL Material Flow Analysis'!AF42+'EoL Material Flow Analysis'!AJ42</f>
        <v>99104.817526164348</v>
      </c>
      <c r="C39" s="30">
        <f>'EoL Material Flow Analysis'!AF60+'EoL Material Flow Analysis'!AJ60</f>
        <v>3797.6942370070606</v>
      </c>
      <c r="D39" s="59"/>
      <c r="E39" s="59"/>
      <c r="F39" s="59"/>
      <c r="G39" s="59"/>
      <c r="H39" s="59"/>
      <c r="I39" s="59"/>
      <c r="J39" s="59"/>
    </row>
    <row r="40" spans="1:14" x14ac:dyDescent="0.35">
      <c r="A40" s="58" t="s">
        <v>732</v>
      </c>
      <c r="B40">
        <v>900</v>
      </c>
      <c r="C40" s="30">
        <f t="shared" si="2"/>
        <v>900</v>
      </c>
      <c r="D40" s="59"/>
      <c r="E40" s="59"/>
      <c r="F40" s="59"/>
      <c r="G40" s="59"/>
      <c r="H40" s="59"/>
      <c r="I40" s="59"/>
      <c r="J40" s="59"/>
    </row>
    <row r="41" spans="1:14" x14ac:dyDescent="0.35">
      <c r="A41" s="58" t="s">
        <v>733</v>
      </c>
      <c r="B41" s="30">
        <f>'EoL Material Flow Analysis'!AJ43</f>
        <v>387306.18343558483</v>
      </c>
      <c r="C41" s="30">
        <f>'EoL Material Flow Analysis'!AJ61</f>
        <v>43040.534686080013</v>
      </c>
      <c r="D41" s="59"/>
      <c r="E41" s="59"/>
      <c r="F41" s="59"/>
      <c r="G41" s="59"/>
      <c r="H41" s="59"/>
      <c r="I41" s="59"/>
      <c r="J41" s="59"/>
    </row>
    <row r="42" spans="1:14" x14ac:dyDescent="0.35">
      <c r="A42" s="58" t="s">
        <v>734</v>
      </c>
      <c r="B42">
        <v>900</v>
      </c>
      <c r="C42" s="30">
        <v>900</v>
      </c>
      <c r="D42" s="59"/>
      <c r="E42" s="59"/>
      <c r="F42" s="59"/>
      <c r="G42" s="59"/>
      <c r="H42" s="59"/>
      <c r="I42" s="59"/>
      <c r="J42" s="59"/>
    </row>
    <row r="43" spans="1:14" x14ac:dyDescent="0.35">
      <c r="A43" s="58" t="s">
        <v>735</v>
      </c>
      <c r="B43" s="30">
        <f>'EoL Material Flow Analysis'!AD46</f>
        <v>27797.539110070258</v>
      </c>
      <c r="C43" s="30">
        <f>'EoL Material Flow Analysis'!AD64</f>
        <v>25971.469341903918</v>
      </c>
      <c r="D43" s="59"/>
      <c r="E43" s="59"/>
      <c r="F43" s="59"/>
      <c r="G43" s="59"/>
      <c r="H43" s="59"/>
      <c r="I43" s="59"/>
      <c r="J43" s="59"/>
    </row>
    <row r="44" spans="1:14" x14ac:dyDescent="0.35">
      <c r="A44" s="58" t="s">
        <v>736</v>
      </c>
      <c r="B44">
        <v>10</v>
      </c>
      <c r="C44" s="30">
        <v>10</v>
      </c>
      <c r="D44" s="59"/>
      <c r="E44" s="59"/>
      <c r="F44" s="59"/>
      <c r="G44" s="59"/>
      <c r="H44" s="59"/>
      <c r="I44" s="59"/>
      <c r="J44" s="59"/>
    </row>
    <row r="45" spans="1:14" x14ac:dyDescent="0.35">
      <c r="A45" s="58" t="s">
        <v>737</v>
      </c>
      <c r="B45" s="30">
        <f>'EoL Material Flow Analysis'!AJ45</f>
        <v>1145384.0088756979</v>
      </c>
      <c r="C45" s="30">
        <f>'EoL Material Flow Analysis'!AJ63</f>
        <v>652710.60972240241</v>
      </c>
      <c r="D45" s="59"/>
      <c r="E45" s="59"/>
      <c r="F45" s="59"/>
      <c r="G45" s="59"/>
      <c r="H45" s="59"/>
      <c r="I45" s="59"/>
      <c r="J45" s="59"/>
    </row>
    <row r="46" spans="1:14" x14ac:dyDescent="0.35">
      <c r="A46" s="58" t="s">
        <v>738</v>
      </c>
      <c r="B46">
        <v>10</v>
      </c>
      <c r="C46" s="30">
        <v>10</v>
      </c>
      <c r="D46" s="59"/>
      <c r="E46" s="59"/>
      <c r="F46" s="59"/>
      <c r="G46" s="59"/>
      <c r="H46" s="59"/>
      <c r="I46" s="59"/>
      <c r="J46" s="59"/>
    </row>
    <row r="47" spans="1:14" x14ac:dyDescent="0.35">
      <c r="A47" s="58" t="s">
        <v>739</v>
      </c>
      <c r="B47" s="30">
        <f>'EoL Material Flow Analysis'!AJ44</f>
        <v>208251.6379773996</v>
      </c>
      <c r="C47" s="30">
        <f>'EoL Material Flow Analysis'!AJ62</f>
        <v>118674.65631316407</v>
      </c>
      <c r="D47" s="59"/>
      <c r="E47" s="59"/>
      <c r="F47" s="59"/>
      <c r="G47" s="59"/>
      <c r="H47" s="59"/>
      <c r="I47" s="59"/>
      <c r="J47" s="59"/>
    </row>
    <row r="48" spans="1:14" x14ac:dyDescent="0.35">
      <c r="A48" s="58" t="s">
        <v>740</v>
      </c>
      <c r="B48">
        <v>750</v>
      </c>
      <c r="C48" s="30">
        <f t="shared" si="2"/>
        <v>750</v>
      </c>
      <c r="D48" s="59"/>
      <c r="E48" s="59"/>
      <c r="F48" s="59"/>
      <c r="G48" s="59"/>
      <c r="H48" s="59"/>
      <c r="I48" s="59"/>
      <c r="J48" s="59"/>
    </row>
    <row r="49" spans="1:16" x14ac:dyDescent="0.35">
      <c r="A49" s="52" t="s">
        <v>741</v>
      </c>
      <c r="B49" s="30">
        <f>B50/('EoL Material Flow Analysis'!AC46-'EoL Material Flow Analysis'!AD46)</f>
        <v>416212.94159269508</v>
      </c>
      <c r="C49" s="30">
        <f>C50/('EoL Material Flow Analysis'!AC64-'EoL Material Flow Analysis'!AD64)</f>
        <v>253859.12393076086</v>
      </c>
      <c r="D49" t="s">
        <v>682</v>
      </c>
      <c r="E49">
        <v>0</v>
      </c>
      <c r="F49">
        <v>10000000</v>
      </c>
      <c r="G49" s="53">
        <f t="shared" ref="G49" si="7">(B49-F49)/(E49-F49)*100</f>
        <v>95.837870584073045</v>
      </c>
      <c r="H49">
        <v>0</v>
      </c>
      <c r="I49">
        <v>10000000</v>
      </c>
      <c r="J49" s="261">
        <f>IF((C49-I49)/(H49-I49)*100&gt;100,100, (C49-I49)/(H49-I49)*100)</f>
        <v>97.461408760692379</v>
      </c>
    </row>
    <row r="50" spans="1:16" x14ac:dyDescent="0.35">
      <c r="A50" s="58" t="s">
        <v>684</v>
      </c>
      <c r="B50">
        <f>SUM(B51*B53, B54*B56,B57*B59,B60*B62,B63*B65,B66*B68)</f>
        <v>1145399856681.9927</v>
      </c>
      <c r="C50">
        <f>SUM(C51*C53, C54*C56,C57*C59,C60*C62,C63*C65,C66*C68)</f>
        <v>652716350978.70398</v>
      </c>
      <c r="D50" t="s">
        <v>685</v>
      </c>
      <c r="E50" s="59"/>
      <c r="F50" s="59"/>
      <c r="G50" s="59"/>
      <c r="H50" s="59"/>
      <c r="I50" s="59"/>
      <c r="J50" s="59"/>
    </row>
    <row r="51" spans="1:16" x14ac:dyDescent="0.35">
      <c r="A51" s="58" t="s">
        <v>686</v>
      </c>
      <c r="B51" s="53">
        <f>10^(5*B52+2)</f>
        <v>316.22776601683825</v>
      </c>
      <c r="C51" s="30">
        <f t="shared" si="2"/>
        <v>316.22776601683825</v>
      </c>
      <c r="D51" s="59"/>
      <c r="E51" s="59"/>
      <c r="F51" s="59"/>
      <c r="G51" s="59"/>
      <c r="H51" s="59"/>
      <c r="I51" s="59"/>
      <c r="J51" s="59"/>
      <c r="K51" t="s">
        <v>742</v>
      </c>
    </row>
    <row r="52" spans="1:16" x14ac:dyDescent="0.35">
      <c r="A52" s="58" t="s">
        <v>688</v>
      </c>
      <c r="B52" s="60">
        <v>0.1</v>
      </c>
      <c r="C52" s="30">
        <f t="shared" si="2"/>
        <v>0.1</v>
      </c>
      <c r="D52" s="59"/>
      <c r="E52" s="59"/>
      <c r="F52" s="59"/>
      <c r="G52" s="59"/>
      <c r="H52" s="59"/>
      <c r="I52" s="59"/>
      <c r="J52" s="59"/>
      <c r="K52" t="s">
        <v>689</v>
      </c>
      <c r="L52" t="s">
        <v>690</v>
      </c>
      <c r="M52" s="8" t="s">
        <v>691</v>
      </c>
      <c r="N52" t="s">
        <v>692</v>
      </c>
      <c r="O52" t="s">
        <v>693</v>
      </c>
    </row>
    <row r="53" spans="1:16" x14ac:dyDescent="0.35">
      <c r="A53" s="58" t="s">
        <v>694</v>
      </c>
      <c r="B53" s="42">
        <f>B20</f>
        <v>1.14032205</v>
      </c>
      <c r="C53" s="43">
        <f>C20</f>
        <v>2.534049E-2</v>
      </c>
      <c r="D53" s="59"/>
      <c r="E53" s="59"/>
      <c r="F53" s="59"/>
      <c r="G53" s="59"/>
      <c r="H53" s="59"/>
      <c r="I53" s="59"/>
      <c r="J53" s="59"/>
    </row>
    <row r="54" spans="1:16" x14ac:dyDescent="0.35">
      <c r="A54" s="66" t="s">
        <v>695</v>
      </c>
      <c r="B54" s="53">
        <f>10^(5*B55+2)</f>
        <v>31622.77660168384</v>
      </c>
      <c r="C54" s="30">
        <f t="shared" si="2"/>
        <v>31622.77660168384</v>
      </c>
      <c r="D54" s="59"/>
      <c r="E54" s="59"/>
      <c r="F54" s="59"/>
      <c r="G54" s="59"/>
      <c r="H54" s="59"/>
      <c r="I54" s="59"/>
      <c r="J54" s="59"/>
      <c r="K54" t="s">
        <v>696</v>
      </c>
    </row>
    <row r="55" spans="1:16" x14ac:dyDescent="0.35">
      <c r="A55" s="66" t="s">
        <v>697</v>
      </c>
      <c r="B55" s="60">
        <v>0.5</v>
      </c>
      <c r="C55" s="30">
        <f t="shared" si="2"/>
        <v>0.5</v>
      </c>
      <c r="D55" s="59"/>
      <c r="E55" s="59"/>
      <c r="F55" s="59"/>
      <c r="G55" s="59"/>
      <c r="H55" s="59"/>
      <c r="I55" s="59"/>
      <c r="J55" s="59"/>
      <c r="K55" t="s">
        <v>698</v>
      </c>
      <c r="L55" t="s">
        <v>690</v>
      </c>
      <c r="M55" t="s">
        <v>699</v>
      </c>
      <c r="N55" t="s">
        <v>700</v>
      </c>
      <c r="O55" t="s">
        <v>701</v>
      </c>
      <c r="P55" t="s">
        <v>702</v>
      </c>
    </row>
    <row r="56" spans="1:16" x14ac:dyDescent="0.35">
      <c r="A56" s="66" t="s">
        <v>703</v>
      </c>
      <c r="B56" s="30">
        <f>B23</f>
        <v>159.39948477751756</v>
      </c>
      <c r="C56" s="30">
        <f>C23</f>
        <v>143.57726966088774</v>
      </c>
      <c r="D56" s="59"/>
      <c r="E56" s="59"/>
      <c r="F56" s="59"/>
      <c r="G56" s="59"/>
      <c r="H56" s="59"/>
      <c r="I56" s="59"/>
      <c r="J56" s="59"/>
    </row>
    <row r="57" spans="1:16" x14ac:dyDescent="0.35">
      <c r="A57" s="58" t="s">
        <v>704</v>
      </c>
      <c r="B57" s="53">
        <v>0</v>
      </c>
      <c r="C57" s="30">
        <f t="shared" si="2"/>
        <v>0</v>
      </c>
      <c r="D57" s="59"/>
      <c r="E57" s="59"/>
      <c r="F57" s="59"/>
      <c r="G57" s="59"/>
      <c r="H57" s="59"/>
      <c r="I57" s="59"/>
      <c r="J57" s="59"/>
    </row>
    <row r="58" spans="1:16" x14ac:dyDescent="0.35">
      <c r="A58" s="58" t="s">
        <v>705</v>
      </c>
      <c r="B58" s="60">
        <v>0</v>
      </c>
      <c r="C58" s="30">
        <f t="shared" si="2"/>
        <v>0</v>
      </c>
      <c r="D58" s="59"/>
      <c r="E58" s="59"/>
      <c r="F58" s="59"/>
      <c r="G58" s="59"/>
      <c r="H58" s="59"/>
      <c r="I58" s="59"/>
      <c r="J58" s="59"/>
    </row>
    <row r="59" spans="1:16" x14ac:dyDescent="0.35">
      <c r="A59" s="58" t="s">
        <v>706</v>
      </c>
      <c r="B59">
        <v>0</v>
      </c>
      <c r="C59" s="30">
        <f t="shared" si="2"/>
        <v>0</v>
      </c>
      <c r="D59" s="59"/>
      <c r="E59" s="59"/>
      <c r="F59" s="59"/>
      <c r="G59" s="59"/>
      <c r="H59" s="59"/>
      <c r="I59" s="59"/>
      <c r="J59" s="59"/>
      <c r="K59" t="s">
        <v>707</v>
      </c>
    </row>
    <row r="60" spans="1:16" x14ac:dyDescent="0.35">
      <c r="A60" s="66" t="s">
        <v>708</v>
      </c>
      <c r="B60" s="53">
        <v>0</v>
      </c>
      <c r="C60" s="30">
        <f t="shared" si="2"/>
        <v>0</v>
      </c>
      <c r="D60" s="59"/>
      <c r="E60" s="59"/>
      <c r="F60" s="59"/>
      <c r="G60" s="59"/>
      <c r="H60" s="59"/>
      <c r="I60" s="59"/>
      <c r="J60" s="59"/>
    </row>
    <row r="61" spans="1:16" x14ac:dyDescent="0.35">
      <c r="A61" s="66" t="s">
        <v>709</v>
      </c>
      <c r="B61" s="60">
        <v>0</v>
      </c>
      <c r="C61" s="30">
        <f t="shared" si="2"/>
        <v>0</v>
      </c>
      <c r="D61" s="59"/>
      <c r="E61" s="59"/>
      <c r="F61" s="59"/>
      <c r="G61" s="59"/>
      <c r="H61" s="59"/>
      <c r="I61" s="59"/>
      <c r="J61" s="59"/>
      <c r="K61" t="s">
        <v>710</v>
      </c>
    </row>
    <row r="62" spans="1:16" x14ac:dyDescent="0.35">
      <c r="A62" s="66" t="s">
        <v>711</v>
      </c>
      <c r="B62" s="53">
        <f>B29</f>
        <v>309.4225292740046</v>
      </c>
      <c r="C62" s="53">
        <f>C29</f>
        <v>278.70881757701733</v>
      </c>
      <c r="D62" s="59"/>
      <c r="E62" s="59"/>
      <c r="F62" s="59"/>
      <c r="G62" s="59"/>
      <c r="H62" s="59"/>
      <c r="I62" s="59"/>
      <c r="J62" s="59"/>
      <c r="K62" t="s">
        <v>712</v>
      </c>
    </row>
    <row r="63" spans="1:16" x14ac:dyDescent="0.35">
      <c r="A63" s="58" t="s">
        <v>713</v>
      </c>
      <c r="B63" s="53">
        <f>10^(5*B64+2)</f>
        <v>316.22776601683825</v>
      </c>
      <c r="C63" s="30">
        <f t="shared" si="2"/>
        <v>316.22776601683825</v>
      </c>
      <c r="D63" s="59"/>
      <c r="E63" s="59"/>
      <c r="F63" s="59"/>
      <c r="G63" s="59"/>
      <c r="H63" s="59"/>
      <c r="I63" s="59"/>
      <c r="J63" s="59"/>
    </row>
    <row r="64" spans="1:16" x14ac:dyDescent="0.35">
      <c r="A64" s="58" t="s">
        <v>714</v>
      </c>
      <c r="B64" s="60">
        <v>0.1</v>
      </c>
      <c r="C64" s="30">
        <f t="shared" si="2"/>
        <v>0.1</v>
      </c>
      <c r="D64" s="59"/>
      <c r="E64" s="59"/>
      <c r="F64" s="59"/>
      <c r="G64" s="59"/>
      <c r="H64" s="59"/>
      <c r="I64" s="59"/>
      <c r="J64" s="59"/>
      <c r="K64" t="s">
        <v>715</v>
      </c>
      <c r="L64" t="s">
        <v>716</v>
      </c>
      <c r="M64" t="s">
        <v>717</v>
      </c>
    </row>
    <row r="65" spans="1:15" x14ac:dyDescent="0.35">
      <c r="A65" s="58" t="s">
        <v>718</v>
      </c>
      <c r="B65" s="30">
        <f>B32</f>
        <v>34174.075009022192</v>
      </c>
      <c r="C65" s="30">
        <f>C32</f>
        <v>3797.6942370070606</v>
      </c>
      <c r="D65" s="59"/>
      <c r="E65" s="59"/>
      <c r="F65" s="59"/>
      <c r="G65" s="59"/>
      <c r="H65" s="59"/>
      <c r="I65" s="59"/>
      <c r="J65" s="59"/>
      <c r="K65" t="s">
        <v>719</v>
      </c>
    </row>
    <row r="66" spans="1:15" x14ac:dyDescent="0.35">
      <c r="A66" s="66" t="s">
        <v>720</v>
      </c>
      <c r="B66" s="53">
        <f>10^(5*B67+2)</f>
        <v>1000000</v>
      </c>
      <c r="C66" s="30">
        <f t="shared" si="2"/>
        <v>1000000</v>
      </c>
      <c r="D66" s="59"/>
      <c r="E66" s="59"/>
      <c r="F66" s="59"/>
      <c r="G66" s="59"/>
      <c r="H66" s="59"/>
      <c r="I66" s="59"/>
      <c r="J66" s="59"/>
    </row>
    <row r="67" spans="1:15" x14ac:dyDescent="0.35">
      <c r="A67" s="66" t="s">
        <v>721</v>
      </c>
      <c r="B67" s="61">
        <f>-0.087*LN(1)+0.8</f>
        <v>0.8</v>
      </c>
      <c r="C67" s="30">
        <f t="shared" si="2"/>
        <v>0.8</v>
      </c>
      <c r="D67" s="59"/>
      <c r="E67" s="59"/>
      <c r="F67" s="59"/>
      <c r="G67" s="59"/>
      <c r="H67" s="59"/>
      <c r="I67" s="59"/>
      <c r="J67" s="59"/>
      <c r="K67" t="s">
        <v>743</v>
      </c>
      <c r="L67" t="s">
        <v>452</v>
      </c>
      <c r="M67" t="s">
        <v>723</v>
      </c>
      <c r="N67" t="s">
        <v>724</v>
      </c>
    </row>
    <row r="68" spans="1:15" x14ac:dyDescent="0.35">
      <c r="A68" s="66" t="s">
        <v>725</v>
      </c>
      <c r="B68" s="30">
        <f>B35</f>
        <v>1145384.0088756979</v>
      </c>
      <c r="C68" s="30">
        <f>C35</f>
        <v>652710.60972240241</v>
      </c>
      <c r="D68" s="59"/>
      <c r="E68" s="59"/>
      <c r="F68" s="59"/>
      <c r="G68" s="59"/>
      <c r="H68" s="59"/>
      <c r="I68" s="59"/>
      <c r="J68" s="59"/>
      <c r="K68" t="s">
        <v>726</v>
      </c>
    </row>
    <row r="69" spans="1:15" x14ac:dyDescent="0.35">
      <c r="A69" s="52" t="s">
        <v>744</v>
      </c>
      <c r="B69" s="30">
        <f>B70/('EoL Material Flow Analysis'!AC46-'EoL Material Flow Analysis'!AD46)</f>
        <v>12163.052946035883</v>
      </c>
      <c r="C69" s="30">
        <f>C70/('EoL Material Flow Analysis'!AC64-'EoL Material Flow Analysis'!AD64)</f>
        <v>9104.5193189765778</v>
      </c>
      <c r="D69" t="s">
        <v>745</v>
      </c>
      <c r="E69">
        <v>0</v>
      </c>
      <c r="F69">
        <v>100000</v>
      </c>
      <c r="G69" s="53">
        <f t="shared" ref="G69" si="8">(B69-F69)/(E69-F69)*100</f>
        <v>87.836947053964124</v>
      </c>
      <c r="H69">
        <v>0</v>
      </c>
      <c r="I69">
        <v>100000</v>
      </c>
      <c r="J69" s="261">
        <f t="shared" ref="J69" si="9">(C69-I69)/(H69-I69)*100</f>
        <v>90.895480681023415</v>
      </c>
    </row>
    <row r="70" spans="1:15" x14ac:dyDescent="0.35">
      <c r="A70" s="58" t="s">
        <v>746</v>
      </c>
      <c r="B70">
        <f>SUM(B71*B73, B74*B76,B77*B79,B80*B82,B83*B85,B86*B88)</f>
        <v>33472191056.563484</v>
      </c>
      <c r="C70">
        <f>SUM(C71*C73, C74*C76,C77*C79,C80*C82,C83*C85,C86*C88)</f>
        <v>23409316692.191643</v>
      </c>
      <c r="D70" t="s">
        <v>747</v>
      </c>
      <c r="E70" s="59"/>
      <c r="F70" s="59"/>
      <c r="G70" s="59"/>
      <c r="H70" s="59"/>
      <c r="I70" s="59"/>
      <c r="J70" s="59"/>
      <c r="K70" t="s">
        <v>748</v>
      </c>
    </row>
    <row r="71" spans="1:15" x14ac:dyDescent="0.35">
      <c r="A71" s="58" t="s">
        <v>686</v>
      </c>
      <c r="B71" s="53">
        <f>10^(4*B72+1)</f>
        <v>31622.77660168384</v>
      </c>
      <c r="C71" s="53">
        <f>10^(4*C72+1)</f>
        <v>31622.77660168384</v>
      </c>
      <c r="D71" s="59"/>
      <c r="E71" s="59"/>
      <c r="F71" s="59"/>
      <c r="G71" s="59"/>
      <c r="H71" s="59"/>
      <c r="I71" s="59"/>
      <c r="J71" s="59"/>
    </row>
    <row r="72" spans="1:15" x14ac:dyDescent="0.35">
      <c r="A72" s="58" t="s">
        <v>688</v>
      </c>
      <c r="B72" s="60">
        <v>0.875</v>
      </c>
      <c r="C72" s="60">
        <v>0.875</v>
      </c>
      <c r="D72" s="59"/>
      <c r="E72" s="59"/>
      <c r="F72" s="59"/>
      <c r="G72" s="59"/>
      <c r="H72" s="59"/>
      <c r="I72" s="59"/>
      <c r="J72" s="59"/>
      <c r="K72" t="s">
        <v>749</v>
      </c>
      <c r="N72" t="s">
        <v>692</v>
      </c>
      <c r="O72" t="s">
        <v>693</v>
      </c>
    </row>
    <row r="73" spans="1:15" x14ac:dyDescent="0.35">
      <c r="A73" s="58" t="s">
        <v>694</v>
      </c>
      <c r="B73" s="30">
        <f>'EoL Material Flow Analysis'!M36+'EoL Material Flow Analysis'!AF36</f>
        <v>3368.0174217795002</v>
      </c>
      <c r="C73" s="30">
        <f>'EoL Material Flow Analysis'!M54+'EoL Material Flow Analysis'!AF54</f>
        <v>3110.2845465951</v>
      </c>
      <c r="D73" s="59"/>
      <c r="E73" s="59"/>
      <c r="F73" s="59"/>
      <c r="G73" s="59"/>
      <c r="H73" s="59"/>
      <c r="I73" s="59"/>
      <c r="J73" s="59"/>
    </row>
    <row r="74" spans="1:15" x14ac:dyDescent="0.35">
      <c r="A74" s="66" t="s">
        <v>695</v>
      </c>
      <c r="B74" s="53">
        <f>10^(4*B75+1)</f>
        <v>100908.34899332997</v>
      </c>
      <c r="C74" s="53">
        <f>10^(4*C75+1)</f>
        <v>100908.34899332997</v>
      </c>
      <c r="D74" s="59"/>
      <c r="E74" s="59"/>
      <c r="F74" s="59"/>
      <c r="G74" s="59"/>
      <c r="H74" s="59"/>
      <c r="I74" s="59"/>
      <c r="J74" s="59"/>
    </row>
    <row r="75" spans="1:15" x14ac:dyDescent="0.35">
      <c r="A75" s="66" t="s">
        <v>697</v>
      </c>
      <c r="B75" s="62">
        <f>-0.109*LN(0.1)+0.75</f>
        <v>1.000981775136351</v>
      </c>
      <c r="C75" s="62">
        <f>-0.109*LN(0.1)+0.75</f>
        <v>1.000981775136351</v>
      </c>
      <c r="D75" s="59"/>
      <c r="E75" s="59"/>
      <c r="F75" s="59"/>
      <c r="G75" s="59"/>
      <c r="H75" s="59"/>
      <c r="I75" s="59"/>
      <c r="J75" s="59"/>
      <c r="K75" t="s">
        <v>750</v>
      </c>
      <c r="L75" t="s">
        <v>716</v>
      </c>
      <c r="M75" t="s">
        <v>751</v>
      </c>
    </row>
    <row r="76" spans="1:15" x14ac:dyDescent="0.35">
      <c r="A76" s="66" t="s">
        <v>703</v>
      </c>
      <c r="B76" s="30">
        <f>0.586*(SUM('EoL Material Flow Analysis'!AD39:AD41))+0.126*((SUM('EoL Material Flow Analysis'!Z40:Z41)+SUM('EoL Material Flow Analysis'!AF39:AF41)+SUM('EoL Material Flow Analysis'!AJ39:AJ41)))</f>
        <v>117239.25796440282</v>
      </c>
      <c r="C76" s="30">
        <f>0.586*(SUM('EoL Material Flow Analysis'!AD57:AD59))+0.126*((SUM('EoL Material Flow Analysis'!Z58:Z59)+SUM('EoL Material Flow Analysis'!AF57:AF59)+SUM('EoL Material Flow Analysis'!AJ57:AJ59)))</f>
        <v>109566.8916680087</v>
      </c>
      <c r="D76" s="59"/>
      <c r="E76" s="59"/>
      <c r="F76" s="59"/>
      <c r="G76" s="59"/>
      <c r="H76" s="59"/>
      <c r="I76" s="59"/>
      <c r="J76" s="59"/>
      <c r="K76" s="63" t="s">
        <v>752</v>
      </c>
    </row>
    <row r="77" spans="1:15" x14ac:dyDescent="0.35">
      <c r="A77" s="58" t="s">
        <v>704</v>
      </c>
      <c r="B77" s="53">
        <f>10^(4*B78+1)</f>
        <v>9087.5070670878922</v>
      </c>
      <c r="C77" s="53">
        <f>10^(4*C78+1)</f>
        <v>9087.5070670878922</v>
      </c>
      <c r="D77" s="59"/>
      <c r="E77" s="59"/>
      <c r="F77" s="59"/>
      <c r="G77" s="59"/>
      <c r="H77" s="59"/>
      <c r="I77" s="59"/>
      <c r="J77" s="59"/>
    </row>
    <row r="78" spans="1:15" x14ac:dyDescent="0.35">
      <c r="A78" s="58" t="s">
        <v>705</v>
      </c>
      <c r="B78" s="64">
        <f>-0.109*LN(1.1)+0.75</f>
        <v>0.73961119040132861</v>
      </c>
      <c r="C78" s="64">
        <f>-0.109*LN(1.1)+0.75</f>
        <v>0.73961119040132861</v>
      </c>
      <c r="D78" s="59"/>
      <c r="E78" s="59"/>
      <c r="F78" s="59"/>
      <c r="G78" s="59"/>
      <c r="H78" s="59"/>
      <c r="I78" s="59"/>
      <c r="J78" s="59"/>
      <c r="K78" t="s">
        <v>753</v>
      </c>
      <c r="L78" t="s">
        <v>716</v>
      </c>
      <c r="M78" s="8" t="s">
        <v>754</v>
      </c>
    </row>
    <row r="79" spans="1:15" x14ac:dyDescent="0.35">
      <c r="A79" s="58" t="s">
        <v>706</v>
      </c>
      <c r="B79" s="30">
        <f>0.209*(SUM('EoL Material Flow Analysis'!AD39:AD41))+0.045*((SUM('EoL Material Flow Analysis'!Z40:Z41)+SUM('EoL Material Flow Analysis'!AF39:AF41)+SUM('EoL Material Flow Analysis'!AJ39:AJ41)))</f>
        <v>41863.221404683849</v>
      </c>
      <c r="C79" s="30">
        <f>0.209*(SUM('EoL Material Flow Analysis'!AD57:AD59))+0.045*((SUM('EoL Material Flow Analysis'!Z58:Z59)+SUM('EoL Material Flow Analysis'!AF57:AF59)+SUM('EoL Material Flow Analysis'!AJ57:AJ59)))</f>
        <v>39123.612318762564</v>
      </c>
      <c r="D79" s="59"/>
      <c r="E79" s="59"/>
      <c r="F79" s="59"/>
      <c r="G79" s="59"/>
      <c r="H79" s="59"/>
      <c r="I79" s="59"/>
      <c r="J79" s="59"/>
      <c r="K79" t="s">
        <v>755</v>
      </c>
    </row>
    <row r="80" spans="1:15" x14ac:dyDescent="0.35">
      <c r="A80" s="66" t="s">
        <v>708</v>
      </c>
      <c r="B80" s="53">
        <v>0</v>
      </c>
      <c r="C80" s="53">
        <v>0</v>
      </c>
      <c r="D80" s="59"/>
      <c r="E80" s="59"/>
      <c r="F80" s="59"/>
      <c r="G80" s="59"/>
      <c r="H80" s="59"/>
      <c r="I80" s="59"/>
      <c r="J80" s="59"/>
    </row>
    <row r="81" spans="1:15" x14ac:dyDescent="0.35">
      <c r="A81" s="66" t="s">
        <v>709</v>
      </c>
      <c r="B81" s="60">
        <v>0</v>
      </c>
      <c r="C81" s="60">
        <v>0</v>
      </c>
      <c r="D81" s="59"/>
      <c r="E81" s="59"/>
      <c r="F81" s="59"/>
      <c r="G81" s="59"/>
      <c r="H81" s="59"/>
      <c r="I81" s="59"/>
      <c r="J81" s="59"/>
      <c r="K81" t="s">
        <v>756</v>
      </c>
    </row>
    <row r="82" spans="1:15" x14ac:dyDescent="0.35">
      <c r="A82" s="66" t="s">
        <v>711</v>
      </c>
      <c r="B82">
        <f>0.205*(SUM('EoL Material Flow Analysis'!AD39:AD41))+0.044*((SUM('EoL Material Flow Analysis'!Z40:Z41)+SUM('EoL Material Flow Analysis'!AF39:AF41)+SUM('EoL Material Flow Analysis'!AJ39:AJ41)))</f>
        <v>40950.841565339579</v>
      </c>
      <c r="C82" s="30">
        <f>0.205*(SUM('EoL Material Flow Analysis'!AD57:AD59))+0.044*((SUM('EoL Material Flow Analysis'!Z58:Z59)+SUM('EoL Material Flow Analysis'!AF57:AF59)+SUM('EoL Material Flow Analysis'!AJ57:AJ59)))</f>
        <v>38270.935880810393</v>
      </c>
      <c r="D82" s="59"/>
      <c r="E82" s="59"/>
      <c r="F82" s="59"/>
      <c r="G82" s="59"/>
      <c r="H82" s="59"/>
      <c r="I82" s="59"/>
      <c r="J82" s="59"/>
      <c r="K82" t="s">
        <v>757</v>
      </c>
    </row>
    <row r="83" spans="1:15" x14ac:dyDescent="0.35">
      <c r="A83" s="58" t="s">
        <v>758</v>
      </c>
      <c r="B83" s="53">
        <f>10^(4*B84+1)</f>
        <v>677.75793905781836</v>
      </c>
      <c r="C83" s="53">
        <f>10^(4*C84+1)</f>
        <v>677.75793905781836</v>
      </c>
      <c r="D83" s="59"/>
      <c r="E83" s="59"/>
      <c r="F83" s="59"/>
      <c r="G83" s="59"/>
      <c r="H83" s="59"/>
      <c r="I83" s="59"/>
      <c r="J83" s="59"/>
    </row>
    <row r="84" spans="1:15" x14ac:dyDescent="0.35">
      <c r="A84" s="58" t="s">
        <v>759</v>
      </c>
      <c r="B84" s="64">
        <f>-0.109*LN(14.6)+0.75</f>
        <v>0.45776865337014228</v>
      </c>
      <c r="C84" s="64">
        <f>-0.109*LN(14.6)+0.75</f>
        <v>0.45776865337014228</v>
      </c>
      <c r="D84" s="59"/>
      <c r="E84" s="59"/>
      <c r="F84" s="59"/>
      <c r="G84" s="59"/>
      <c r="H84" s="59"/>
      <c r="I84" s="59"/>
      <c r="J84" s="59"/>
      <c r="K84" t="s">
        <v>760</v>
      </c>
      <c r="L84" t="s">
        <v>716</v>
      </c>
      <c r="M84" t="s">
        <v>761</v>
      </c>
    </row>
    <row r="85" spans="1:15" x14ac:dyDescent="0.35">
      <c r="A85" s="58" t="s">
        <v>762</v>
      </c>
      <c r="B85" s="30">
        <f>'EoL Material Flow Analysis'!AF42+'EoL Material Flow Analysis'!AJ42+'EoL Material Flow Analysis'!AJ43</f>
        <v>486411.00096174917</v>
      </c>
      <c r="C85" s="30">
        <f>'EoL Material Flow Analysis'!AF60+'EoL Material Flow Analysis'!AJ60+'EoL Material Flow Analysis'!AJ61</f>
        <v>46838.228923087074</v>
      </c>
      <c r="D85" s="59"/>
      <c r="E85" s="59"/>
      <c r="F85" s="59"/>
      <c r="G85" s="59"/>
      <c r="H85" s="59"/>
      <c r="I85" s="59"/>
      <c r="J85" s="59"/>
    </row>
    <row r="86" spans="1:15" x14ac:dyDescent="0.35">
      <c r="A86" s="66" t="s">
        <v>763</v>
      </c>
      <c r="B86" s="53">
        <f>10^(4*B87+1)</f>
        <v>100000</v>
      </c>
      <c r="C86" s="53">
        <f>10^(4*C87+1)</f>
        <v>100000</v>
      </c>
      <c r="D86" s="59"/>
      <c r="E86" s="59"/>
      <c r="F86" s="59"/>
      <c r="G86" s="59"/>
      <c r="H86" s="59"/>
      <c r="I86" s="59"/>
      <c r="J86" s="59"/>
    </row>
    <row r="87" spans="1:15" x14ac:dyDescent="0.35">
      <c r="A87" s="66" t="s">
        <v>764</v>
      </c>
      <c r="B87" s="61">
        <v>1</v>
      </c>
      <c r="C87" s="61">
        <v>1</v>
      </c>
      <c r="D87" s="59"/>
      <c r="E87" s="59"/>
      <c r="F87" s="59"/>
      <c r="G87" s="59"/>
      <c r="H87" s="59"/>
      <c r="I87" s="59"/>
      <c r="J87" s="59"/>
      <c r="K87" t="s">
        <v>765</v>
      </c>
      <c r="L87" t="s">
        <v>716</v>
      </c>
      <c r="M87" t="s">
        <v>766</v>
      </c>
    </row>
    <row r="88" spans="1:15" x14ac:dyDescent="0.35">
      <c r="A88" s="66" t="s">
        <v>767</v>
      </c>
      <c r="B88" s="30">
        <f>'EoL Material Flow Analysis'!AJ44</f>
        <v>208251.6379773996</v>
      </c>
      <c r="C88" s="30">
        <f>'EoL Material Flow Analysis'!AJ62</f>
        <v>118674.65631316407</v>
      </c>
      <c r="D88" s="59"/>
      <c r="E88" s="59"/>
      <c r="F88" s="59"/>
      <c r="G88" s="59"/>
      <c r="H88" s="59"/>
      <c r="I88" s="59"/>
      <c r="J88" s="59"/>
    </row>
    <row r="89" spans="1:15" x14ac:dyDescent="0.35">
      <c r="A89" s="52" t="s">
        <v>768</v>
      </c>
      <c r="B89" s="57">
        <f>('EoL Material Flow Analysis'!O46+'EoL Material Flow Analysis'!Y37)/('EoL Material Flow Analysis'!AC46-'EoL Material Flow Analysis'!AD46)</f>
        <v>2.9757269532420594E-4</v>
      </c>
      <c r="C89" s="57">
        <f>('EoL Material Flow Analysis'!O64+'EoL Material Flow Analysis'!Y55)/('EoL Material Flow Analysis'!AC64-'EoL Material Flow Analysis'!AD64)</f>
        <v>8.6179698946783957E-5</v>
      </c>
      <c r="D89" t="s">
        <v>769</v>
      </c>
      <c r="E89">
        <v>0</v>
      </c>
      <c r="F89">
        <v>1</v>
      </c>
      <c r="G89" s="53">
        <f t="shared" ref="G89:G90" si="10">(B89-F89)/(E89-F89)*100</f>
        <v>99.970242730467589</v>
      </c>
      <c r="H89">
        <v>0</v>
      </c>
      <c r="I89">
        <v>1</v>
      </c>
      <c r="J89" s="261">
        <f>(C89-I89)/(H89-I89)*100</f>
        <v>99.991382030105328</v>
      </c>
    </row>
    <row r="90" spans="1:15" x14ac:dyDescent="0.35">
      <c r="A90" s="52" t="s">
        <v>770</v>
      </c>
      <c r="B90" s="53">
        <f>(SUM(B92*B94,B96*B98,B100*B102,B104*B106,B108*B110,B112*B114))/('EoL Material Flow Analysis'!AC46-'EoL Material Flow Analysis'!AD46)</f>
        <v>31.161200551829761</v>
      </c>
      <c r="C90" s="53">
        <f>(SUM(C92*C94,C96*C98,C100*C102,C104*C106,C108*C110,C112*C114))/('EoL Material Flow Analysis'!AC64-'EoL Material Flow Analysis'!AD64)</f>
        <v>12.35607555656053</v>
      </c>
      <c r="D90" t="s">
        <v>771</v>
      </c>
      <c r="E90">
        <v>0</v>
      </c>
      <c r="F90">
        <v>100</v>
      </c>
      <c r="G90" s="53">
        <f t="shared" si="10"/>
        <v>68.838799448170235</v>
      </c>
      <c r="H90">
        <v>0</v>
      </c>
      <c r="I90">
        <v>100</v>
      </c>
      <c r="J90" s="261">
        <f t="shared" ref="J90" si="11">(C90-I90)/(H90-I90)*100</f>
        <v>87.643924443439474</v>
      </c>
      <c r="K90" t="s">
        <v>772</v>
      </c>
      <c r="L90" t="s">
        <v>716</v>
      </c>
      <c r="M90" t="s">
        <v>773</v>
      </c>
      <c r="N90" t="s">
        <v>774</v>
      </c>
      <c r="O90" t="s">
        <v>775</v>
      </c>
    </row>
    <row r="91" spans="1:15" x14ac:dyDescent="0.35">
      <c r="A91" s="58" t="s">
        <v>776</v>
      </c>
      <c r="B91" s="60">
        <v>72</v>
      </c>
      <c r="C91" s="60">
        <v>72</v>
      </c>
      <c r="D91" t="s">
        <v>777</v>
      </c>
      <c r="E91" s="59"/>
      <c r="F91" s="59"/>
      <c r="G91" s="59"/>
      <c r="H91" s="59"/>
      <c r="I91" s="59"/>
      <c r="J91" s="59"/>
      <c r="K91" t="s">
        <v>778</v>
      </c>
      <c r="L91" t="s">
        <v>716</v>
      </c>
      <c r="M91" t="s">
        <v>691</v>
      </c>
      <c r="N91" t="s">
        <v>779</v>
      </c>
    </row>
    <row r="92" spans="1:15" x14ac:dyDescent="0.35">
      <c r="A92" s="58" t="s">
        <v>686</v>
      </c>
      <c r="B92" s="53">
        <f>10^(2*B93)</f>
        <v>100</v>
      </c>
      <c r="C92" s="53">
        <f>10^(2*C93)</f>
        <v>100</v>
      </c>
      <c r="E92" s="59"/>
      <c r="F92" s="59"/>
      <c r="G92" s="59"/>
      <c r="H92" s="59"/>
      <c r="I92" s="59"/>
      <c r="J92" s="59"/>
    </row>
    <row r="93" spans="1:15" x14ac:dyDescent="0.35">
      <c r="A93" s="58" t="s">
        <v>780</v>
      </c>
      <c r="B93">
        <v>1</v>
      </c>
      <c r="C93">
        <v>1</v>
      </c>
      <c r="E93" s="59"/>
      <c r="F93" s="59"/>
      <c r="G93" s="59"/>
      <c r="H93" s="59"/>
      <c r="I93" s="59"/>
      <c r="J93" s="59"/>
      <c r="K93" t="s">
        <v>781</v>
      </c>
    </row>
    <row r="94" spans="1:15" x14ac:dyDescent="0.35">
      <c r="A94" s="58" t="s">
        <v>782</v>
      </c>
      <c r="B94" s="30">
        <f>'EoL Material Flow Analysis'!M36+'EoL Material Flow Analysis'!AF36</f>
        <v>3368.0174217795002</v>
      </c>
      <c r="C94" s="30">
        <f>'EoL Material Flow Analysis'!M54+'EoL Material Flow Analysis'!AF54</f>
        <v>3110.2845465951</v>
      </c>
      <c r="E94" s="59"/>
      <c r="F94" s="59"/>
      <c r="G94" s="59"/>
      <c r="H94" s="59"/>
      <c r="I94" s="59"/>
      <c r="J94" s="59"/>
    </row>
    <row r="95" spans="1:15" x14ac:dyDescent="0.35">
      <c r="A95" s="66" t="s">
        <v>783</v>
      </c>
      <c r="B95" s="60">
        <v>7150000</v>
      </c>
      <c r="C95" s="60">
        <v>7150000</v>
      </c>
      <c r="D95" t="s">
        <v>777</v>
      </c>
      <c r="E95" s="59"/>
      <c r="F95" s="59"/>
      <c r="G95" s="59"/>
      <c r="H95" s="59"/>
      <c r="I95" s="59"/>
      <c r="J95" s="59"/>
      <c r="K95" t="s">
        <v>784</v>
      </c>
      <c r="L95" t="s">
        <v>716</v>
      </c>
      <c r="M95" t="s">
        <v>785</v>
      </c>
    </row>
    <row r="96" spans="1:15" x14ac:dyDescent="0.35">
      <c r="A96" s="66" t="s">
        <v>786</v>
      </c>
      <c r="B96" s="53">
        <f>10^(2*B97)</f>
        <v>100</v>
      </c>
      <c r="C96" s="53">
        <f>10^(2*C97)</f>
        <v>100</v>
      </c>
      <c r="E96" s="59"/>
      <c r="F96" s="59"/>
      <c r="G96" s="59"/>
      <c r="H96" s="59"/>
      <c r="I96" s="59"/>
      <c r="J96" s="59"/>
    </row>
    <row r="97" spans="1:13" x14ac:dyDescent="0.35">
      <c r="A97" s="66" t="s">
        <v>787</v>
      </c>
      <c r="B97">
        <v>1</v>
      </c>
      <c r="C97">
        <v>1</v>
      </c>
      <c r="E97" s="59"/>
      <c r="F97" s="59"/>
      <c r="G97" s="59"/>
      <c r="H97" s="59"/>
      <c r="I97" s="59"/>
      <c r="J97" s="59"/>
      <c r="K97" t="s">
        <v>781</v>
      </c>
    </row>
    <row r="98" spans="1:13" x14ac:dyDescent="0.35">
      <c r="A98" s="66" t="s">
        <v>788</v>
      </c>
      <c r="B98" s="30">
        <f>B79</f>
        <v>41863.221404683849</v>
      </c>
      <c r="C98" s="30">
        <f>C79</f>
        <v>39123.612318762564</v>
      </c>
      <c r="E98" s="59"/>
      <c r="F98" s="59"/>
      <c r="G98" s="59"/>
      <c r="H98" s="59"/>
      <c r="I98" s="59"/>
      <c r="J98" s="59"/>
    </row>
    <row r="99" spans="1:13" x14ac:dyDescent="0.35">
      <c r="A99" s="58" t="s">
        <v>789</v>
      </c>
      <c r="B99" s="60">
        <v>5000</v>
      </c>
      <c r="C99" s="60">
        <v>5000</v>
      </c>
      <c r="D99" t="s">
        <v>777</v>
      </c>
      <c r="E99" s="59"/>
      <c r="F99" s="59"/>
      <c r="G99" s="59"/>
      <c r="H99" s="59"/>
      <c r="I99" s="59"/>
      <c r="J99" s="59"/>
      <c r="K99" t="s">
        <v>790</v>
      </c>
      <c r="M99" t="s">
        <v>791</v>
      </c>
    </row>
    <row r="100" spans="1:13" x14ac:dyDescent="0.35">
      <c r="A100" s="58" t="s">
        <v>792</v>
      </c>
      <c r="B100" s="53">
        <f>10^(2*B101)</f>
        <v>100</v>
      </c>
      <c r="C100" s="53">
        <f>10^(2*C101)</f>
        <v>100</v>
      </c>
      <c r="E100" s="59"/>
      <c r="F100" s="59"/>
      <c r="G100" s="59"/>
      <c r="H100" s="59"/>
      <c r="I100" s="59"/>
      <c r="J100" s="59"/>
    </row>
    <row r="101" spans="1:13" x14ac:dyDescent="0.35">
      <c r="A101" s="58" t="s">
        <v>793</v>
      </c>
      <c r="B101">
        <v>1</v>
      </c>
      <c r="C101">
        <v>1</v>
      </c>
      <c r="E101" s="59"/>
      <c r="F101" s="59"/>
      <c r="G101" s="59"/>
      <c r="H101" s="59"/>
      <c r="I101" s="59"/>
      <c r="J101" s="59"/>
      <c r="K101" t="s">
        <v>781</v>
      </c>
    </row>
    <row r="102" spans="1:13" x14ac:dyDescent="0.35">
      <c r="A102" s="58" t="s">
        <v>794</v>
      </c>
      <c r="B102" s="30">
        <f>B76</f>
        <v>117239.25796440282</v>
      </c>
      <c r="C102" s="30">
        <f>C76</f>
        <v>109566.8916680087</v>
      </c>
      <c r="E102" s="59"/>
      <c r="F102" s="59"/>
      <c r="G102" s="59"/>
      <c r="H102" s="59"/>
      <c r="I102" s="59"/>
      <c r="J102" s="59"/>
    </row>
    <row r="103" spans="1:13" x14ac:dyDescent="0.35">
      <c r="A103" s="66" t="s">
        <v>795</v>
      </c>
      <c r="B103" s="60">
        <v>3.16</v>
      </c>
      <c r="C103" s="60">
        <v>3.16</v>
      </c>
      <c r="D103" t="s">
        <v>777</v>
      </c>
      <c r="E103" s="59"/>
      <c r="F103" s="59"/>
      <c r="G103" s="59"/>
      <c r="H103" s="59"/>
      <c r="I103" s="59"/>
      <c r="J103" s="59"/>
      <c r="K103" t="s">
        <v>796</v>
      </c>
      <c r="L103" t="s">
        <v>716</v>
      </c>
      <c r="M103" t="s">
        <v>797</v>
      </c>
    </row>
    <row r="104" spans="1:13" x14ac:dyDescent="0.35">
      <c r="A104" s="66" t="s">
        <v>798</v>
      </c>
      <c r="B104" s="53">
        <f>10^(2*B105)</f>
        <v>1</v>
      </c>
      <c r="C104" s="53">
        <f>10^(2*C105)</f>
        <v>1</v>
      </c>
      <c r="E104" s="59"/>
      <c r="F104" s="59"/>
      <c r="G104" s="59"/>
      <c r="H104" s="59"/>
      <c r="I104" s="59"/>
      <c r="J104" s="59"/>
    </row>
    <row r="105" spans="1:13" x14ac:dyDescent="0.35">
      <c r="A105" s="66" t="s">
        <v>799</v>
      </c>
      <c r="B105">
        <v>0</v>
      </c>
      <c r="C105">
        <v>0</v>
      </c>
      <c r="E105" s="59"/>
      <c r="F105" s="59"/>
      <c r="G105" s="59"/>
      <c r="H105" s="59"/>
      <c r="I105" s="59"/>
      <c r="J105" s="59"/>
      <c r="K105" t="s">
        <v>800</v>
      </c>
    </row>
    <row r="106" spans="1:13" x14ac:dyDescent="0.35">
      <c r="A106" s="66" t="s">
        <v>801</v>
      </c>
      <c r="B106">
        <f>B82</f>
        <v>40950.841565339579</v>
      </c>
      <c r="C106">
        <f>C82</f>
        <v>38270.935880810393</v>
      </c>
      <c r="E106" s="59"/>
      <c r="F106" s="59"/>
      <c r="G106" s="59"/>
      <c r="H106" s="59"/>
      <c r="I106" s="59"/>
      <c r="J106" s="59"/>
    </row>
    <row r="107" spans="1:13" x14ac:dyDescent="0.35">
      <c r="A107" s="58" t="s">
        <v>802</v>
      </c>
      <c r="B107" s="60">
        <v>99667</v>
      </c>
      <c r="C107" s="60">
        <v>99667</v>
      </c>
      <c r="D107" t="s">
        <v>777</v>
      </c>
      <c r="E107" s="59"/>
      <c r="F107" s="59"/>
      <c r="G107" s="59"/>
      <c r="H107" s="59"/>
      <c r="I107" s="59"/>
      <c r="J107" s="59"/>
      <c r="K107" t="s">
        <v>803</v>
      </c>
      <c r="L107" t="s">
        <v>716</v>
      </c>
      <c r="M107" t="s">
        <v>791</v>
      </c>
    </row>
    <row r="108" spans="1:13" x14ac:dyDescent="0.35">
      <c r="A108" s="58" t="s">
        <v>804</v>
      </c>
      <c r="B108" s="53">
        <f>10^(2*B109)</f>
        <v>100</v>
      </c>
      <c r="C108" s="53">
        <f>10^(2*C109)</f>
        <v>100</v>
      </c>
      <c r="E108" s="59"/>
      <c r="F108" s="59"/>
      <c r="G108" s="59"/>
      <c r="H108" s="59"/>
      <c r="I108" s="59"/>
      <c r="J108" s="59"/>
    </row>
    <row r="109" spans="1:13" x14ac:dyDescent="0.35">
      <c r="A109" s="58" t="s">
        <v>805</v>
      </c>
      <c r="B109">
        <v>1</v>
      </c>
      <c r="C109">
        <v>1</v>
      </c>
      <c r="E109" s="59"/>
      <c r="F109" s="59"/>
      <c r="G109" s="59"/>
      <c r="H109" s="59"/>
      <c r="I109" s="59"/>
      <c r="J109" s="59"/>
      <c r="K109" t="s">
        <v>781</v>
      </c>
    </row>
    <row r="110" spans="1:13" x14ac:dyDescent="0.35">
      <c r="A110" s="58" t="s">
        <v>806</v>
      </c>
      <c r="B110" s="30">
        <f>B85</f>
        <v>486411.00096174917</v>
      </c>
      <c r="C110" s="30">
        <f>C85</f>
        <v>46838.228923087074</v>
      </c>
      <c r="E110" s="59"/>
      <c r="F110" s="59"/>
      <c r="G110" s="59"/>
      <c r="H110" s="59"/>
      <c r="I110" s="59"/>
      <c r="J110" s="59"/>
    </row>
    <row r="111" spans="1:13" x14ac:dyDescent="0.35">
      <c r="A111" s="66" t="s">
        <v>807</v>
      </c>
      <c r="B111" s="60">
        <v>483</v>
      </c>
      <c r="C111" s="60">
        <v>483</v>
      </c>
      <c r="D111" t="s">
        <v>777</v>
      </c>
      <c r="E111" s="59"/>
      <c r="F111" s="59"/>
      <c r="G111" s="59"/>
      <c r="H111" s="59"/>
      <c r="I111" s="59"/>
      <c r="J111" s="59"/>
      <c r="K111" t="s">
        <v>808</v>
      </c>
      <c r="L111" t="s">
        <v>716</v>
      </c>
      <c r="M111" t="s">
        <v>791</v>
      </c>
    </row>
    <row r="112" spans="1:13" x14ac:dyDescent="0.35">
      <c r="A112" s="66" t="s">
        <v>809</v>
      </c>
      <c r="B112" s="53">
        <f>10^(2*B113)</f>
        <v>100</v>
      </c>
      <c r="C112" s="53">
        <f>10^(2*C113)</f>
        <v>100</v>
      </c>
      <c r="E112" s="59"/>
      <c r="F112" s="59"/>
      <c r="G112" s="59"/>
      <c r="H112" s="59"/>
      <c r="I112" s="59"/>
      <c r="J112" s="59"/>
    </row>
    <row r="113" spans="1:11" x14ac:dyDescent="0.35">
      <c r="A113" s="66" t="s">
        <v>810</v>
      </c>
      <c r="B113">
        <v>1</v>
      </c>
      <c r="C113">
        <v>1</v>
      </c>
      <c r="E113" s="59"/>
      <c r="F113" s="59"/>
      <c r="G113" s="59"/>
      <c r="H113" s="59"/>
      <c r="I113" s="59"/>
      <c r="J113" s="59"/>
      <c r="K113" t="s">
        <v>781</v>
      </c>
    </row>
    <row r="114" spans="1:11" x14ac:dyDescent="0.35">
      <c r="A114" s="66" t="s">
        <v>811</v>
      </c>
      <c r="B114" s="30">
        <f>B88</f>
        <v>208251.6379773996</v>
      </c>
      <c r="C114" s="30">
        <f>C88</f>
        <v>118674.65631316407</v>
      </c>
      <c r="E114" s="59"/>
      <c r="F114" s="59"/>
      <c r="G114" s="59"/>
      <c r="H114" s="59"/>
      <c r="I114" s="59"/>
      <c r="J114" s="59"/>
    </row>
    <row r="115" spans="1:11" x14ac:dyDescent="0.35">
      <c r="A115" s="52" t="s">
        <v>812</v>
      </c>
      <c r="B115" s="30">
        <f>('EoL Material Flow Analysis'!AB37+'EoL Material Flow Analysis'!AB39+'EoL Material Flow Analysis'!AB40+'EoL Material Flow Analysis'!AB41+'EoL Material Flow Analysis'!O46)/8000</f>
        <v>1257.4806027187501</v>
      </c>
      <c r="C115" s="30">
        <f>('EoL Material Flow Analysis'!AB55+'EoL Material Flow Analysis'!AB57+'EoL Material Flow Analysis'!AB58+'EoL Material Flow Analysis'!AB59+'EoL Material Flow Analysis'!O64)/8000</f>
        <v>1174.882010231777</v>
      </c>
      <c r="D115" t="s">
        <v>813</v>
      </c>
      <c r="E115">
        <v>0</v>
      </c>
      <c r="F115" s="67">
        <f>(SUM('EoL Material Flow Analysis'!Y39:Y41)+'EoL Material Flow Analysis'!Y37+'EoL Material Flow Analysis'!Q37+'EoL Material Flow Analysis'!O37)/8000</f>
        <v>1282.27560271875</v>
      </c>
      <c r="G115" s="53">
        <f t="shared" ref="G115:G124" si="12">(B115-F115)/(E115-F115)*100</f>
        <v>1.9336716652354726</v>
      </c>
      <c r="H115" s="53">
        <v>0</v>
      </c>
      <c r="I115" s="53">
        <f>(SUM('EoL Material Flow Analysis'!Y57:Y59)+'EoL Material Flow Analysis'!Y55+'EoL Material Flow Analysis'!Q55+'EoL Material Flow Analysis'!O55)/8000</f>
        <v>1198.0772391544938</v>
      </c>
      <c r="J115" s="261">
        <f t="shared" ref="J115:J123" si="13">(C115-I115)/(H115-I115)*100</f>
        <v>1.9360378583843283</v>
      </c>
      <c r="K115" t="s">
        <v>814</v>
      </c>
    </row>
    <row r="116" spans="1:11" x14ac:dyDescent="0.35">
      <c r="A116" s="52" t="s">
        <v>815</v>
      </c>
      <c r="B116" s="42">
        <f>B115/(('EoL Material Flow Analysis'!AC46-'EoL Material Flow Analysis'!AD46)/8000)</f>
        <v>3.6555248202629143</v>
      </c>
      <c r="C116" s="30">
        <f>C115/(('EoL Material Flow Analysis'!AC64-'EoL Material Flow Analysis'!AD64)/8000)</f>
        <v>3.655548293125952</v>
      </c>
      <c r="D116" t="s">
        <v>816</v>
      </c>
      <c r="E116">
        <v>0</v>
      </c>
      <c r="F116" s="68">
        <f>F115/(('EoL Material Flow Analysis'!AC46-'EoL Material Flow Analysis'!AD46)/8000)</f>
        <v>3.7276044513303455</v>
      </c>
      <c r="G116" s="53">
        <f t="shared" si="12"/>
        <v>1.9336716652354757</v>
      </c>
      <c r="H116" s="53">
        <v>0</v>
      </c>
      <c r="I116" s="53">
        <f>I115/(('EoL Material Flow Analysis'!AC64-'EoL Material Flow Analysis'!AD64)/8000)</f>
        <v>3.7277183312733362</v>
      </c>
      <c r="J116" s="261">
        <f t="shared" si="13"/>
        <v>1.9360378583843252</v>
      </c>
    </row>
    <row r="117" spans="1:11" x14ac:dyDescent="0.35">
      <c r="A117" s="52" t="s">
        <v>817</v>
      </c>
      <c r="B117" s="53">
        <f>(SUM('EoL Material Flow Analysis'!AC39:AC41))/8000</f>
        <v>347.4692388758782</v>
      </c>
      <c r="C117" s="30">
        <f>(SUM('EoL Material Flow Analysis'!AC57:AC59))/8000</f>
        <v>324.64336677379902</v>
      </c>
      <c r="D117" t="s">
        <v>818</v>
      </c>
      <c r="E117" s="30">
        <f>B115</f>
        <v>1257.4806027187501</v>
      </c>
      <c r="F117">
        <v>0</v>
      </c>
      <c r="G117" s="53">
        <f t="shared" si="12"/>
        <v>27.632174852210717</v>
      </c>
      <c r="H117" s="53">
        <f>C115</f>
        <v>1174.882010231777</v>
      </c>
      <c r="I117" s="53">
        <v>0</v>
      </c>
      <c r="J117" s="261">
        <f t="shared" si="13"/>
        <v>27.631997421575498</v>
      </c>
      <c r="K117" t="s">
        <v>819</v>
      </c>
    </row>
    <row r="118" spans="1:11" x14ac:dyDescent="0.35">
      <c r="A118" s="52" t="s">
        <v>820</v>
      </c>
      <c r="B118" s="30">
        <f>B115-B117</f>
        <v>910.0113638428719</v>
      </c>
      <c r="C118" s="30">
        <f>C115-C117</f>
        <v>850.23864345797801</v>
      </c>
      <c r="D118" t="s">
        <v>821</v>
      </c>
      <c r="E118">
        <v>0</v>
      </c>
      <c r="F118" s="30">
        <f>B115</f>
        <v>1257.4806027187501</v>
      </c>
      <c r="G118" s="53">
        <f t="shared" si="12"/>
        <v>27.632174852210717</v>
      </c>
      <c r="H118" s="53">
        <v>0</v>
      </c>
      <c r="I118" s="53">
        <f>C115</f>
        <v>1174.882010231777</v>
      </c>
      <c r="J118" s="261">
        <f t="shared" si="13"/>
        <v>27.631997421575498</v>
      </c>
    </row>
    <row r="119" spans="1:11" x14ac:dyDescent="0.35">
      <c r="A119" s="52" t="s">
        <v>822</v>
      </c>
      <c r="B119" s="56">
        <f>B117/B115</f>
        <v>0.27632174852210717</v>
      </c>
      <c r="C119" s="56">
        <f>C117/C115</f>
        <v>0.27631997421575499</v>
      </c>
      <c r="D119" t="s">
        <v>823</v>
      </c>
      <c r="E119">
        <v>1</v>
      </c>
      <c r="F119">
        <v>0</v>
      </c>
      <c r="G119" s="53">
        <f t="shared" si="12"/>
        <v>27.632174852210717</v>
      </c>
      <c r="H119">
        <v>1</v>
      </c>
      <c r="I119">
        <v>0</v>
      </c>
      <c r="J119" s="261">
        <f t="shared" si="13"/>
        <v>27.631997421575498</v>
      </c>
    </row>
    <row r="120" spans="1:11" x14ac:dyDescent="0.35">
      <c r="A120" s="52" t="s">
        <v>824</v>
      </c>
      <c r="B120" s="42">
        <f>1-B119</f>
        <v>0.72367825147789278</v>
      </c>
      <c r="C120" s="42">
        <f>1-C119</f>
        <v>0.72368002578424506</v>
      </c>
      <c r="D120" t="s">
        <v>825</v>
      </c>
      <c r="E120">
        <v>0</v>
      </c>
      <c r="F120">
        <v>1</v>
      </c>
      <c r="G120" s="53">
        <f t="shared" si="12"/>
        <v>27.632174852210724</v>
      </c>
      <c r="H120">
        <v>0</v>
      </c>
      <c r="I120">
        <v>1</v>
      </c>
      <c r="J120" s="261">
        <f t="shared" si="13"/>
        <v>27.631997421575495</v>
      </c>
    </row>
    <row r="121" spans="1:11" x14ac:dyDescent="0.35">
      <c r="A121" s="52" t="s">
        <v>826</v>
      </c>
      <c r="B121">
        <v>0</v>
      </c>
      <c r="C121">
        <v>0</v>
      </c>
      <c r="D121" t="s">
        <v>827</v>
      </c>
      <c r="E121">
        <v>0</v>
      </c>
      <c r="F121">
        <v>1</v>
      </c>
      <c r="G121" s="53">
        <f t="shared" si="12"/>
        <v>100</v>
      </c>
      <c r="H121">
        <v>0</v>
      </c>
      <c r="I121">
        <v>1</v>
      </c>
      <c r="J121" s="261">
        <f t="shared" si="13"/>
        <v>100</v>
      </c>
      <c r="K121" t="s">
        <v>828</v>
      </c>
    </row>
    <row r="122" spans="1:11" x14ac:dyDescent="0.35">
      <c r="A122" s="52" t="s">
        <v>829</v>
      </c>
      <c r="B122">
        <f>0/8000</f>
        <v>0</v>
      </c>
      <c r="C122">
        <f>0/8000</f>
        <v>0</v>
      </c>
      <c r="D122" t="s">
        <v>830</v>
      </c>
      <c r="E122">
        <v>0</v>
      </c>
      <c r="F122" s="30">
        <f>B115</f>
        <v>1257.4806027187501</v>
      </c>
      <c r="G122" s="53">
        <f t="shared" si="12"/>
        <v>100</v>
      </c>
      <c r="H122">
        <v>0</v>
      </c>
      <c r="I122">
        <v>1</v>
      </c>
      <c r="J122" s="261">
        <f t="shared" si="13"/>
        <v>100</v>
      </c>
      <c r="K122" t="s">
        <v>828</v>
      </c>
    </row>
    <row r="123" spans="1:11" x14ac:dyDescent="0.35">
      <c r="A123" s="52" t="s">
        <v>831</v>
      </c>
      <c r="B123">
        <f>B122/(('EoL Material Flow Analysis'!AC46-'EoL Material Flow Analysis'!AD46)/8000)</f>
        <v>0</v>
      </c>
      <c r="C123" s="30">
        <f>C122/(('EoL Material Flow Analysis'!AC64-'EoL Material Flow Analysis'!AD64)/8000)</f>
        <v>0</v>
      </c>
      <c r="D123" t="s">
        <v>832</v>
      </c>
      <c r="E123">
        <v>0</v>
      </c>
      <c r="F123">
        <v>1</v>
      </c>
      <c r="G123" s="53">
        <f t="shared" si="12"/>
        <v>100</v>
      </c>
      <c r="H123">
        <v>0</v>
      </c>
      <c r="I123">
        <v>1</v>
      </c>
      <c r="J123" s="261">
        <f t="shared" si="13"/>
        <v>100</v>
      </c>
      <c r="K123" t="s">
        <v>828</v>
      </c>
    </row>
    <row r="124" spans="1:11" x14ac:dyDescent="0.35">
      <c r="A124" s="52" t="s">
        <v>833</v>
      </c>
      <c r="B124" s="30">
        <f>(SUM('EoL Material Flow Analysis'!AB37,'EoL Material Flow Analysis'!AB39,'EoL Material Flow Analysis'!AB40,'EoL Material Flow Analysis'!AB41,'EoL Material Flow Analysis'!O37)-SUM('EoL Material Flow Analysis'!AC39:AC41)+SUM('EoL Material Flow Analysis'!AD39:AD41))/8000</f>
        <v>913.48605623163053</v>
      </c>
      <c r="C124" s="30">
        <f>(SUM('EoL Material Flow Analysis'!AB55,'EoL Material Flow Analysis'!AB57,'EoL Material Flow Analysis'!AB58,'EoL Material Flow Analysis'!AB59,'EoL Material Flow Analysis'!O55)-SUM('EoL Material Flow Analysis'!AC57:AC59)+SUM('EoL Material Flow Analysis'!AD57:AD59))/8000</f>
        <v>853.48507712571597</v>
      </c>
      <c r="D124" t="s">
        <v>834</v>
      </c>
      <c r="E124" s="30">
        <f>B118</f>
        <v>910.0113638428719</v>
      </c>
      <c r="F124">
        <v>0</v>
      </c>
      <c r="G124" s="53">
        <f t="shared" si="12"/>
        <v>100.38182956024697</v>
      </c>
      <c r="H124" s="53">
        <f>C118</f>
        <v>850.23864345797801</v>
      </c>
      <c r="I124" s="53">
        <v>0</v>
      </c>
      <c r="J124" s="261">
        <f>(C124-I124)/(H124-I124)*100</f>
        <v>100.3818261723008</v>
      </c>
    </row>
    <row r="125" spans="1:11" x14ac:dyDescent="0.35">
      <c r="A125" s="134" t="s">
        <v>835</v>
      </c>
      <c r="B125" s="135" t="s">
        <v>248</v>
      </c>
      <c r="C125" s="135" t="s">
        <v>1759</v>
      </c>
      <c r="D125" s="135" t="s">
        <v>249</v>
      </c>
      <c r="E125" s="135" t="s">
        <v>646</v>
      </c>
      <c r="F125" s="135" t="s">
        <v>647</v>
      </c>
      <c r="G125" s="135" t="s">
        <v>648</v>
      </c>
      <c r="H125" s="135"/>
      <c r="I125" s="135"/>
      <c r="J125" s="135"/>
      <c r="K125" s="135" t="s">
        <v>649</v>
      </c>
    </row>
    <row r="126" spans="1:11" x14ac:dyDescent="0.35">
      <c r="A126" s="136" t="s">
        <v>836</v>
      </c>
      <c r="B126" s="30">
        <f>'Energy Consumption'!B62+SUM('Energy Consumption'!G21:G30,'Energy Consumption'!F34:F49)</f>
        <v>63253.67458804568</v>
      </c>
      <c r="C126" s="30">
        <f>'Energy Consumption2'!B63+SUM('Energy Consumption2'!G21:G30,'Energy Consumption2'!F34:F49)</f>
        <v>101910.65090064492</v>
      </c>
      <c r="D126" t="s">
        <v>837</v>
      </c>
      <c r="E126" s="30">
        <f>'Energy Consumption'!B57+'Energy Consumption'!B56+SUM('Energy Consumption'!G21:G30,'Energy Consumption'!F34:F49)</f>
        <v>44769.383521902935</v>
      </c>
      <c r="F126" s="30">
        <f>E126*10</f>
        <v>447693.83521902934</v>
      </c>
      <c r="G126" s="53">
        <f>(B126-F126)/(E126-F126)*100</f>
        <v>95.412467278099783</v>
      </c>
      <c r="H126" s="53">
        <f>'Energy Consumption2'!B58+'Energy Consumption2'!B57+SUM('Energy Consumption2'!G21:G30,'Energy Consumption2'!F34:F49)</f>
        <v>42803.212485477532</v>
      </c>
      <c r="I126" s="45">
        <f>H126*10</f>
        <v>428032.12485477532</v>
      </c>
      <c r="J126" s="261">
        <f>(C126-I126)/(H126-I126)*100</f>
        <v>84.656541469944415</v>
      </c>
      <c r="K126" t="s">
        <v>838</v>
      </c>
    </row>
    <row r="127" spans="1:11" x14ac:dyDescent="0.35">
      <c r="A127" s="136" t="s">
        <v>839</v>
      </c>
      <c r="B127" s="46">
        <f>B126/('EoL Material Flow Analysis'!AC46-'EoL Material Flow Analysis'!AD46)</f>
        <v>2.2984984512833751E-2</v>
      </c>
      <c r="C127" s="46">
        <f>C126/('EoL Material Flow Analysis'!AC64-'EoL Material Flow Analysis'!AD64)</f>
        <v>3.9635821161917557E-2</v>
      </c>
      <c r="D127" t="s">
        <v>840</v>
      </c>
      <c r="E127" s="45">
        <f>E126/('EoL Material Flow Analysis'!AC46-'EoL Material Flow Analysis'!AD46)</f>
        <v>1.6268202497353865E-2</v>
      </c>
      <c r="F127" s="45">
        <f>E127*10</f>
        <v>0.16268202497353865</v>
      </c>
      <c r="G127" s="53">
        <f>(B127-F127)/(E127-F127)*100</f>
        <v>95.412467278099768</v>
      </c>
      <c r="H127" s="53">
        <f>E126/('EoL Material Flow Analysis'!AC64-'EoL Material Flow Analysis'!AD64)</f>
        <v>1.7412029686017974E-2</v>
      </c>
      <c r="I127" s="45">
        <f>H127*10</f>
        <v>0.17412029686017974</v>
      </c>
      <c r="J127" s="261">
        <f t="shared" ref="J127:J147" si="14">(C127-I127)/(H127-I127)*100</f>
        <v>85.818366907726329</v>
      </c>
      <c r="K127" t="s">
        <v>841</v>
      </c>
    </row>
    <row r="128" spans="1:11" x14ac:dyDescent="0.35">
      <c r="A128" s="136" t="s">
        <v>842</v>
      </c>
      <c r="B128" s="46">
        <f>B127/'Material Cost Data'!B12</f>
        <v>4.2713095494232289E-5</v>
      </c>
      <c r="C128" s="46">
        <f>C127/'Material Cost Data'!B12</f>
        <v>7.3655416793342731E-5</v>
      </c>
      <c r="D128" t="s">
        <v>843</v>
      </c>
      <c r="E128" s="45">
        <f>E127/'Material Cost Data'!B12</f>
        <v>3.0231270610645975E-5</v>
      </c>
      <c r="F128" s="45">
        <f>E128*10</f>
        <v>3.0231270610645976E-4</v>
      </c>
      <c r="G128" s="53">
        <f t="shared" ref="G128:G133" si="15">(B128-F128)/(E128-F128)*100</f>
        <v>95.412467278099754</v>
      </c>
      <c r="H128" s="53">
        <f>H127/'Material Cost Data'!B12</f>
        <v>3.2356849590741881E-5</v>
      </c>
      <c r="I128" s="45">
        <f>H128*10</f>
        <v>3.235684959074188E-4</v>
      </c>
      <c r="J128" s="261">
        <f t="shared" si="14"/>
        <v>85.818366907726315</v>
      </c>
    </row>
    <row r="129" spans="1:11" x14ac:dyDescent="0.35">
      <c r="A129" s="136" t="s">
        <v>844</v>
      </c>
      <c r="B129" s="196">
        <f>('Energy Consumption'!B56+'Energy Consumption'!B58+SUM('Energy Consumption'!G21:G30,'Energy Consumption'!F34:F49)-'Energy Consumption'!C58)/('EoL Material Flow Analysis'!AC46-'EoL Material Flow Analysis'!AD46)</f>
        <v>-1.8506663065659075E-2</v>
      </c>
      <c r="C129" s="196">
        <f>('Energy Consumption2'!B57+'Energy Consumption2'!B59+SUM('Energy Consumption2'!G21:G30,'Energy Consumption2'!F34:F49)-'Energy Consumption2'!C59)/('EoL Material Flow Analysis'!AC64-'EoL Material Flow Analysis'!AD64)</f>
        <v>6.1738598910779582E-3</v>
      </c>
      <c r="D129" t="s">
        <v>840</v>
      </c>
      <c r="E129" s="45">
        <v>0</v>
      </c>
      <c r="F129" s="45">
        <f>0.1*B127</f>
        <v>2.2984984512833752E-3</v>
      </c>
      <c r="G129" s="53">
        <f>IF((B129-F129)/(E129-F129)*100 &gt; 100, 100)</f>
        <v>100</v>
      </c>
      <c r="H129" s="45">
        <v>0</v>
      </c>
      <c r="I129" s="45">
        <f>0.1*H127</f>
        <v>1.7412029686017976E-3</v>
      </c>
      <c r="J129" s="261">
        <f>IF((C129-I129)/(H129-I129)*100&lt;0,0,(C129-I129)/(H129-I129)*100)</f>
        <v>0</v>
      </c>
      <c r="K129" t="s">
        <v>845</v>
      </c>
    </row>
    <row r="130" spans="1:11" x14ac:dyDescent="0.35">
      <c r="A130" s="136" t="s">
        <v>846</v>
      </c>
      <c r="B130">
        <v>0</v>
      </c>
      <c r="C130">
        <f>MEDIAN(5,21)</f>
        <v>13</v>
      </c>
      <c r="D130" t="s">
        <v>840</v>
      </c>
      <c r="E130" s="45">
        <v>0</v>
      </c>
      <c r="F130" s="45">
        <f>0.1*B127</f>
        <v>2.2984984512833752E-3</v>
      </c>
      <c r="G130" s="53">
        <f t="shared" si="15"/>
        <v>100</v>
      </c>
      <c r="H130" s="45">
        <v>0</v>
      </c>
      <c r="I130" s="45">
        <f>0.1*H127</f>
        <v>1.7412029686017976E-3</v>
      </c>
      <c r="J130" s="261">
        <f>IF((C130-I130)/(H130-I130)*100&lt;0,0,(C130-I130)/(H130-I130)*100)</f>
        <v>0</v>
      </c>
      <c r="K130" t="s">
        <v>847</v>
      </c>
    </row>
    <row r="131" spans="1:11" x14ac:dyDescent="0.35">
      <c r="A131" s="136" t="s">
        <v>848</v>
      </c>
      <c r="B131">
        <f>(-SUM('Energy Consumption'!B56:B59)+SUM('Energy Consumption'!C58:C59))/'Energy Consumption'!B54</f>
        <v>5.665327297946416E-2</v>
      </c>
      <c r="C131">
        <f>(-SUM('Energy Consumption2'!B57:B60)+SUM('Energy Consumption2'!C59:C60))/'Energy Consumption2'!B54</f>
        <v>-7.3999952384749762E-3</v>
      </c>
      <c r="D131" t="s">
        <v>849</v>
      </c>
      <c r="E131" s="45">
        <v>1</v>
      </c>
      <c r="F131" s="45">
        <v>0</v>
      </c>
      <c r="G131" s="53">
        <f>(B131-F131)/(E131-F131)*100</f>
        <v>5.6653272979464164</v>
      </c>
      <c r="H131" s="45">
        <v>1</v>
      </c>
      <c r="I131" s="45">
        <v>0</v>
      </c>
      <c r="J131" s="261">
        <f t="shared" ref="J131:J134" si="16">IF((C131-I131)/(H131-I131)*100&lt;0,0,(C131-I131)/(H131-I131)*100)</f>
        <v>0</v>
      </c>
      <c r="K131" t="s">
        <v>850</v>
      </c>
    </row>
    <row r="132" spans="1:11" x14ac:dyDescent="0.35">
      <c r="A132" s="136" t="s">
        <v>851</v>
      </c>
      <c r="B132">
        <f>('Energy Consumption'!G5*0.0025)/'Energy Consumption'!B54</f>
        <v>2.4999957376436459E-3</v>
      </c>
      <c r="C132">
        <f>('Energy Consumption2'!G5*0.0025)/'Energy Consumption2'!B54</f>
        <v>2.4999957301001931E-3</v>
      </c>
      <c r="D132" t="s">
        <v>852</v>
      </c>
      <c r="E132" s="45">
        <v>1</v>
      </c>
      <c r="F132" s="45">
        <v>0</v>
      </c>
      <c r="G132" s="53">
        <f t="shared" si="15"/>
        <v>0.2499995737643646</v>
      </c>
      <c r="H132" s="45">
        <v>1</v>
      </c>
      <c r="I132" s="45">
        <v>0</v>
      </c>
      <c r="J132" s="261">
        <f t="shared" si="16"/>
        <v>0.24999957301001929</v>
      </c>
    </row>
    <row r="133" spans="1:11" x14ac:dyDescent="0.35">
      <c r="A133" s="136" t="s">
        <v>853</v>
      </c>
      <c r="B133">
        <f>(-SUM('Energy Consumption'!B56:B59)+SUM('Energy Consumption'!C58:C59))/('Energy Consumption'!B54-('Energy Consumption'!G5*0.0025))</f>
        <v>5.6795260889606534E-2</v>
      </c>
      <c r="C133">
        <f>(-SUM('Energy Consumption2'!B57:B60)+SUM('Energy Consumption2'!C59:C60))/('Energy Consumption2'!B54-('Energy Consumption2'!G5*0.0025))</f>
        <v>-7.4185415607002977E-3</v>
      </c>
      <c r="D133" t="s">
        <v>854</v>
      </c>
      <c r="E133" s="45">
        <v>10</v>
      </c>
      <c r="F133" s="45">
        <v>0</v>
      </c>
      <c r="G133" s="53">
        <f t="shared" si="15"/>
        <v>0.56795260889606536</v>
      </c>
      <c r="H133" s="45">
        <v>10</v>
      </c>
      <c r="I133" s="45">
        <v>0</v>
      </c>
      <c r="J133" s="261">
        <f t="shared" si="16"/>
        <v>0</v>
      </c>
    </row>
    <row r="134" spans="1:11" x14ac:dyDescent="0.35">
      <c r="A134" s="136" t="s">
        <v>855</v>
      </c>
      <c r="B134" s="196">
        <f>SUM('Energy Consumption'!B56:B57,'Energy Consumption'!B60)/('EoL Material Flow Analysis'!AC46-'EoL Material Flow Analysis'!AD46)</f>
        <v>2.0101885331148987E-2</v>
      </c>
      <c r="C134" s="196">
        <f>SUM('Energy Consumption2'!B57:B58,'Energy Consumption2'!B61)/('EoL Material Flow Analysis'!AC64-'EoL Material Flow Analysis'!AD64)</f>
        <v>2.0750563746887628E-2</v>
      </c>
      <c r="D134" t="s">
        <v>840</v>
      </c>
      <c r="E134" s="45">
        <v>0</v>
      </c>
      <c r="F134" s="45">
        <f>0.1*B127</f>
        <v>2.2984984512833752E-3</v>
      </c>
      <c r="G134" s="53">
        <f>IF((B134-F134)/(E134-F134)*100 &lt; 0, 0)</f>
        <v>0</v>
      </c>
      <c r="H134" s="45">
        <v>0</v>
      </c>
      <c r="I134" s="45">
        <f>0.1*H127</f>
        <v>1.7412029686017976E-3</v>
      </c>
      <c r="J134" s="261">
        <f t="shared" si="16"/>
        <v>0</v>
      </c>
      <c r="K134" t="s">
        <v>856</v>
      </c>
    </row>
    <row r="135" spans="1:11" x14ac:dyDescent="0.35">
      <c r="A135" s="181" t="s">
        <v>857</v>
      </c>
      <c r="B135" s="182" t="s">
        <v>248</v>
      </c>
      <c r="C135" s="182" t="s">
        <v>1759</v>
      </c>
      <c r="D135" s="182" t="s">
        <v>249</v>
      </c>
      <c r="E135" s="182" t="s">
        <v>646</v>
      </c>
      <c r="F135" s="182" t="s">
        <v>647</v>
      </c>
      <c r="G135" s="182" t="s">
        <v>648</v>
      </c>
      <c r="H135" s="182"/>
      <c r="I135" s="182"/>
      <c r="J135" s="182"/>
      <c r="K135" s="182" t="s">
        <v>649</v>
      </c>
    </row>
    <row r="136" spans="1:11" x14ac:dyDescent="0.35">
      <c r="A136" s="183" t="s">
        <v>858</v>
      </c>
      <c r="B136" s="264">
        <f>'Economic Analysis'!C20</f>
        <v>25793469.551215742</v>
      </c>
      <c r="C136" s="264">
        <f>'Economic Analysis'!G20</f>
        <v>8802658.0202293079</v>
      </c>
      <c r="D136" t="s">
        <v>859</v>
      </c>
      <c r="E136" s="30">
        <f>1.4*'Economic Analysis'!B23</f>
        <v>22631357.883351143</v>
      </c>
      <c r="F136" s="30">
        <f>1.2*'Economic Analysis'!D23</f>
        <v>35203908.924578257</v>
      </c>
      <c r="G136" s="53">
        <f>(B136-F136)/(E136-F136)*100</f>
        <v>74.849084664714411</v>
      </c>
      <c r="H136" s="53">
        <f>1.4*'Economic Analysis'!F23</f>
        <v>4155393.5893711476</v>
      </c>
      <c r="I136" s="53">
        <f>1.2*'Economic Analysis'!H23</f>
        <v>17528066.178288449</v>
      </c>
      <c r="J136" s="261">
        <f t="shared" si="14"/>
        <v>65.24805045545186</v>
      </c>
      <c r="K136" t="s">
        <v>860</v>
      </c>
    </row>
    <row r="137" spans="1:11" x14ac:dyDescent="0.35">
      <c r="A137" s="183" t="s">
        <v>861</v>
      </c>
      <c r="B137" s="264">
        <f>'Economic Analysis'!C23</f>
        <v>20634775.640972596</v>
      </c>
      <c r="C137" s="264">
        <f>'Economic Analysis'!G23</f>
        <v>7042126.4161834465</v>
      </c>
      <c r="D137" t="s">
        <v>859</v>
      </c>
      <c r="E137" s="30">
        <f>0.38*B136</f>
        <v>9801518.4294619821</v>
      </c>
      <c r="F137" s="30">
        <f>1.7*B136</f>
        <v>43848898.237066761</v>
      </c>
      <c r="G137" s="53">
        <f t="shared" ref="G137:G148" si="17">(B137-F137)/(E137-F137)*100</f>
        <v>68.181818181818187</v>
      </c>
      <c r="H137" s="30">
        <f>0.38*C136</f>
        <v>3345010.047687137</v>
      </c>
      <c r="I137" s="30">
        <f>1.7*C136</f>
        <v>14964518.634389823</v>
      </c>
      <c r="J137" s="261">
        <f t="shared" si="14"/>
        <v>68.181818181818187</v>
      </c>
    </row>
    <row r="138" spans="1:11" x14ac:dyDescent="0.35">
      <c r="A138" s="183" t="s">
        <v>862</v>
      </c>
      <c r="B138" s="264">
        <f>('Economic Analysis'!C12+'Economic Analysis'!C13+'Economic Analysis'!C17)/('EoL Material Flow Analysis'!AC46-'EoL Material Flow Analysis'!AD46)</f>
        <v>2.160595285222382</v>
      </c>
      <c r="C138" s="264">
        <f>('Economic Analysis'!G12+'Economic Analysis'!G13+'Economic Analysis'!G17)/('EoL Material Flow Analysis'!AC64-'EoL Material Flow Analysis'!AD64)</f>
        <v>0.72218606954414111</v>
      </c>
      <c r="D138" t="s">
        <v>863</v>
      </c>
      <c r="E138" s="43">
        <f>0.1*'Economic Analysis'!B20/('EoL Material Flow Analysis'!AC46-'EoL Material Flow Analysis'!AD46)</f>
        <v>0.7342619870378887</v>
      </c>
      <c r="F138" s="43">
        <f>0.8*'Economic Analysis'!D20/('EoL Material Flow Analysis'!AC46-'EoL Material Flow Analysis'!AD46)</f>
        <v>10.660267390162085</v>
      </c>
      <c r="G138" s="53">
        <f t="shared" si="17"/>
        <v>85.630339293029635</v>
      </c>
      <c r="H138" s="53">
        <f>0.1*'Economic Analysis'!F20/('EoL Material Flow Analysis'!AC64-'EoL Material Flow Analysis'!AD64)</f>
        <v>0.14429870300086425</v>
      </c>
      <c r="I138" s="53">
        <f>0.8*'Economic Analysis'!H20/('EoL Material Flow Analysis'!AC64-'EoL Material Flow Analysis'!AD64)</f>
        <v>5.6809509949571284</v>
      </c>
      <c r="J138" s="261">
        <f t="shared" si="14"/>
        <v>89.562512939762527</v>
      </c>
      <c r="K138" t="s">
        <v>864</v>
      </c>
    </row>
    <row r="139" spans="1:11" x14ac:dyDescent="0.35">
      <c r="A139" s="183" t="s">
        <v>865</v>
      </c>
      <c r="B139" s="264">
        <f>('Economic Analysis'!C12+'Economic Analysis'!C13+'Economic Analysis'!C17)</f>
        <v>5945863.9622582542</v>
      </c>
      <c r="C139" s="264">
        <f>('Economic Analysis'!G12+'Economic Analysis'!G13+'Economic Analysis'!G17)</f>
        <v>1856867.1030672595</v>
      </c>
      <c r="D139" t="s">
        <v>859</v>
      </c>
      <c r="E139" s="30">
        <f>0.1*'Economic Analysis'!B20</f>
        <v>2020656.9538706378</v>
      </c>
      <c r="F139" s="30">
        <f>0.8*'Economic Analysis'!D20</f>
        <v>29336590.770481881</v>
      </c>
      <c r="G139" s="53">
        <f t="shared" si="17"/>
        <v>85.63033929302965</v>
      </c>
      <c r="H139" s="53">
        <f>0.1*'Economic Analysis'!F20</f>
        <v>371017.28476528107</v>
      </c>
      <c r="I139" s="53">
        <f>0.8*'Economic Analysis'!H20</f>
        <v>14606721.815240376</v>
      </c>
      <c r="J139" s="261">
        <f t="shared" si="14"/>
        <v>89.562512939762513</v>
      </c>
    </row>
    <row r="140" spans="1:11" x14ac:dyDescent="0.35">
      <c r="A140" s="183" t="s">
        <v>866</v>
      </c>
      <c r="B140" s="264">
        <f>'Economic Analysis'!C16</f>
        <v>1774921.8005120656</v>
      </c>
      <c r="C140" s="264">
        <f>'Economic Analysis'!G16+'Economic Analysis'!G19</f>
        <v>4853389.7208563378</v>
      </c>
      <c r="D140" t="s">
        <v>859</v>
      </c>
      <c r="E140" s="30">
        <f>'Economic Analysis'!B16</f>
        <v>821013.25597680127</v>
      </c>
      <c r="F140" s="30">
        <f>'Economic Analysis'!D16</f>
        <v>8019199.2444245694</v>
      </c>
      <c r="G140" s="53">
        <f t="shared" si="17"/>
        <v>86.747931408466329</v>
      </c>
      <c r="H140" s="53">
        <f>'Economic Analysis'!F16+'Economic Analysis'!F19</f>
        <v>771607.22422497952</v>
      </c>
      <c r="I140" s="53">
        <f>'Economic Analysis'!H16+'Economic Analysis'!H19</f>
        <v>13298431.293732356</v>
      </c>
      <c r="J140" s="261">
        <f t="shared" si="14"/>
        <v>67.415663587331935</v>
      </c>
      <c r="K140" t="s">
        <v>867</v>
      </c>
    </row>
    <row r="141" spans="1:11" x14ac:dyDescent="0.35">
      <c r="A141" s="183" t="s">
        <v>868</v>
      </c>
      <c r="B141" s="264">
        <f>B140/SUM('Energy Consumption'!K8:K49)</f>
        <v>3.7184119436032781E-6</v>
      </c>
      <c r="C141" s="264">
        <f>C140/SUM('Energy Consumption2'!K8:K49)</f>
        <v>1.4214786921346686E-5</v>
      </c>
      <c r="D141" t="s">
        <v>869</v>
      </c>
      <c r="E141">
        <v>1.72E-6</v>
      </c>
      <c r="F141" s="204">
        <v>1.6799999999999998E-5</v>
      </c>
      <c r="G141" s="53">
        <f t="shared" si="17"/>
        <v>86.747931408466329</v>
      </c>
      <c r="H141">
        <v>1.72E-6</v>
      </c>
      <c r="I141" s="204">
        <v>1.6799999999999998E-5</v>
      </c>
      <c r="J141" s="261">
        <f t="shared" si="14"/>
        <v>17.143322802740798</v>
      </c>
    </row>
    <row r="142" spans="1:11" x14ac:dyDescent="0.35">
      <c r="A142" s="183" t="s">
        <v>870</v>
      </c>
      <c r="B142" s="264">
        <f>B140/B136</f>
        <v>6.8812836403717034E-2</v>
      </c>
      <c r="C142" s="264">
        <f>C140/C136</f>
        <v>0.5513550236420417</v>
      </c>
      <c r="D142" t="s">
        <v>871</v>
      </c>
      <c r="E142" s="44">
        <f>'Economic Analysis'!B16/'Economic Analysis'!B20</f>
        <v>4.063100638651812E-2</v>
      </c>
      <c r="F142" s="44">
        <f>'Economic Analysis'!D16/'Economic Analysis'!D20</f>
        <v>0.21868114961724566</v>
      </c>
      <c r="G142" s="53">
        <f t="shared" si="17"/>
        <v>84.171970038418166</v>
      </c>
      <c r="H142" s="53">
        <f>'Economic Analysis'!F16/'Economic Analysis'!F20</f>
        <v>0.15828476511451584</v>
      </c>
      <c r="I142" s="53">
        <f>'Economic Analysis'!H16/'Economic Analysis'!H20</f>
        <v>0.31416031409579975</v>
      </c>
      <c r="J142" s="261">
        <f>IF((C142-I142)/(H142-I142)*100&lt;0,0,(C142-I142)/(H142-I142)*100)</f>
        <v>0</v>
      </c>
    </row>
    <row r="143" spans="1:11" x14ac:dyDescent="0.35">
      <c r="A143" s="183" t="s">
        <v>872</v>
      </c>
      <c r="B143" s="267">
        <f>'Economic Analysis'!C31</f>
        <v>1635394.2944598433</v>
      </c>
      <c r="C143" s="264">
        <f>'Economic Analysis'!G31</f>
        <v>1529818.8548030341</v>
      </c>
      <c r="D143" t="s">
        <v>859</v>
      </c>
      <c r="E143">
        <v>0</v>
      </c>
      <c r="F143">
        <f>'Economic Analysis'!D29*2</f>
        <v>20463519.627855901</v>
      </c>
      <c r="G143" s="53">
        <f t="shared" si="17"/>
        <v>92.008245286242612</v>
      </c>
      <c r="H143" s="53">
        <v>0</v>
      </c>
      <c r="I143" s="53">
        <f>'Economic Analysis'!H29*2</f>
        <v>19142465.073027454</v>
      </c>
      <c r="J143" s="261">
        <f t="shared" si="14"/>
        <v>92.008245286242612</v>
      </c>
      <c r="K143" t="s">
        <v>873</v>
      </c>
    </row>
    <row r="144" spans="1:11" x14ac:dyDescent="0.35">
      <c r="A144" s="183" t="s">
        <v>874</v>
      </c>
      <c r="B144" s="264">
        <f>B143/B136</f>
        <v>6.3403424312987053E-2</v>
      </c>
      <c r="C144" s="264">
        <f>C143/C136</f>
        <v>0.1737905586343774</v>
      </c>
      <c r="D144" t="s">
        <v>875</v>
      </c>
      <c r="E144">
        <v>0</v>
      </c>
      <c r="F144">
        <f>F143/B136</f>
        <v>0.79336048945347792</v>
      </c>
      <c r="G144" s="53">
        <f t="shared" si="17"/>
        <v>92.008245286242612</v>
      </c>
      <c r="H144" s="53">
        <v>0</v>
      </c>
      <c r="I144" s="53">
        <f>I143/C136</f>
        <v>2.1746232818583127</v>
      </c>
      <c r="J144" s="261">
        <f t="shared" si="14"/>
        <v>92.008245286242612</v>
      </c>
    </row>
    <row r="145" spans="1:11" x14ac:dyDescent="0.35">
      <c r="A145" s="183" t="s">
        <v>876</v>
      </c>
      <c r="B145" s="264">
        <f>'Economic Analysis'!C34</f>
        <v>3391848.5040261913</v>
      </c>
      <c r="C145" s="264">
        <f>'Economic Analysis'!G34</f>
        <v>169592.42520130958</v>
      </c>
      <c r="D145" t="s">
        <v>859</v>
      </c>
      <c r="E145">
        <v>0</v>
      </c>
      <c r="F145">
        <f>'Economic Analysis'!D32*2</f>
        <v>42441849.450000003</v>
      </c>
      <c r="G145" s="53">
        <f t="shared" si="17"/>
        <v>92.008245286242612</v>
      </c>
      <c r="H145" s="53">
        <v>0</v>
      </c>
      <c r="I145" s="53">
        <f>'Economic Analysis'!H32*2</f>
        <v>2122092.4725000001</v>
      </c>
      <c r="J145" s="261">
        <f t="shared" si="14"/>
        <v>92.008245286242612</v>
      </c>
    </row>
    <row r="146" spans="1:11" x14ac:dyDescent="0.35">
      <c r="A146" s="183" t="s">
        <v>877</v>
      </c>
      <c r="B146" s="264">
        <f>B145/B136</f>
        <v>0.13150028139065614</v>
      </c>
      <c r="C146" s="264">
        <f>C145/C136</f>
        <v>1.9266047233866268E-2</v>
      </c>
      <c r="D146" t="s">
        <v>878</v>
      </c>
      <c r="E146">
        <v>0</v>
      </c>
      <c r="F146">
        <f>F145/B136</f>
        <v>1.645449417563895</v>
      </c>
      <c r="G146" s="53">
        <f t="shared" si="17"/>
        <v>92.008245286242612</v>
      </c>
      <c r="H146" s="53">
        <v>0</v>
      </c>
      <c r="I146" s="53">
        <f>I145/C136</f>
        <v>0.24107405599799955</v>
      </c>
      <c r="J146" s="261">
        <f t="shared" si="14"/>
        <v>92.008245286242612</v>
      </c>
    </row>
    <row r="147" spans="1:11" x14ac:dyDescent="0.35">
      <c r="A147" s="183" t="s">
        <v>879</v>
      </c>
      <c r="B147" s="267">
        <f>'Economic Analysis'!C42</f>
        <v>762740.9842597798</v>
      </c>
      <c r="C147" s="264">
        <f>'Economic Analysis'!G42</f>
        <v>712635.17285024945</v>
      </c>
      <c r="D147" t="s">
        <v>859</v>
      </c>
      <c r="E147" s="30">
        <f>'Economic Analysis'!C42</f>
        <v>762740.9842597798</v>
      </c>
      <c r="F147" s="30">
        <v>0</v>
      </c>
      <c r="G147" s="53">
        <f t="shared" si="17"/>
        <v>100</v>
      </c>
      <c r="H147" s="53">
        <f>'Economic Analysis'!G42</f>
        <v>712635.17285024945</v>
      </c>
      <c r="I147" s="53">
        <v>0</v>
      </c>
      <c r="J147" s="261">
        <f t="shared" si="14"/>
        <v>100</v>
      </c>
      <c r="K147" t="s">
        <v>880</v>
      </c>
    </row>
    <row r="148" spans="1:11" x14ac:dyDescent="0.35">
      <c r="A148" s="183" t="s">
        <v>881</v>
      </c>
      <c r="B148" s="264">
        <f>B147/'Economic Analysis'!C42</f>
        <v>1</v>
      </c>
      <c r="C148" s="264">
        <f>B147/'Economic Analysis'!G42</f>
        <v>1.0703106067711021</v>
      </c>
      <c r="D148" t="s">
        <v>882</v>
      </c>
      <c r="E148">
        <v>1</v>
      </c>
      <c r="F148">
        <v>0</v>
      </c>
      <c r="G148" s="53">
        <f t="shared" si="17"/>
        <v>100</v>
      </c>
      <c r="H148" s="53">
        <v>1</v>
      </c>
      <c r="I148" s="53">
        <v>0</v>
      </c>
      <c r="J148" s="261">
        <f>IF((C148-I148)/(H148-I148)*100&gt;100,100,(C148-I148)/(H148-I148)*100)</f>
        <v>100</v>
      </c>
    </row>
  </sheetData>
  <mergeCells count="2">
    <mergeCell ref="H1:J1"/>
    <mergeCell ref="E1:G1"/>
  </mergeCells>
  <phoneticPr fontId="13" type="noConversion"/>
  <hyperlinks>
    <hyperlink ref="M52" r:id="rId1" xr:uid="{C3AE0F91-6B0A-45D2-9852-C5F049A9CB31}"/>
    <hyperlink ref="M78" r:id="rId2" xr:uid="{F020EA5E-0762-41CE-BE57-FD08AA3B3FA6}"/>
  </hyperlinks>
  <pageMargins left="0.7" right="0.7" top="0.75" bottom="0.75" header="0.3" footer="0.3"/>
  <pageSetup orientation="portrait" horizontalDpi="360" verticalDpi="360"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D9E0D-ED64-48F0-9E02-AF657E6D7B0D}">
  <sheetPr>
    <tabColor rgb="FF92D050"/>
  </sheetPr>
  <dimension ref="A1:W45"/>
  <sheetViews>
    <sheetView topLeftCell="A21" workbookViewId="0">
      <selection activeCell="F19" sqref="F19"/>
    </sheetView>
  </sheetViews>
  <sheetFormatPr defaultRowHeight="14.5" x14ac:dyDescent="0.35"/>
  <cols>
    <col min="1" max="1" width="49.453125" customWidth="1"/>
    <col min="2" max="2" width="19.26953125" customWidth="1"/>
    <col min="3" max="3" width="17.54296875" bestFit="1" customWidth="1"/>
    <col min="4" max="4" width="18" customWidth="1"/>
    <col min="5" max="5" width="13.54296875" customWidth="1"/>
    <col min="6" max="6" width="26" customWidth="1"/>
    <col min="7" max="7" width="21.7265625" customWidth="1"/>
    <col min="8" max="8" width="18" customWidth="1"/>
    <col min="11" max="11" width="13.7265625" customWidth="1"/>
    <col min="12" max="12" width="13.81640625" customWidth="1"/>
    <col min="13" max="13" width="15.1796875" customWidth="1"/>
    <col min="14" max="14" width="11" customWidth="1"/>
    <col min="15" max="15" width="27" customWidth="1"/>
    <col min="16" max="16" width="18.453125" customWidth="1"/>
    <col min="17" max="17" width="19.81640625" customWidth="1"/>
    <col min="18" max="18" width="23.81640625" customWidth="1"/>
    <col min="19" max="19" width="25.453125" customWidth="1"/>
    <col min="20" max="20" width="15.81640625" customWidth="1"/>
    <col min="21" max="21" width="14.81640625" bestFit="1" customWidth="1"/>
    <col min="22" max="22" width="26.54296875" customWidth="1"/>
    <col min="23" max="23" width="14.81640625" bestFit="1" customWidth="1"/>
  </cols>
  <sheetData>
    <row r="1" spans="1:23" x14ac:dyDescent="0.35">
      <c r="A1" t="s">
        <v>883</v>
      </c>
    </row>
    <row r="2" spans="1:23" x14ac:dyDescent="0.35">
      <c r="A2" t="s">
        <v>884</v>
      </c>
    </row>
    <row r="3" spans="1:23" x14ac:dyDescent="0.35">
      <c r="A3" s="11" t="s">
        <v>885</v>
      </c>
      <c r="B3" s="11" t="s">
        <v>886</v>
      </c>
      <c r="C3" s="11" t="s">
        <v>887</v>
      </c>
      <c r="D3" s="11" t="s">
        <v>888</v>
      </c>
      <c r="E3" s="11" t="s">
        <v>889</v>
      </c>
      <c r="F3" s="11" t="s">
        <v>1761</v>
      </c>
      <c r="G3" s="11" t="s">
        <v>356</v>
      </c>
      <c r="H3" s="11"/>
      <c r="I3" s="11"/>
    </row>
    <row r="4" spans="1:23" x14ac:dyDescent="0.35">
      <c r="B4" t="s">
        <v>890</v>
      </c>
      <c r="C4" t="s">
        <v>890</v>
      </c>
      <c r="D4" t="s">
        <v>890</v>
      </c>
      <c r="E4" t="s">
        <v>315</v>
      </c>
      <c r="F4" t="s">
        <v>315</v>
      </c>
    </row>
    <row r="5" spans="1:23" x14ac:dyDescent="0.35">
      <c r="A5" s="11" t="s">
        <v>891</v>
      </c>
      <c r="B5">
        <v>90</v>
      </c>
      <c r="C5">
        <f>(B5+D5)/2</f>
        <v>145</v>
      </c>
      <c r="D5">
        <v>200</v>
      </c>
      <c r="E5" s="30">
        <f>'EoL Material Flow Analysis'!AB46+'EoL Material Flow Analysis'!O46</f>
        <v>31452684.53892795</v>
      </c>
      <c r="F5" s="30">
        <f>'EoL Material Flow Analysis'!AB64+'EoL Material Flow Analysis'!O64</f>
        <v>10632278.772763727</v>
      </c>
      <c r="G5" t="s">
        <v>892</v>
      </c>
    </row>
    <row r="6" spans="1:23" x14ac:dyDescent="0.35">
      <c r="A6" s="11" t="s">
        <v>893</v>
      </c>
      <c r="B6">
        <v>30</v>
      </c>
      <c r="C6">
        <f t="shared" ref="C6:C8" si="0">(B6+D6)/2</f>
        <v>55</v>
      </c>
      <c r="D6">
        <v>80</v>
      </c>
      <c r="E6" s="30">
        <f>'EoL Material Flow Analysis'!AC46</f>
        <v>2779753.9110070257</v>
      </c>
      <c r="F6" s="30">
        <f>'EoL Material Flow Analysis'!AC64</f>
        <v>2597146.934190392</v>
      </c>
    </row>
    <row r="7" spans="1:23" x14ac:dyDescent="0.35">
      <c r="A7" s="11" t="s">
        <v>894</v>
      </c>
      <c r="B7">
        <v>600</v>
      </c>
      <c r="C7">
        <f t="shared" si="0"/>
        <v>700</v>
      </c>
      <c r="D7">
        <v>800</v>
      </c>
      <c r="E7" s="30">
        <f>'EoL Material Flow Analysis'!AE46</f>
        <v>22782848.262356464</v>
      </c>
      <c r="F7" s="30">
        <f>'EoL Material Flow Analysis'!AE64</f>
        <v>2532617.3351272065</v>
      </c>
    </row>
    <row r="8" spans="1:23" x14ac:dyDescent="0.35">
      <c r="A8" s="11" t="s">
        <v>895</v>
      </c>
      <c r="B8">
        <v>44</v>
      </c>
      <c r="C8">
        <f t="shared" si="0"/>
        <v>49.5</v>
      </c>
      <c r="D8">
        <v>55</v>
      </c>
      <c r="E8" s="30">
        <f>'EoL Material Flow Analysis'!AE46</f>
        <v>22782848.262356464</v>
      </c>
      <c r="F8" s="30">
        <f>'EoL Material Flow Analysis'!AE64</f>
        <v>2532617.3351272065</v>
      </c>
    </row>
    <row r="9" spans="1:23" x14ac:dyDescent="0.35">
      <c r="A9" s="200"/>
      <c r="B9" s="200"/>
      <c r="C9" s="200"/>
      <c r="D9" s="200"/>
      <c r="E9" s="200"/>
      <c r="F9" s="200"/>
    </row>
    <row r="10" spans="1:23" x14ac:dyDescent="0.35">
      <c r="A10" s="11" t="s">
        <v>885</v>
      </c>
      <c r="B10" s="11" t="s">
        <v>886</v>
      </c>
      <c r="C10" s="11" t="s">
        <v>887</v>
      </c>
      <c r="D10" s="11" t="s">
        <v>888</v>
      </c>
      <c r="F10" s="65" t="s">
        <v>1763</v>
      </c>
      <c r="G10" s="65" t="s">
        <v>1764</v>
      </c>
      <c r="H10" s="65" t="s">
        <v>1765</v>
      </c>
    </row>
    <row r="11" spans="1:23" x14ac:dyDescent="0.35">
      <c r="B11" t="s">
        <v>859</v>
      </c>
      <c r="C11" t="s">
        <v>859</v>
      </c>
      <c r="D11" t="s">
        <v>859</v>
      </c>
      <c r="F11" s="183" t="s">
        <v>859</v>
      </c>
      <c r="G11" s="183" t="s">
        <v>859</v>
      </c>
      <c r="H11" s="183" t="s">
        <v>859</v>
      </c>
      <c r="I11" s="183"/>
    </row>
    <row r="12" spans="1:23" x14ac:dyDescent="0.35">
      <c r="A12" s="11" t="s">
        <v>896</v>
      </c>
      <c r="B12" s="201">
        <f>B5*0.00110231*E5</f>
        <v>3120354.7824695101</v>
      </c>
      <c r="C12" s="201">
        <f>C5*0.00110231*E5</f>
        <v>5027238.2606453225</v>
      </c>
      <c r="D12" s="201">
        <f>D5*0.00110231*E5</f>
        <v>6934121.738821133</v>
      </c>
      <c r="F12" s="253">
        <f>B5*0.00110231*F5</f>
        <v>1054806.0492604666</v>
      </c>
      <c r="G12" s="253">
        <f>C5*0.00110231*F5</f>
        <v>1699409.7460307518</v>
      </c>
      <c r="H12" s="253">
        <f>D5*0.00110231*F5</f>
        <v>2344013.4428010369</v>
      </c>
      <c r="I12" s="183"/>
      <c r="L12" t="s">
        <v>1775</v>
      </c>
    </row>
    <row r="13" spans="1:23" x14ac:dyDescent="0.35">
      <c r="A13" s="11" t="s">
        <v>893</v>
      </c>
      <c r="B13" s="201">
        <f>B6*0.00110231*E6</f>
        <v>91924.51600926464</v>
      </c>
      <c r="C13" s="201">
        <f>C6*0.00110231*E6</f>
        <v>168528.27935031851</v>
      </c>
      <c r="D13" s="201">
        <f>D6*0.00110231*E6</f>
        <v>245132.04269137239</v>
      </c>
      <c r="F13" s="253">
        <f>B6*0.00110231*F6</f>
        <v>85885.831110822342</v>
      </c>
      <c r="G13" s="253">
        <f>C6*0.00110231*F6</f>
        <v>157457.3570365076</v>
      </c>
      <c r="H13" s="253">
        <f>D6*0.00110231*F6</f>
        <v>229028.8829621929</v>
      </c>
      <c r="I13" s="183"/>
      <c r="L13" t="s">
        <v>1772</v>
      </c>
    </row>
    <row r="14" spans="1:23" x14ac:dyDescent="0.35">
      <c r="A14" s="11" t="s">
        <v>897</v>
      </c>
      <c r="B14" s="201">
        <f>(B7/907.185)*E7</f>
        <v>15068270.482221244</v>
      </c>
      <c r="C14" s="201">
        <f>(C7/907.185)*E7</f>
        <v>17579648.895924784</v>
      </c>
      <c r="D14" s="201">
        <f>(D7/907.185)*E7</f>
        <v>20091027.309628326</v>
      </c>
      <c r="F14" s="253">
        <f>B7*0.00110231*F7</f>
        <v>1675037.6488104428</v>
      </c>
      <c r="G14" s="253">
        <f>C7*0.00110231*F7</f>
        <v>1954210.5902788497</v>
      </c>
      <c r="H14" s="253">
        <f>D7*0.00110231*F7</f>
        <v>2233383.5317472569</v>
      </c>
      <c r="I14" s="183"/>
      <c r="L14" t="s">
        <v>1769</v>
      </c>
      <c r="M14" t="s">
        <v>1770</v>
      </c>
      <c r="N14" t="s">
        <v>1771</v>
      </c>
      <c r="O14" t="s">
        <v>1774</v>
      </c>
      <c r="P14" t="s">
        <v>1773</v>
      </c>
      <c r="Q14" t="s">
        <v>1776</v>
      </c>
      <c r="R14" t="s">
        <v>1777</v>
      </c>
      <c r="S14" t="s">
        <v>1780</v>
      </c>
      <c r="T14" t="s">
        <v>1778</v>
      </c>
      <c r="U14" t="s">
        <v>1779</v>
      </c>
      <c r="V14" t="s">
        <v>1781</v>
      </c>
      <c r="W14" t="s">
        <v>1782</v>
      </c>
    </row>
    <row r="15" spans="1:23" x14ac:dyDescent="0.35">
      <c r="A15" s="11" t="s">
        <v>895</v>
      </c>
      <c r="B15" s="201">
        <f>(B8/907.185)*E8</f>
        <v>1105006.5020295579</v>
      </c>
      <c r="C15" s="201">
        <f>(C8/907.185)*E8</f>
        <v>1243132.3147832525</v>
      </c>
      <c r="D15" s="201">
        <f>(D8/907.185)*E8</f>
        <v>1381258.1275369474</v>
      </c>
      <c r="F15" s="253">
        <f>B8*0.00110231*F8</f>
        <v>122836.09424609912</v>
      </c>
      <c r="G15" s="253">
        <f>C8*0.00110231*F8</f>
        <v>138190.60602686153</v>
      </c>
      <c r="H15" s="253">
        <f>D8*0.00110231*F8</f>
        <v>153545.1178076239</v>
      </c>
      <c r="I15" s="183"/>
      <c r="K15" t="s">
        <v>886</v>
      </c>
      <c r="L15">
        <v>2.5</v>
      </c>
      <c r="M15">
        <v>14000</v>
      </c>
      <c r="N15">
        <v>3700</v>
      </c>
      <c r="O15">
        <v>600</v>
      </c>
      <c r="P15">
        <v>1600</v>
      </c>
      <c r="Q15" s="30">
        <f>'EoL Material Flow Analysis'!D38</f>
        <v>21435277.5</v>
      </c>
      <c r="R15">
        <f>Q15/2.97533</f>
        <v>7204336.1576699056</v>
      </c>
      <c r="S15">
        <v>110</v>
      </c>
      <c r="T15">
        <f>R15/S15</f>
        <v>65493.965069726415</v>
      </c>
      <c r="U15" s="264">
        <f>T15*M15</f>
        <v>916915510.97616982</v>
      </c>
      <c r="V15" s="264">
        <f>0.117*U15</f>
        <v>107279114.78421187</v>
      </c>
      <c r="W15" s="265">
        <f>V15+P15+O15+N15</f>
        <v>107285014.78421187</v>
      </c>
    </row>
    <row r="16" spans="1:23" x14ac:dyDescent="0.35">
      <c r="A16" s="11" t="s">
        <v>898</v>
      </c>
      <c r="B16" s="201">
        <f>0.00000172*SUM('Energy Consumption'!K8:K49)</f>
        <v>821013.25597680127</v>
      </c>
      <c r="C16" s="201">
        <f>0.00000172*SUM('Energy Consumption'!L8:L49)+0.0000168*SUM('Energy Consumption'!M8:M49)</f>
        <v>1774921.8005120656</v>
      </c>
      <c r="D16" s="201">
        <f>0.0000168*SUM('Energy Consumption'!K8:K49)</f>
        <v>8019199.2444245694</v>
      </c>
      <c r="F16" s="253">
        <f>0.00000172*SUM('Energy Consumption2'!K8:K49)</f>
        <v>587263.8377249795</v>
      </c>
      <c r="G16" s="253">
        <f>0.00000172*SUM('Energy Consumption2'!L8:L49)+0.0000168*SUM('Energy Consumption2'!M8:M49)</f>
        <v>980035.07660633815</v>
      </c>
      <c r="H16" s="253">
        <f>0.0000168*SUM('Energy Consumption2'!K8:K49)</f>
        <v>5736065.3917323574</v>
      </c>
      <c r="I16" s="183"/>
      <c r="K16" t="s">
        <v>888</v>
      </c>
      <c r="L16">
        <v>10</v>
      </c>
      <c r="M16">
        <v>25000</v>
      </c>
      <c r="N16">
        <v>4700</v>
      </c>
      <c r="O16">
        <v>600</v>
      </c>
      <c r="P16">
        <v>1600</v>
      </c>
      <c r="Q16" s="30">
        <f>'EoL Material Flow Analysis'!D38</f>
        <v>21435277.5</v>
      </c>
      <c r="R16">
        <f>Q16/2.97533</f>
        <v>7204336.1576699056</v>
      </c>
      <c r="S16">
        <v>660</v>
      </c>
      <c r="T16">
        <f>R16/S16</f>
        <v>10915.660844954402</v>
      </c>
      <c r="U16" s="264">
        <f>T16*M16</f>
        <v>272891521.12386006</v>
      </c>
      <c r="V16" s="264">
        <f>0.302*U16</f>
        <v>82413239.379405737</v>
      </c>
      <c r="W16" s="265">
        <f>V16+P16+O16+N16</f>
        <v>82420139.379405737</v>
      </c>
    </row>
    <row r="17" spans="1:9" x14ac:dyDescent="0.35">
      <c r="A17" s="232" t="s">
        <v>899</v>
      </c>
      <c r="B17" s="233">
        <f>0.00000172*SUM('Energy Consumption'!K8:K11,'Energy Consumption'!K15:K24,'Energy Consumption'!K31:K42)</f>
        <v>410679.07355773385</v>
      </c>
      <c r="C17" s="233">
        <f>0.00000172*SUM('Energy Consumption'!L8:L11,'Energy Consumption'!L15:L24,'Energy Consumption'!L31:L42)+0.0000168*SUM('Energy Consumption'!M8:M11,'Energy Consumption'!M15:M24,'Energy Consumption'!M31:M42)</f>
        <v>750097.42226261308</v>
      </c>
      <c r="D17" s="233">
        <f>0.0000168*SUM('Energy Consumption'!K8:K11,'Energy Consumption'!K15:K24,'Energy Consumption'!K31:K42)</f>
        <v>4011283.9742848417</v>
      </c>
      <c r="F17" s="254"/>
      <c r="G17" s="254"/>
      <c r="H17" s="254"/>
      <c r="I17" s="183"/>
    </row>
    <row r="18" spans="1:9" x14ac:dyDescent="0.35">
      <c r="A18" s="234" t="s">
        <v>900</v>
      </c>
      <c r="B18" s="233">
        <f>0.00000172*('Energy Consumption'!C58*1000)*'Energy Consumption'!E12</f>
        <v>1167425.4806092975</v>
      </c>
      <c r="C18" s="233"/>
      <c r="D18" s="233">
        <f>0.0000168*('Energy Consumption'!C58*1000)*'Energy Consumption'!E12</f>
        <v>11402760.508276857</v>
      </c>
      <c r="F18" s="254"/>
      <c r="G18" s="254"/>
      <c r="H18" s="254"/>
      <c r="I18" s="183"/>
    </row>
    <row r="19" spans="1:9" x14ac:dyDescent="0.35">
      <c r="A19" s="262" t="s">
        <v>1783</v>
      </c>
      <c r="B19" s="263">
        <v>0</v>
      </c>
      <c r="C19" s="263">
        <v>0</v>
      </c>
      <c r="D19" s="263">
        <v>0</v>
      </c>
      <c r="F19" s="266">
        <f>5*'EoL Material Flow Analysis'!D38*1000*0.00000172</f>
        <v>184343.38649999999</v>
      </c>
      <c r="G19" s="266">
        <f>MEDIAN(F19,H19)</f>
        <v>3873354.6442499994</v>
      </c>
      <c r="H19" s="266">
        <f>21*'EoL Material Flow Analysis'!D38*1000*0.0000168</f>
        <v>7562365.9019999988</v>
      </c>
      <c r="I19" s="183"/>
    </row>
    <row r="20" spans="1:9" x14ac:dyDescent="0.35">
      <c r="A20" s="63" t="s">
        <v>901</v>
      </c>
      <c r="B20" s="202">
        <f>SUM(B12:B16)</f>
        <v>20206569.538706377</v>
      </c>
      <c r="C20" s="202">
        <f>SUM(C12:C16)</f>
        <v>25793469.551215742</v>
      </c>
      <c r="D20" s="202">
        <f t="shared" ref="D20" si="1">SUM(D12:D16)</f>
        <v>36670738.463102348</v>
      </c>
      <c r="F20" s="255">
        <f>SUM(F12:F19)</f>
        <v>3710172.8476528106</v>
      </c>
      <c r="G20" s="255">
        <f>SUM(G12:G19)</f>
        <v>8802658.0202293079</v>
      </c>
      <c r="H20" s="255">
        <f>SUM(H12:H19)</f>
        <v>18258402.269050468</v>
      </c>
      <c r="I20" s="183"/>
    </row>
    <row r="21" spans="1:9" x14ac:dyDescent="0.35">
      <c r="F21" s="183"/>
      <c r="G21" s="183"/>
      <c r="H21" s="183"/>
      <c r="I21" s="183"/>
    </row>
    <row r="22" spans="1:9" x14ac:dyDescent="0.35">
      <c r="A22" s="11" t="s">
        <v>902</v>
      </c>
      <c r="B22">
        <f>B20*0.2</f>
        <v>4041313.9077412756</v>
      </c>
      <c r="C22">
        <f>C20*0.2</f>
        <v>5158693.9102431489</v>
      </c>
      <c r="D22">
        <f t="shared" ref="D22" si="2">D20*0.2</f>
        <v>7334147.6926204702</v>
      </c>
      <c r="F22" s="183">
        <f>F20*0.2</f>
        <v>742034.56953056215</v>
      </c>
      <c r="G22" s="183">
        <f>G20*0.2</f>
        <v>1760531.6040458616</v>
      </c>
      <c r="H22" s="183">
        <f>H20*0.2</f>
        <v>3651680.4538100939</v>
      </c>
      <c r="I22" s="183"/>
    </row>
    <row r="23" spans="1:9" x14ac:dyDescent="0.35">
      <c r="A23" s="11" t="s">
        <v>903</v>
      </c>
      <c r="B23">
        <f>0.8*B20</f>
        <v>16165255.630965102</v>
      </c>
      <c r="C23">
        <f>0.8*C20</f>
        <v>20634775.640972596</v>
      </c>
      <c r="D23">
        <f t="shared" ref="D23" si="3">0.8*D20</f>
        <v>29336590.770481881</v>
      </c>
      <c r="F23" s="183">
        <f>0.8*F20</f>
        <v>2968138.2781222486</v>
      </c>
      <c r="G23" s="183">
        <f>0.8*G20</f>
        <v>7042126.4161834465</v>
      </c>
      <c r="H23" s="183">
        <f t="shared" ref="H23" si="4">0.8*H20</f>
        <v>14606721.815240376</v>
      </c>
      <c r="I23" s="183"/>
    </row>
    <row r="24" spans="1:9" x14ac:dyDescent="0.35">
      <c r="F24" s="183"/>
      <c r="G24" s="183"/>
      <c r="H24" s="183"/>
      <c r="I24" s="183"/>
    </row>
    <row r="25" spans="1:9" x14ac:dyDescent="0.35">
      <c r="A25" s="11" t="s">
        <v>904</v>
      </c>
      <c r="B25" s="201">
        <f>B18/B20</f>
        <v>5.7774550913902233E-2</v>
      </c>
      <c r="C25" s="201">
        <f t="shared" ref="C25:D25" si="5">C18/C20</f>
        <v>0</v>
      </c>
      <c r="D25" s="201">
        <f t="shared" si="5"/>
        <v>0.3109498468308779</v>
      </c>
      <c r="F25" s="183"/>
      <c r="G25" s="183"/>
      <c r="H25" s="183"/>
      <c r="I25" s="183"/>
    </row>
    <row r="26" spans="1:9" x14ac:dyDescent="0.35">
      <c r="F26" s="183"/>
      <c r="G26" s="183"/>
      <c r="H26" s="183"/>
      <c r="I26" s="183"/>
    </row>
    <row r="27" spans="1:9" x14ac:dyDescent="0.35">
      <c r="E27" s="205"/>
      <c r="F27" s="256"/>
      <c r="G27" s="256"/>
      <c r="H27" s="256"/>
      <c r="I27" s="183"/>
    </row>
    <row r="28" spans="1:9" x14ac:dyDescent="0.35">
      <c r="A28" s="11" t="s">
        <v>905</v>
      </c>
      <c r="B28" s="205" t="s">
        <v>886</v>
      </c>
      <c r="C28" s="205" t="s">
        <v>887</v>
      </c>
      <c r="D28" s="205" t="s">
        <v>888</v>
      </c>
      <c r="E28" s="54"/>
      <c r="F28" s="256" t="s">
        <v>886</v>
      </c>
      <c r="G28" s="256" t="s">
        <v>887</v>
      </c>
      <c r="H28" s="256" t="s">
        <v>888</v>
      </c>
      <c r="I28" s="183"/>
    </row>
    <row r="29" spans="1:9" x14ac:dyDescent="0.35">
      <c r="A29" t="s">
        <v>906</v>
      </c>
      <c r="B29" s="67">
        <f>SUM('EoL Material Flow Analysis'!AB36,'EoL Material Flow Analysis'!AB37,'EoL Material Flow Analysis'!AB39,'EoL Material Flow Analysis'!AB40,'EoL Material Flow Analysis'!AB41,'EoL Material Flow Analysis'!O46)</f>
        <v>10231759.81392795</v>
      </c>
      <c r="C29" s="67">
        <f>SUM('EoL Material Flow Analysis'!AB36,'EoL Material Flow Analysis'!AB37,'EoL Material Flow Analysis'!AB39,'EoL Material Flow Analysis'!AB40,'EoL Material Flow Analysis'!AB41,'EoL Material Flow Analysis'!O46)</f>
        <v>10231759.81392795</v>
      </c>
      <c r="D29" s="67">
        <f>SUM('EoL Material Flow Analysis'!AB36,'EoL Material Flow Analysis'!AB37,'EoL Material Flow Analysis'!AB39,'EoL Material Flow Analysis'!AB40,'EoL Material Flow Analysis'!AB41,'EoL Material Flow Analysis'!O46)</f>
        <v>10231759.81392795</v>
      </c>
      <c r="E29" s="54"/>
      <c r="F29" s="257">
        <f>SUM('EoL Material Flow Analysis'!AB54,'EoL Material Flow Analysis'!AB55,'EoL Material Flow Analysis'!AB57,'EoL Material Flow Analysis'!AB58,'EoL Material Flow Analysis'!AB59,'EoL Material Flow Analysis'!O64)</f>
        <v>9571232.5365137272</v>
      </c>
      <c r="G29" s="257">
        <f>SUM('EoL Material Flow Analysis'!AB54,'EoL Material Flow Analysis'!AB55,'EoL Material Flow Analysis'!AB57,'EoL Material Flow Analysis'!AB58,'EoL Material Flow Analysis'!AB59,'EoL Material Flow Analysis'!O64)</f>
        <v>9571232.5365137272</v>
      </c>
      <c r="H29" s="257">
        <f>SUM('EoL Material Flow Analysis'!AB54,'EoL Material Flow Analysis'!AB55,'EoL Material Flow Analysis'!AB57,'EoL Material Flow Analysis'!AB58,'EoL Material Flow Analysis'!AB59,'EoL Material Flow Analysis'!O64)</f>
        <v>9571232.5365137272</v>
      </c>
      <c r="I29" s="183"/>
    </row>
    <row r="30" spans="1:9" x14ac:dyDescent="0.35">
      <c r="A30" t="s">
        <v>907</v>
      </c>
      <c r="B30" s="43">
        <f>B5/907.185</f>
        <v>9.9207989550091774E-2</v>
      </c>
      <c r="C30" s="43">
        <f>C5/907.185</f>
        <v>0.15983509427514786</v>
      </c>
      <c r="D30" s="43">
        <f>D5/907.185</f>
        <v>0.22046219900020395</v>
      </c>
      <c r="E30" s="30"/>
      <c r="F30" s="258"/>
      <c r="G30" s="183"/>
      <c r="H30" s="183"/>
      <c r="I30" s="183"/>
    </row>
    <row r="31" spans="1:9" x14ac:dyDescent="0.35">
      <c r="A31" s="137" t="s">
        <v>908</v>
      </c>
      <c r="B31" s="206">
        <f>B29*B30</f>
        <v>1015072.3206992131</v>
      </c>
      <c r="C31" s="206">
        <f>C29*C30</f>
        <v>1635394.2944598433</v>
      </c>
      <c r="D31" s="206">
        <f>D29*D30</f>
        <v>2255716.2682204735</v>
      </c>
      <c r="E31" s="30"/>
      <c r="F31" s="259">
        <f>F29*B30</f>
        <v>949542.73746395227</v>
      </c>
      <c r="G31" s="259">
        <f>G29*C30</f>
        <v>1529818.8548030341</v>
      </c>
      <c r="H31" s="259">
        <f>H29*D30</f>
        <v>2110094.9721421162</v>
      </c>
      <c r="I31" s="183"/>
    </row>
    <row r="32" spans="1:9" x14ac:dyDescent="0.35">
      <c r="A32" t="s">
        <v>909</v>
      </c>
      <c r="B32" s="43">
        <f>'EoL Material Flow Analysis'!AB38</f>
        <v>21220924.725000001</v>
      </c>
      <c r="C32" s="43">
        <f>'EoL Material Flow Analysis'!AB38</f>
        <v>21220924.725000001</v>
      </c>
      <c r="D32" s="43">
        <f>'EoL Material Flow Analysis'!AB38</f>
        <v>21220924.725000001</v>
      </c>
      <c r="E32" s="30"/>
      <c r="F32" s="260">
        <f>'EoL Material Flow Analysis'!AB56</f>
        <v>1061046.2362500001</v>
      </c>
      <c r="G32" s="260">
        <f>'EoL Material Flow Analysis'!AB56</f>
        <v>1061046.2362500001</v>
      </c>
      <c r="H32" s="260">
        <f>'EoL Material Flow Analysis'!AB56</f>
        <v>1061046.2362500001</v>
      </c>
      <c r="I32" s="183"/>
    </row>
    <row r="33" spans="1:9" x14ac:dyDescent="0.35">
      <c r="A33" t="s">
        <v>910</v>
      </c>
      <c r="B33" s="43">
        <f>B5/907.185</f>
        <v>9.9207989550091774E-2</v>
      </c>
      <c r="C33" s="43">
        <f>C5/907.185</f>
        <v>0.15983509427514786</v>
      </c>
      <c r="D33" s="43">
        <f>D5/907.185</f>
        <v>0.22046219900020395</v>
      </c>
      <c r="E33" s="30"/>
      <c r="F33" s="258"/>
      <c r="G33" s="183"/>
      <c r="H33" s="183"/>
      <c r="I33" s="183"/>
    </row>
    <row r="34" spans="1:9" x14ac:dyDescent="0.35">
      <c r="A34" s="137" t="s">
        <v>911</v>
      </c>
      <c r="B34" s="206">
        <f>B32*B33</f>
        <v>2105285.2783610844</v>
      </c>
      <c r="C34" s="206">
        <f>C32*C33</f>
        <v>3391848.5040261913</v>
      </c>
      <c r="D34" s="206">
        <f>D32*D33</f>
        <v>4678411.7296912987</v>
      </c>
      <c r="E34" s="30"/>
      <c r="F34" s="259">
        <f>F32*B33</f>
        <v>105264.26391805422</v>
      </c>
      <c r="G34" s="259">
        <f>G32*C33</f>
        <v>169592.42520130958</v>
      </c>
      <c r="H34" s="259">
        <f>H32*D33</f>
        <v>233920.58648456493</v>
      </c>
      <c r="I34" s="183"/>
    </row>
    <row r="35" spans="1:9" x14ac:dyDescent="0.35">
      <c r="B35" s="207"/>
      <c r="C35" s="207"/>
      <c r="D35" s="207"/>
      <c r="E35" s="30"/>
      <c r="F35" s="258"/>
      <c r="G35" s="183"/>
      <c r="H35" s="183"/>
      <c r="I35" s="183"/>
    </row>
    <row r="36" spans="1:9" x14ac:dyDescent="0.35">
      <c r="A36" s="216" t="s">
        <v>912</v>
      </c>
      <c r="B36" s="207" t="s">
        <v>913</v>
      </c>
      <c r="C36" s="207" t="s">
        <v>887</v>
      </c>
      <c r="D36" s="207" t="s">
        <v>914</v>
      </c>
      <c r="E36" s="30" t="s">
        <v>889</v>
      </c>
      <c r="F36" s="259" t="s">
        <v>913</v>
      </c>
      <c r="G36" s="259" t="s">
        <v>887</v>
      </c>
      <c r="H36" s="259" t="s">
        <v>914</v>
      </c>
      <c r="I36" s="258" t="s">
        <v>889</v>
      </c>
    </row>
    <row r="37" spans="1:9" x14ac:dyDescent="0.35">
      <c r="A37" s="11" t="s">
        <v>915</v>
      </c>
      <c r="B37" t="s">
        <v>863</v>
      </c>
      <c r="C37" t="s">
        <v>863</v>
      </c>
      <c r="D37" t="s">
        <v>863</v>
      </c>
      <c r="E37" t="s">
        <v>315</v>
      </c>
      <c r="F37" s="183" t="s">
        <v>863</v>
      </c>
      <c r="G37" s="183" t="s">
        <v>863</v>
      </c>
      <c r="H37" s="183" t="s">
        <v>863</v>
      </c>
      <c r="I37" s="183" t="s">
        <v>315</v>
      </c>
    </row>
    <row r="38" spans="1:9" x14ac:dyDescent="0.35">
      <c r="A38" s="205" t="s">
        <v>916</v>
      </c>
      <c r="B38">
        <f>-0.0661</f>
        <v>-6.6100000000000006E-2</v>
      </c>
      <c r="C38">
        <f>(B38+D38)/2</f>
        <v>0.84344999999999992</v>
      </c>
      <c r="D38">
        <v>1.7529999999999999</v>
      </c>
      <c r="E38" s="30">
        <f>'EoL Material Flow Analysis'!AC46*'EoL Material Flow Analysis'!B15</f>
        <v>580968.5674004684</v>
      </c>
      <c r="F38" s="183">
        <f>-0.0661</f>
        <v>-6.6100000000000006E-2</v>
      </c>
      <c r="G38" s="183">
        <f>(F38+H38)/2</f>
        <v>0.84344999999999992</v>
      </c>
      <c r="H38" s="183">
        <v>1.7529999999999999</v>
      </c>
      <c r="I38" s="258">
        <f>'EoL Material Flow Analysis'!AC64*'EoL Material Flow Analysis'!B15</f>
        <v>542803.70924579189</v>
      </c>
    </row>
    <row r="39" spans="1:9" x14ac:dyDescent="0.35">
      <c r="A39" s="205" t="s">
        <v>917</v>
      </c>
      <c r="B39">
        <v>-5.5100000000000003E-2</v>
      </c>
      <c r="C39">
        <f t="shared" ref="C39" si="6">(B39+D39)/2</f>
        <v>5.5000000000000014E-3</v>
      </c>
      <c r="D39">
        <v>6.6100000000000006E-2</v>
      </c>
      <c r="E39" s="30">
        <f>'EoL Material Flow Analysis'!AC46*'EoL Material Flow Analysis'!B17</f>
        <v>569849.5517564402</v>
      </c>
      <c r="F39" s="183">
        <v>-5.5100000000000003E-2</v>
      </c>
      <c r="G39" s="183">
        <f t="shared" ref="G39" si="7">(F39+H39)/2</f>
        <v>5.5000000000000014E-3</v>
      </c>
      <c r="H39" s="183">
        <v>6.6100000000000006E-2</v>
      </c>
      <c r="I39" s="258">
        <f>'EoL Material Flow Analysis'!AC64*'EoL Material Flow Analysis'!B17</f>
        <v>532415.12150903034</v>
      </c>
    </row>
    <row r="40" spans="1:9" x14ac:dyDescent="0.35">
      <c r="A40" s="205" t="s">
        <v>918</v>
      </c>
      <c r="B40">
        <v>0</v>
      </c>
      <c r="C40">
        <f>(B40+D40)/2</f>
        <v>0.16550000000000001</v>
      </c>
      <c r="D40">
        <v>0.33100000000000002</v>
      </c>
      <c r="E40" s="30">
        <f>'EoL Material Flow Analysis'!AC46*'EoL Material Flow Analysis'!B16</f>
        <v>1628935.791850117</v>
      </c>
      <c r="F40" s="183">
        <v>0</v>
      </c>
      <c r="G40" s="183">
        <f>(F40+H40)/2</f>
        <v>0.16550000000000001</v>
      </c>
      <c r="H40" s="183">
        <v>0.33100000000000002</v>
      </c>
      <c r="I40" s="258">
        <f>'EoL Material Flow Analysis'!AC64*'EoL Material Flow Analysis'!B16</f>
        <v>1521928.1034355697</v>
      </c>
    </row>
    <row r="41" spans="1:9" x14ac:dyDescent="0.35">
      <c r="A41" s="11" t="s">
        <v>919</v>
      </c>
      <c r="B41" s="30">
        <f>B38*'EoL Material Flow Analysis'!$B$15+'Economic Analysis'!B40*'EoL Material Flow Analysis'!$B$16+'Economic Analysis'!B39*'EoL Material Flow Analysis'!$B$17</f>
        <v>-2.5110400000000001E-2</v>
      </c>
      <c r="C41" s="30">
        <f>C38*'EoL Material Flow Analysis'!$B$15+'Economic Analysis'!C40*'EoL Material Flow Analysis'!$B$16+'Economic Analysis'!C39*'EoL Material Flow Analysis'!$B$17</f>
        <v>0.27439154999999998</v>
      </c>
      <c r="D41" s="30">
        <f>D38*'EoL Material Flow Analysis'!$B$15+'Economic Analysis'!D40*'EoL Material Flow Analysis'!$B$16+'Economic Analysis'!D39*'EoL Material Flow Analysis'!$B$17</f>
        <v>0.57389349999999995</v>
      </c>
      <c r="F41" s="258">
        <f>F38*'EoL Material Flow Analysis'!$B$15+'Economic Analysis'!F40*'EoL Material Flow Analysis'!$B$16+'Economic Analysis'!F39*'EoL Material Flow Analysis'!$B$17</f>
        <v>-2.5110400000000001E-2</v>
      </c>
      <c r="G41" s="258">
        <f>G38*'EoL Material Flow Analysis'!$B$15+'Economic Analysis'!G40*'EoL Material Flow Analysis'!$B$16+'Economic Analysis'!G39*'EoL Material Flow Analysis'!$B$17</f>
        <v>0.27439154999999998</v>
      </c>
      <c r="H41" s="258">
        <f>H38*'EoL Material Flow Analysis'!$B$15+'Economic Analysis'!H40*'EoL Material Flow Analysis'!$B$16+'Economic Analysis'!H39*'EoL Material Flow Analysis'!$B$17</f>
        <v>0.57389349999999995</v>
      </c>
      <c r="I41" s="183"/>
    </row>
    <row r="42" spans="1:9" x14ac:dyDescent="0.35">
      <c r="A42" s="205" t="s">
        <v>921</v>
      </c>
      <c r="B42" s="30">
        <f>B41*SUM($E$38:$E$40)</f>
        <v>-69800.732606950827</v>
      </c>
      <c r="C42" s="30">
        <f>C41*SUM($E$38:$E$40)</f>
        <v>762740.9842597798</v>
      </c>
      <c r="D42" s="30">
        <f t="shared" ref="D42" si="8">D41*SUM($E$38:$E$40)</f>
        <v>1595282.7011265103</v>
      </c>
      <c r="F42" s="258">
        <f>F41*SUM($I$38:$I$40)</f>
        <v>-65215.398376294412</v>
      </c>
      <c r="G42" s="258">
        <f>G41*SUM($I$38:$I$40)</f>
        <v>712635.17285024945</v>
      </c>
      <c r="H42" s="258">
        <f>H41*SUM($I$38:$I$40)</f>
        <v>1490485.7440767933</v>
      </c>
      <c r="I42" s="183"/>
    </row>
    <row r="44" spans="1:9" x14ac:dyDescent="0.35">
      <c r="A44" s="205" t="s">
        <v>922</v>
      </c>
    </row>
    <row r="45" spans="1:9" x14ac:dyDescent="0.35">
      <c r="A45" s="205" t="s">
        <v>915</v>
      </c>
      <c r="G45" t="s">
        <v>920</v>
      </c>
    </row>
  </sheetData>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728D9-EFC3-4DF6-A5C3-895F6319B6DB}">
  <sheetPr>
    <tabColor rgb="FFFF0000"/>
  </sheetPr>
  <dimension ref="A1:Z263"/>
  <sheetViews>
    <sheetView zoomScale="66" zoomScaleNormal="66" workbookViewId="0">
      <pane xSplit="1" topLeftCell="B1" activePane="topRight" state="frozen"/>
      <selection pane="topRight" activeCell="J49" sqref="J49"/>
    </sheetView>
  </sheetViews>
  <sheetFormatPr defaultColWidth="9.1796875" defaultRowHeight="14.5" x14ac:dyDescent="0.35"/>
  <cols>
    <col min="1" max="1" width="26.54296875" style="138" customWidth="1"/>
    <col min="2" max="2" width="23" style="167" customWidth="1"/>
    <col min="3" max="3" width="25.1796875" style="138" customWidth="1"/>
    <col min="4" max="4" width="20" style="138" customWidth="1"/>
    <col min="5" max="5" width="26.81640625" style="138" customWidth="1"/>
    <col min="6" max="6" width="20.54296875" style="138" customWidth="1"/>
    <col min="7" max="7" width="20.7265625" style="138" customWidth="1"/>
    <col min="8" max="8" width="15.453125" style="138" customWidth="1"/>
    <col min="9" max="9" width="15.81640625" style="138" customWidth="1"/>
    <col min="10" max="10" width="18.1796875" style="138" customWidth="1"/>
    <col min="11" max="11" width="26.7265625" style="138" customWidth="1"/>
    <col min="12" max="12" width="28" style="138" customWidth="1"/>
    <col min="13" max="13" width="23.1796875" style="138" customWidth="1"/>
    <col min="14" max="14" width="34.26953125" style="138" customWidth="1"/>
    <col min="15" max="15" width="27.54296875" style="138" customWidth="1"/>
    <col min="16" max="16" width="11" style="138" customWidth="1"/>
    <col min="17" max="17" width="15.81640625" style="138" customWidth="1"/>
    <col min="18" max="16384" width="9.1796875" style="138"/>
  </cols>
  <sheetData>
    <row r="1" spans="1:15" s="152" customFormat="1" ht="83.25" customHeight="1" x14ac:dyDescent="0.35">
      <c r="A1" s="152" t="s">
        <v>923</v>
      </c>
      <c r="B1" s="166" t="s">
        <v>924</v>
      </c>
      <c r="C1" s="166" t="s">
        <v>925</v>
      </c>
      <c r="D1" s="152" t="s">
        <v>926</v>
      </c>
      <c r="E1" s="152" t="s">
        <v>927</v>
      </c>
      <c r="F1" s="152" t="s">
        <v>928</v>
      </c>
      <c r="G1" s="152" t="s">
        <v>929</v>
      </c>
      <c r="H1" s="184" t="s">
        <v>930</v>
      </c>
      <c r="I1" s="184" t="s">
        <v>931</v>
      </c>
      <c r="J1" s="184" t="s">
        <v>932</v>
      </c>
      <c r="K1" s="152" t="s">
        <v>933</v>
      </c>
      <c r="L1" s="152" t="s">
        <v>934</v>
      </c>
      <c r="M1" s="152" t="s">
        <v>935</v>
      </c>
      <c r="N1" s="152" t="s">
        <v>356</v>
      </c>
      <c r="O1" s="152" t="s">
        <v>371</v>
      </c>
    </row>
    <row r="2" spans="1:15" s="172" customFormat="1" x14ac:dyDescent="0.35">
      <c r="B2" s="166"/>
      <c r="C2" s="185" t="s">
        <v>315</v>
      </c>
      <c r="D2" s="172" t="s">
        <v>840</v>
      </c>
      <c r="E2" s="172" t="s">
        <v>936</v>
      </c>
      <c r="F2" s="172" t="s">
        <v>937</v>
      </c>
      <c r="G2" s="172" t="s">
        <v>937</v>
      </c>
      <c r="H2" s="172" t="s">
        <v>938</v>
      </c>
      <c r="I2" s="172" t="s">
        <v>938</v>
      </c>
      <c r="J2" s="172" t="s">
        <v>938</v>
      </c>
      <c r="K2" s="153"/>
      <c r="L2" s="172" t="s">
        <v>939</v>
      </c>
      <c r="M2" s="172" t="s">
        <v>939</v>
      </c>
    </row>
    <row r="3" spans="1:15" x14ac:dyDescent="0.35">
      <c r="A3" s="138" t="s">
        <v>940</v>
      </c>
      <c r="B3" s="167">
        <v>2</v>
      </c>
      <c r="C3" s="153">
        <f>'EoL Material Flow Analysis'!C46</f>
        <v>3654000</v>
      </c>
      <c r="D3" s="138">
        <f>K101</f>
        <v>2.2000000000000001E-3</v>
      </c>
      <c r="E3" s="138">
        <v>8760</v>
      </c>
      <c r="F3" s="195">
        <f>D3*C3/E3</f>
        <v>0.91767123287671237</v>
      </c>
      <c r="G3" s="203">
        <f>((F3*0.336*$D$231*$C$256)+(F3*0.336*$D$232*$C$255)+(F3*0.336*$D$233*$C$253)+(F3*0.336*SUM($D$234:$D$238)*$C$252))+((F3*0.108*$D$222*$C$256)+(F3*0.108*$D$223*$C$255)+(F3*0.108*$D$224*$C$253)+(F3*0.108*SUM($D$225:$D$230)*$C$252))+((F3*0.556*$D$239*$C$256)+(F3*0.556*$D$240*$C$255)+(F3*0.556*$D$241*$C$253)+(F3*0.556*$D$242*$C$252)+(F3*0.556*SUM($D$243:$D$247)*$C$252))</f>
        <v>1.664844656712329</v>
      </c>
      <c r="H3" s="138">
        <v>1</v>
      </c>
      <c r="I3" s="138">
        <f t="shared" ref="I3:I14" si="0">1-H3</f>
        <v>0</v>
      </c>
      <c r="J3" s="138">
        <f>1-H3-I3</f>
        <v>0</v>
      </c>
      <c r="K3" s="153">
        <f>G3*E3*1000</f>
        <v>14584039.1928</v>
      </c>
      <c r="L3" s="153">
        <f>(((F3*0.336*$D$231*$C$256)+(F3*0.336*$D$232*$C$255)+(F3*0.336*$D$233*$C$253))+((F3*0.108*$D$222*$C$256)+(F3*0.108*$D$223*$C$255)+(F3*0.108*$D$224*$C$253)+((F3*0.556*$D$239*$C$256)+(F3*0.556*$D$240*$C$255)+(F3*0.556*$D$241*$C$253)+(F3*0.556*$D$242*$C$252))))*E3*1000</f>
        <v>4786478.3736000005</v>
      </c>
      <c r="M3" s="153">
        <f>(((F3*0.336*SUM($D$234:$D$238)*$C$252))+((F3*0.108*SUM($D$225:$D$230)*$C$252))+((F3*0.556*SUM($D$243:$D$247)*$C$252)))*E3*1000</f>
        <v>9797560.8192000017</v>
      </c>
      <c r="N3" s="138" t="s">
        <v>13</v>
      </c>
    </row>
    <row r="4" spans="1:15" x14ac:dyDescent="0.35">
      <c r="A4" s="138" t="s">
        <v>940</v>
      </c>
      <c r="B4" s="167">
        <v>3</v>
      </c>
      <c r="C4" s="153">
        <f>'EoL Material Flow Analysis'!D46</f>
        <v>21435277.5</v>
      </c>
      <c r="D4" s="169">
        <f>K108</f>
        <v>4.558910597986975E-5</v>
      </c>
      <c r="E4" s="138">
        <v>8760</v>
      </c>
      <c r="F4" s="195">
        <f t="shared" ref="F4:F6" si="1">D4*C4/E4</f>
        <v>0.11155423945838099</v>
      </c>
      <c r="G4" s="203">
        <f t="shared" ref="G4:G6" si="2">((F4*0.336*$D$231*$C$256)+(F4*0.336*$D$232*$C$255)+(F4*0.336*$D$233*$C$253)+(F4*0.336*SUM($D$234:$D$238)*$C$252))+((F4*0.108*$D$222*$C$256)+(F4*0.108*$D$223*$C$255)+(F4*0.108*$D$224*$C$253)+(F4*0.108*SUM($D$225:$D$230)*$C$252))+((F4*0.556*$D$239*$C$256)+(F4*0.556*$D$240*$C$255)+(F4*0.556*$D$241*$C$253)+(F4*0.556*$D$242*$C$252)+(F4*0.556*SUM($D$243:$D$247)*$C$252))</f>
        <v>0.20238237055083155</v>
      </c>
      <c r="H4" s="138">
        <v>1</v>
      </c>
      <c r="I4" s="138">
        <f t="shared" si="0"/>
        <v>0</v>
      </c>
      <c r="J4" s="138">
        <f t="shared" ref="J4:J14" si="3">1-H4-I4</f>
        <v>0</v>
      </c>
      <c r="K4" s="153">
        <f t="shared" ref="K4:K49" si="4">G4*E4*1000</f>
        <v>1772869.5660252846</v>
      </c>
      <c r="L4" s="153">
        <f>(((F4*0.336*$D$231*$C$256)+(F4*0.336*$D$232*$C$255)+(F4*0.336*$D$233*$C$253))+((F4*0.108*$D$222*$C$256)+(F4*0.108*$D$223*$C$255)+(F4*0.108*$D$224*$C$253)+((F4*0.556*$D$239*$C$256)+(F4*0.556*$D$240*$C$255)+(F4*0.556*$D$241*$C$253)+(F4*0.556*$D$242*$C$252))))*E4*1000</f>
        <v>581855.39169306401</v>
      </c>
      <c r="M4" s="153">
        <f t="shared" ref="M4:M6" si="5">(((F4*0.336*SUM($D$234:$D$238)*$C$252))+((F4*0.108*SUM($D$225:$D$230)*$C$252))+((F4*0.556*SUM($D$243:$D$247)*$C$252)))*E4*1000</f>
        <v>1191014.1743322203</v>
      </c>
      <c r="N4" s="138" t="s">
        <v>941</v>
      </c>
    </row>
    <row r="5" spans="1:15" x14ac:dyDescent="0.35">
      <c r="A5" s="138" t="s">
        <v>940</v>
      </c>
      <c r="B5" s="167">
        <v>4</v>
      </c>
      <c r="C5" s="153">
        <f>'EoL Material Flow Analysis'!E46</f>
        <v>6786000</v>
      </c>
      <c r="D5" s="153">
        <f>AVERAGE(K67,AVERAGE(61.1,7708),AVERAGE(83,588),AVERAGE(60,176.67),K84,AVERAGE(240,350),AVERAGE(16.8,600),K87,K88,K89,K90,K91)</f>
        <v>813.93658333333326</v>
      </c>
      <c r="E5" s="138">
        <v>8760</v>
      </c>
      <c r="F5" s="195">
        <f>D5*C5/E5</f>
        <v>630522.10667808203</v>
      </c>
      <c r="G5" s="155">
        <f t="shared" si="2"/>
        <v>1143896.9890680164</v>
      </c>
      <c r="H5" s="138">
        <v>1</v>
      </c>
      <c r="I5" s="138">
        <f t="shared" si="0"/>
        <v>0</v>
      </c>
      <c r="J5" s="138">
        <f t="shared" si="3"/>
        <v>0</v>
      </c>
      <c r="K5" s="153">
        <f t="shared" si="4"/>
        <v>10020537624235.824</v>
      </c>
      <c r="L5" s="153">
        <f t="shared" ref="L5:L6" si="6">(((F5*0.336*$D$231*$C$256)+(F5*0.336*$D$232*$C$255)+(F5*0.336*$D$233*$C$253))+((F5*0.108*$D$222*$C$256)+(F5*0.108*$D$223*$C$255)+(F5*0.108*$D$224*$C$253)+((F5*0.556*$D$239*$C$256)+(F5*0.556*$D$240*$C$255)+(F5*0.556*$D$241*$C$253)+(F5*0.556*$D$242*$C$252))))*E5*1000</f>
        <v>3288738188109.6987</v>
      </c>
      <c r="M5" s="153">
        <f t="shared" si="5"/>
        <v>6731799436126.126</v>
      </c>
      <c r="N5" s="138" t="s">
        <v>942</v>
      </c>
    </row>
    <row r="6" spans="1:15" x14ac:dyDescent="0.35">
      <c r="A6" s="138" t="s">
        <v>940</v>
      </c>
      <c r="B6" s="167">
        <v>8</v>
      </c>
      <c r="C6" s="153">
        <f>'EoL Material Flow Analysis'!I46</f>
        <v>182288.92499999999</v>
      </c>
      <c r="D6" s="138">
        <f>K101</f>
        <v>2.2000000000000001E-3</v>
      </c>
      <c r="E6" s="138">
        <v>8760</v>
      </c>
      <c r="F6" s="195">
        <f t="shared" si="1"/>
        <v>4.5780323630136989E-2</v>
      </c>
      <c r="G6" s="203">
        <f t="shared" si="2"/>
        <v>8.3054937811736312E-2</v>
      </c>
      <c r="H6" s="138">
        <f>1-J6</f>
        <v>0.92999999999999994</v>
      </c>
      <c r="I6" s="138">
        <v>0</v>
      </c>
      <c r="J6" s="138">
        <v>7.0000000000000007E-2</v>
      </c>
      <c r="K6" s="153">
        <f t="shared" si="4"/>
        <v>727561.25523081003</v>
      </c>
      <c r="L6" s="153">
        <f t="shared" si="6"/>
        <v>238785.43986297</v>
      </c>
      <c r="M6" s="153">
        <f t="shared" si="5"/>
        <v>488775.81536784011</v>
      </c>
      <c r="N6" s="138" t="s">
        <v>13</v>
      </c>
      <c r="O6" s="138" t="s">
        <v>943</v>
      </c>
    </row>
    <row r="7" spans="1:15" x14ac:dyDescent="0.35">
      <c r="A7" s="138" t="s">
        <v>944</v>
      </c>
      <c r="B7" s="167">
        <v>19</v>
      </c>
      <c r="C7" s="153">
        <f>'EoL Material Flow Analysis'!T46</f>
        <v>9405135</v>
      </c>
      <c r="D7" s="138">
        <v>0</v>
      </c>
      <c r="E7" s="138">
        <v>8760</v>
      </c>
      <c r="F7" s="195">
        <f>D7*C7/E7</f>
        <v>0</v>
      </c>
      <c r="G7" s="155">
        <v>0</v>
      </c>
      <c r="H7" s="138" t="s">
        <v>945</v>
      </c>
      <c r="I7" s="138" t="s">
        <v>945</v>
      </c>
      <c r="J7" s="138" t="s">
        <v>945</v>
      </c>
      <c r="K7" s="153">
        <f t="shared" si="4"/>
        <v>0</v>
      </c>
      <c r="L7" s="153">
        <v>0</v>
      </c>
      <c r="M7" s="153">
        <v>0</v>
      </c>
      <c r="N7" s="138" t="s">
        <v>26</v>
      </c>
    </row>
    <row r="8" spans="1:15" x14ac:dyDescent="0.35">
      <c r="A8" s="138" t="s">
        <v>946</v>
      </c>
      <c r="B8" s="167">
        <v>27</v>
      </c>
      <c r="C8" s="153">
        <f>'EoL Material Flow Analysis'!AB46</f>
        <v>31451911.306852952</v>
      </c>
      <c r="D8" s="170">
        <f>K109</f>
        <v>0.13458477310924369</v>
      </c>
      <c r="E8" s="138">
        <v>8760</v>
      </c>
      <c r="F8" s="195">
        <f>D8*C8/E8</f>
        <v>483.21328163069182</v>
      </c>
      <c r="G8" s="155">
        <f t="shared" ref="G8:G14" si="7">(F8*$D$222*$C$256)+(F8*$D$223*$C$255)+(F8*$D$224*$C$253)+(F8*$D$225*$C$252)+(F8*SUM($D$226:$D$230)*$C$252)</f>
        <v>642.38373659984177</v>
      </c>
      <c r="H8" s="138">
        <v>1</v>
      </c>
      <c r="I8" s="138">
        <f t="shared" si="0"/>
        <v>0</v>
      </c>
      <c r="J8" s="138">
        <f t="shared" si="3"/>
        <v>0</v>
      </c>
      <c r="K8" s="153">
        <f t="shared" si="4"/>
        <v>5627281532.6146135</v>
      </c>
      <c r="L8" s="153">
        <f>((F8*$D$222*$C$256)+(F8*$D$223*$C$255)+(F8*$D$224*$C$253)+(F8*$D$225*$C$252))*E8*1000</f>
        <v>4086488334.2757244</v>
      </c>
      <c r="M8" s="153">
        <f>((F8*SUM($D$226:$D$230)*$C$252))*E8*1000</f>
        <v>1540793198.3388891</v>
      </c>
      <c r="N8" s="138" t="s">
        <v>947</v>
      </c>
    </row>
    <row r="9" spans="1:15" x14ac:dyDescent="0.35">
      <c r="A9" s="138" t="s">
        <v>948</v>
      </c>
      <c r="B9" s="167" t="s">
        <v>949</v>
      </c>
      <c r="C9" s="153">
        <f>SUM('EoL Material Flow Analysis'!AC39:AC41)*0.209</f>
        <v>580968.5674004684</v>
      </c>
      <c r="D9" s="154" t="str">
        <f>K162</f>
        <v>1.8 - 8.313</v>
      </c>
      <c r="E9" s="138">
        <v>2528</v>
      </c>
      <c r="F9" s="195">
        <f>AVERAGE(1.8,8.313)*C9/E9</f>
        <v>1162.0520415587298</v>
      </c>
      <c r="G9" s="155">
        <f t="shared" si="7"/>
        <v>1544.8319840481754</v>
      </c>
      <c r="H9" s="138">
        <v>1</v>
      </c>
      <c r="I9" s="138">
        <f t="shared" si="0"/>
        <v>0</v>
      </c>
      <c r="J9" s="138">
        <f t="shared" si="3"/>
        <v>0</v>
      </c>
      <c r="K9" s="153">
        <f t="shared" si="4"/>
        <v>3905335255.6737876</v>
      </c>
      <c r="L9" s="153">
        <f>((F9*$D$222*$C$256)+(F9*$D$223*$C$255)+(F9*$D$224*$C$253)+(F9*$D$225*$C$252))*E9*1000</f>
        <v>2836024263.4477768</v>
      </c>
      <c r="M9" s="153">
        <f>((F9*SUM($D$226:$D$230)*$C$252))*E9*1000</f>
        <v>1069310992.2260107</v>
      </c>
      <c r="N9" s="138" t="s">
        <v>950</v>
      </c>
    </row>
    <row r="10" spans="1:15" x14ac:dyDescent="0.35">
      <c r="A10" s="138" t="s">
        <v>951</v>
      </c>
      <c r="B10" s="167" t="s">
        <v>952</v>
      </c>
      <c r="C10" s="153">
        <f>SUM('EoL Material Flow Analysis'!AC39:AC41)*0.586</f>
        <v>1628935.791850117</v>
      </c>
      <c r="D10" s="154">
        <f>AVERAGE(K180,K181,K185)</f>
        <v>22.613066666666668</v>
      </c>
      <c r="E10" s="138">
        <v>2528</v>
      </c>
      <c r="F10" s="155">
        <f>D10*C10/E10</f>
        <v>14570.899389567308</v>
      </c>
      <c r="G10" s="155">
        <f t="shared" si="7"/>
        <v>19370.553648490779</v>
      </c>
      <c r="H10" s="138">
        <v>1</v>
      </c>
      <c r="I10" s="138">
        <f t="shared" si="0"/>
        <v>0</v>
      </c>
      <c r="J10" s="138">
        <f t="shared" si="3"/>
        <v>0</v>
      </c>
      <c r="K10" s="153">
        <f t="shared" si="4"/>
        <v>48968759623.384689</v>
      </c>
      <c r="L10" s="153">
        <f t="shared" ref="L10:L11" si="8">((F10*$D$222*$C$256)+(F10*$D$223*$C$255)+(F10*$D$224*$C$253)+(F10*$D$225*$C$252))*E10*1000</f>
        <v>35560734572.299973</v>
      </c>
      <c r="M10" s="153">
        <f t="shared" ref="M10:M11" si="9">((F10*SUM($D$226:$D$230)*$C$252))*E10*1000</f>
        <v>13408025051.084719</v>
      </c>
      <c r="N10" s="138" t="s">
        <v>950</v>
      </c>
    </row>
    <row r="11" spans="1:15" x14ac:dyDescent="0.35">
      <c r="A11" s="138" t="s">
        <v>953</v>
      </c>
      <c r="B11" s="167" t="s">
        <v>954</v>
      </c>
      <c r="C11" s="153">
        <f>SUM('EoL Material Flow Analysis'!AC39:AC41)*0.205</f>
        <v>569849.5517564402</v>
      </c>
      <c r="D11" s="138">
        <f>K186</f>
        <v>8.4820000000000011</v>
      </c>
      <c r="E11" s="138">
        <v>2528</v>
      </c>
      <c r="F11" s="155">
        <f>D11*C11/E11</f>
        <v>1911.9714786384993</v>
      </c>
      <c r="G11" s="155">
        <f t="shared" si="7"/>
        <v>2541.7748837020213</v>
      </c>
      <c r="H11" s="138">
        <v>1</v>
      </c>
      <c r="I11" s="138">
        <f t="shared" si="0"/>
        <v>0</v>
      </c>
      <c r="J11" s="138">
        <f t="shared" si="3"/>
        <v>0</v>
      </c>
      <c r="K11" s="153">
        <f t="shared" si="4"/>
        <v>6425606905.9987097</v>
      </c>
      <c r="L11" s="153">
        <f t="shared" si="8"/>
        <v>4666226047.1273918</v>
      </c>
      <c r="M11" s="153">
        <f t="shared" si="9"/>
        <v>1759380858.8713179</v>
      </c>
      <c r="N11" s="138" t="s">
        <v>950</v>
      </c>
      <c r="O11" s="138" t="s">
        <v>955</v>
      </c>
    </row>
    <row r="12" spans="1:15" x14ac:dyDescent="0.35">
      <c r="A12" s="138" t="s">
        <v>956</v>
      </c>
      <c r="B12" s="167" t="s">
        <v>957</v>
      </c>
      <c r="C12" s="153">
        <f>SUM('EoL Material Flow Analysis'!AE38,'EoL Material Flow Analysis'!AE36,(SUM('EoL Material Flow Analysis'!AE39:AE41)*0.209))</f>
        <v>21683324.000878185</v>
      </c>
      <c r="D12" s="154" t="s">
        <v>958</v>
      </c>
      <c r="E12" s="138">
        <v>7500</v>
      </c>
      <c r="F12" s="155">
        <f>AVERAGE(3.55,5.95)*C12/E12</f>
        <v>13732.771867222849</v>
      </c>
      <c r="G12" s="155">
        <f t="shared" si="7"/>
        <v>18256.346920286058</v>
      </c>
      <c r="I12" s="138">
        <f t="shared" si="0"/>
        <v>1</v>
      </c>
      <c r="J12" s="138">
        <f t="shared" si="3"/>
        <v>0</v>
      </c>
      <c r="K12" s="153">
        <f t="shared" si="4"/>
        <v>136922601902.14545</v>
      </c>
      <c r="L12" s="153">
        <f>((F12*$D$222*$C$256)+(F12*$D$223*$C$255)+(F12*$D$224*$C$253)+(F12*$D$225*$C$252))*E12*1000</f>
        <v>99432134704.627045</v>
      </c>
      <c r="M12" s="153">
        <f>((F12*SUM($D$226:$D$230)*$C$252))*E12*1000</f>
        <v>37490467197.518379</v>
      </c>
      <c r="N12" s="138" t="s">
        <v>959</v>
      </c>
    </row>
    <row r="13" spans="1:15" x14ac:dyDescent="0.35">
      <c r="A13" s="138" t="s">
        <v>960</v>
      </c>
      <c r="B13" s="167">
        <v>32</v>
      </c>
      <c r="C13" s="153">
        <f>'EoL Material Flow Analysis'!AG46</f>
        <v>4522499.5333055202</v>
      </c>
      <c r="D13" s="154">
        <f>K203</f>
        <v>0.14425087108013937</v>
      </c>
      <c r="E13" s="138">
        <v>8760</v>
      </c>
      <c r="F13" s="155">
        <f>D13*C13/E13</f>
        <v>74.471974559228883</v>
      </c>
      <c r="G13" s="155">
        <f t="shared" si="7"/>
        <v>99.003042979038881</v>
      </c>
      <c r="H13" s="138">
        <v>1</v>
      </c>
      <c r="I13" s="138">
        <f t="shared" si="0"/>
        <v>0</v>
      </c>
      <c r="J13" s="138">
        <f t="shared" si="3"/>
        <v>0</v>
      </c>
      <c r="K13" s="153">
        <f t="shared" si="4"/>
        <v>867266656.49638057</v>
      </c>
      <c r="L13" s="153">
        <f>((F13*$D$222*$C$256)+(F13*$D$223*$C$255)+(F13*$D$224*$C$253)+(F13*$D$225*$C$252))*E13*1000</f>
        <v>629802339.53784108</v>
      </c>
      <c r="M13" s="153">
        <f>((F13*SUM($D$226:$D$230)*$C$252))*E13*1000</f>
        <v>237464316.95853958</v>
      </c>
      <c r="N13" s="138" t="s">
        <v>961</v>
      </c>
    </row>
    <row r="14" spans="1:15" x14ac:dyDescent="0.35">
      <c r="A14" s="138" t="s">
        <v>960</v>
      </c>
      <c r="B14" s="167">
        <v>34</v>
      </c>
      <c r="C14" s="153">
        <f>'EoL Material Flow Analysis'!AI46</f>
        <v>5890082.3655644609</v>
      </c>
      <c r="D14" s="154">
        <f>K203</f>
        <v>0.14425087108013937</v>
      </c>
      <c r="E14" s="138">
        <v>8760</v>
      </c>
      <c r="F14" s="155">
        <f>D14*C14/E14</f>
        <v>96.991953420826647</v>
      </c>
      <c r="G14" s="155">
        <f t="shared" si="7"/>
        <v>128.94110287764695</v>
      </c>
      <c r="H14" s="138">
        <v>1</v>
      </c>
      <c r="I14" s="138">
        <f t="shared" si="0"/>
        <v>0</v>
      </c>
      <c r="J14" s="138">
        <f t="shared" si="3"/>
        <v>0</v>
      </c>
      <c r="K14" s="153">
        <f t="shared" si="4"/>
        <v>1129524061.2081873</v>
      </c>
      <c r="L14" s="153">
        <f>((F14*$D$222*$C$256)+(F14*$D$223*$C$255)+(F14*$D$224*$C$253)+(F14*$D$225*$C$252))*E14*1000</f>
        <v>820251638.85240269</v>
      </c>
      <c r="M14" s="153">
        <f>((F14*SUM($D$226:$D$230)*$C$252))*E14*1000</f>
        <v>309272422.35578465</v>
      </c>
      <c r="N14" s="138" t="s">
        <v>961</v>
      </c>
    </row>
    <row r="15" spans="1:15" x14ac:dyDescent="0.35">
      <c r="A15" s="138" t="s">
        <v>962</v>
      </c>
      <c r="B15" s="155">
        <f>1</f>
        <v>1</v>
      </c>
      <c r="C15" s="155">
        <f>'Stream Transport Energy-Cost'!C3</f>
        <v>10440000</v>
      </c>
      <c r="D15" s="138" t="s">
        <v>963</v>
      </c>
      <c r="E15" s="138">
        <v>8760</v>
      </c>
      <c r="F15" s="155">
        <f>'Stream Transport Energy-Cost'!E3</f>
        <v>1115.5532544</v>
      </c>
      <c r="G15" s="155">
        <f>(F15*(SUM($D$217:$D$221)*$C$252)+(F15*$D$214*$C$256)+(F15*$D$215*$C$255)+(F15*$D$216*$C$253))</f>
        <v>1147.9042987776002</v>
      </c>
      <c r="H15" s="138" t="s">
        <v>945</v>
      </c>
      <c r="I15" s="138" t="s">
        <v>945</v>
      </c>
      <c r="J15" s="138" t="s">
        <v>945</v>
      </c>
      <c r="K15" s="153">
        <f t="shared" si="4"/>
        <v>10055641657.291777</v>
      </c>
      <c r="L15" s="153">
        <f>((F15*$D$214*$C$256)+(F15*$D$215*$C$255)+(F15*$D$216*$C$253))*E15*1000</f>
        <v>9782018755.0525436</v>
      </c>
      <c r="M15" s="153">
        <f>((F15*(SUM($D$217:$D$221)*$C$252)))*E15*1000</f>
        <v>273622902.239232</v>
      </c>
    </row>
    <row r="16" spans="1:15" x14ac:dyDescent="0.35">
      <c r="A16" s="138" t="s">
        <v>962</v>
      </c>
      <c r="B16" s="155">
        <f>B15+1</f>
        <v>2</v>
      </c>
      <c r="C16" s="155">
        <f>'Stream Transport Energy-Cost'!C4</f>
        <v>3654000</v>
      </c>
      <c r="D16" s="138" t="s">
        <v>964</v>
      </c>
      <c r="E16" s="138">
        <v>8760</v>
      </c>
      <c r="F16" s="155">
        <f>'Stream Transport Energy-Cost'!E4</f>
        <v>390.44363903999999</v>
      </c>
      <c r="G16" s="155">
        <f t="shared" ref="G16:G49" si="10">(F16*(SUM($D$217:$D$221)*$C$252)+(F16*$D$214*$C$256)+(F16*$D$215*$C$255)+(F16*$D$216*$C$253))</f>
        <v>401.76650457215999</v>
      </c>
      <c r="H16" s="138" t="s">
        <v>945</v>
      </c>
      <c r="I16" s="138" t="s">
        <v>945</v>
      </c>
      <c r="J16" s="138" t="s">
        <v>945</v>
      </c>
      <c r="K16" s="153">
        <f t="shared" si="4"/>
        <v>3519474580.0521216</v>
      </c>
      <c r="L16" s="153">
        <f t="shared" ref="L16:L49" si="11">((F16*$D$214*$C$256)+(F16*$D$215*$C$255)+(F16*$D$216*$C$253))*E16*1000</f>
        <v>3423706564.2683902</v>
      </c>
      <c r="M16" s="153">
        <f t="shared" ref="M16:M49" si="12">((F16*(SUM($D$217:$D$221)*$C$252)))*E16*1000</f>
        <v>95768015.783731192</v>
      </c>
      <c r="N16" s="153"/>
    </row>
    <row r="17" spans="1:14" x14ac:dyDescent="0.35">
      <c r="A17" s="138" t="s">
        <v>962</v>
      </c>
      <c r="B17" s="155">
        <f t="shared" ref="B17:B49" si="13">B16+1</f>
        <v>3</v>
      </c>
      <c r="C17" s="155">
        <f>'Stream Transport Energy-Cost'!C5</f>
        <v>21435277.5</v>
      </c>
      <c r="D17" s="138" t="s">
        <v>965</v>
      </c>
      <c r="E17" s="138">
        <v>8760</v>
      </c>
      <c r="F17" s="155">
        <f>'Stream Transport Energy-Cost'!E5</f>
        <v>2290.4399975184001</v>
      </c>
      <c r="G17" s="155">
        <f t="shared" si="10"/>
        <v>2356.8627574464335</v>
      </c>
      <c r="H17" s="138" t="s">
        <v>945</v>
      </c>
      <c r="I17" s="138" t="s">
        <v>945</v>
      </c>
      <c r="J17" s="138" t="s">
        <v>945</v>
      </c>
      <c r="K17" s="153">
        <f t="shared" si="4"/>
        <v>20646117755.230759</v>
      </c>
      <c r="L17" s="153">
        <f t="shared" si="11"/>
        <v>20084318632.639446</v>
      </c>
      <c r="M17" s="153">
        <f t="shared" si="12"/>
        <v>561799122.59131312</v>
      </c>
    </row>
    <row r="18" spans="1:14" x14ac:dyDescent="0.35">
      <c r="A18" s="138" t="s">
        <v>962</v>
      </c>
      <c r="B18" s="155">
        <f t="shared" si="13"/>
        <v>4</v>
      </c>
      <c r="C18" s="155">
        <f>'Stream Transport Energy-Cost'!C6</f>
        <v>6786000</v>
      </c>
      <c r="D18" s="138" t="s">
        <v>966</v>
      </c>
      <c r="E18" s="138">
        <v>8760</v>
      </c>
      <c r="F18" s="155">
        <f>'Stream Transport Energy-Cost'!E6</f>
        <v>725.10961536000002</v>
      </c>
      <c r="G18" s="155">
        <f t="shared" si="10"/>
        <v>746.13779420544006</v>
      </c>
      <c r="H18" s="138" t="s">
        <v>945</v>
      </c>
      <c r="I18" s="138" t="s">
        <v>945</v>
      </c>
      <c r="J18" s="138" t="s">
        <v>945</v>
      </c>
      <c r="K18" s="153">
        <f t="shared" si="4"/>
        <v>6536167077.2396545</v>
      </c>
      <c r="L18" s="153">
        <f t="shared" si="11"/>
        <v>6358312190.7841539</v>
      </c>
      <c r="M18" s="153">
        <f t="shared" si="12"/>
        <v>177854886.45550078</v>
      </c>
      <c r="N18" s="153"/>
    </row>
    <row r="19" spans="1:14" x14ac:dyDescent="0.35">
      <c r="A19" s="138" t="s">
        <v>962</v>
      </c>
      <c r="B19" s="155">
        <f t="shared" si="13"/>
        <v>5</v>
      </c>
      <c r="C19" s="155">
        <f>'Stream Transport Energy-Cost'!C7</f>
        <v>25089277.5</v>
      </c>
      <c r="D19" s="138" t="s">
        <v>967</v>
      </c>
      <c r="E19" s="138">
        <v>8760</v>
      </c>
      <c r="F19" s="155">
        <f>'Stream Transport Energy-Cost'!E7</f>
        <v>2680.8836365583998</v>
      </c>
      <c r="G19" s="155">
        <f t="shared" si="10"/>
        <v>2758.6292620185936</v>
      </c>
      <c r="H19" s="138" t="s">
        <v>945</v>
      </c>
      <c r="I19" s="138" t="s">
        <v>945</v>
      </c>
      <c r="J19" s="138" t="s">
        <v>945</v>
      </c>
      <c r="K19" s="153">
        <f t="shared" si="4"/>
        <v>24165592335.282883</v>
      </c>
      <c r="L19" s="153">
        <f t="shared" si="11"/>
        <v>23508025196.907833</v>
      </c>
      <c r="M19" s="153">
        <f t="shared" si="12"/>
        <v>657567138.37504423</v>
      </c>
      <c r="N19" s="153"/>
    </row>
    <row r="20" spans="1:14" x14ac:dyDescent="0.35">
      <c r="A20" s="138" t="s">
        <v>962</v>
      </c>
      <c r="B20" s="155">
        <f t="shared" si="13"/>
        <v>6</v>
      </c>
      <c r="C20" s="155">
        <f>'Stream Transport Energy-Cost'!C8</f>
        <v>3305956.5</v>
      </c>
      <c r="D20" s="138" t="s">
        <v>968</v>
      </c>
      <c r="E20" s="138">
        <v>8760</v>
      </c>
      <c r="F20" s="155">
        <f>'Stream Transport Energy-Cost'!E8</f>
        <v>353.25388242143998</v>
      </c>
      <c r="G20" s="155">
        <f t="shared" si="10"/>
        <v>363.49824501166171</v>
      </c>
      <c r="H20" s="138" t="s">
        <v>945</v>
      </c>
      <c r="I20" s="138" t="s">
        <v>945</v>
      </c>
      <c r="J20" s="138" t="s">
        <v>945</v>
      </c>
      <c r="K20" s="153">
        <f t="shared" si="4"/>
        <v>3184244626.3021564</v>
      </c>
      <c r="L20" s="153">
        <f t="shared" si="11"/>
        <v>3097598514.0218258</v>
      </c>
      <c r="M20" s="153">
        <f t="shared" si="12"/>
        <v>86646112.280330792</v>
      </c>
      <c r="N20" s="153"/>
    </row>
    <row r="21" spans="1:14" x14ac:dyDescent="0.35">
      <c r="A21" s="138" t="s">
        <v>962</v>
      </c>
      <c r="B21" s="155">
        <f t="shared" si="13"/>
        <v>7</v>
      </c>
      <c r="C21" s="155">
        <f>'Stream Transport Energy-Cost'!C9</f>
        <v>21783321</v>
      </c>
      <c r="D21" s="138" t="s">
        <v>969</v>
      </c>
      <c r="E21" s="138">
        <v>8760</v>
      </c>
      <c r="F21" s="155">
        <f>'Stream Transport Energy-Cost'!E9</f>
        <v>2327.6297541369599</v>
      </c>
      <c r="G21" s="155">
        <f t="shared" si="10"/>
        <v>2395.1310170069319</v>
      </c>
      <c r="H21" s="138" t="s">
        <v>945</v>
      </c>
      <c r="I21" s="138" t="s">
        <v>945</v>
      </c>
      <c r="J21" s="138" t="s">
        <v>945</v>
      </c>
      <c r="K21" s="153">
        <f t="shared" si="4"/>
        <v>20981347708.980724</v>
      </c>
      <c r="L21" s="153">
        <f t="shared" si="11"/>
        <v>20410426682.886009</v>
      </c>
      <c r="M21" s="153">
        <f t="shared" si="12"/>
        <v>570921026.09471345</v>
      </c>
      <c r="N21" s="153"/>
    </row>
    <row r="22" spans="1:14" x14ac:dyDescent="0.35">
      <c r="A22" s="138" t="s">
        <v>962</v>
      </c>
      <c r="B22" s="155">
        <f t="shared" si="13"/>
        <v>8</v>
      </c>
      <c r="C22" s="155">
        <f>'Stream Transport Energy-Cost'!C10</f>
        <v>182288.92499999999</v>
      </c>
      <c r="D22" s="138" t="s">
        <v>970</v>
      </c>
      <c r="E22" s="138">
        <v>8760</v>
      </c>
      <c r="F22" s="155">
        <f>'Stream Transport Energy-Cost'!E10</f>
        <v>19.478257042607996</v>
      </c>
      <c r="G22" s="155">
        <f>(F22*(SUM($D$217:$D$221)*$C$252)+(F22*$D$214*$C$256)+(F22*$D$215*$C$255)+(F22*$D$216*$C$253))</f>
        <v>20.043126496843627</v>
      </c>
      <c r="H22" s="138" t="s">
        <v>945</v>
      </c>
      <c r="I22" s="138" t="s">
        <v>945</v>
      </c>
      <c r="J22" s="138" t="s">
        <v>945</v>
      </c>
      <c r="K22" s="153">
        <f t="shared" si="4"/>
        <v>175577788.11235017</v>
      </c>
      <c r="L22" s="153">
        <f t="shared" si="11"/>
        <v>170800161.22493929</v>
      </c>
      <c r="M22" s="153">
        <f t="shared" si="12"/>
        <v>4777626.8874108894</v>
      </c>
      <c r="N22" s="153"/>
    </row>
    <row r="23" spans="1:14" x14ac:dyDescent="0.35">
      <c r="A23" s="138" t="s">
        <v>962</v>
      </c>
      <c r="B23" s="155">
        <f t="shared" si="13"/>
        <v>9</v>
      </c>
      <c r="C23" s="155">
        <f>'Stream Transport Energy-Cost'!C11</f>
        <v>0</v>
      </c>
      <c r="D23" s="138" t="s">
        <v>971</v>
      </c>
      <c r="E23" s="138">
        <v>8760</v>
      </c>
      <c r="F23" s="155">
        <f>'Stream Transport Energy-Cost'!E11</f>
        <v>0</v>
      </c>
      <c r="G23" s="155">
        <f t="shared" si="10"/>
        <v>0</v>
      </c>
      <c r="H23" s="138" t="s">
        <v>945</v>
      </c>
      <c r="I23" s="138" t="s">
        <v>945</v>
      </c>
      <c r="J23" s="138" t="s">
        <v>945</v>
      </c>
      <c r="K23" s="153">
        <f t="shared" si="4"/>
        <v>0</v>
      </c>
      <c r="L23" s="153">
        <f t="shared" si="11"/>
        <v>0</v>
      </c>
      <c r="M23" s="153">
        <f t="shared" si="12"/>
        <v>0</v>
      </c>
      <c r="N23" s="153"/>
    </row>
    <row r="24" spans="1:14" x14ac:dyDescent="0.35">
      <c r="A24" s="138" t="s">
        <v>962</v>
      </c>
      <c r="B24" s="155">
        <f t="shared" si="13"/>
        <v>10</v>
      </c>
      <c r="C24" s="155">
        <f>'Stream Transport Energy-Cost'!C12</f>
        <v>182287.78467795</v>
      </c>
      <c r="D24" s="138" t="s">
        <v>972</v>
      </c>
      <c r="E24" s="138">
        <v>8760</v>
      </c>
      <c r="F24" s="155">
        <f>'Stream Transport Energy-Cost'!E12</f>
        <v>19.478135194909346</v>
      </c>
      <c r="G24" s="155">
        <f t="shared" si="10"/>
        <v>20.043001115561715</v>
      </c>
      <c r="H24" s="138" t="s">
        <v>945</v>
      </c>
      <c r="I24" s="138" t="s">
        <v>945</v>
      </c>
      <c r="J24" s="138" t="s">
        <v>945</v>
      </c>
      <c r="K24" s="153">
        <f t="shared" si="4"/>
        <v>175576689.77232063</v>
      </c>
      <c r="L24" s="153">
        <f t="shared" si="11"/>
        <v>170799092.77171329</v>
      </c>
      <c r="M24" s="153">
        <f t="shared" si="12"/>
        <v>4777597.0006073629</v>
      </c>
      <c r="N24" s="153"/>
    </row>
    <row r="25" spans="1:14" x14ac:dyDescent="0.35">
      <c r="A25" s="138" t="s">
        <v>962</v>
      </c>
      <c r="B25" s="155">
        <f t="shared" si="13"/>
        <v>11</v>
      </c>
      <c r="C25" s="155">
        <f>'Stream Transport Energy-Cost'!C13</f>
        <v>21601032.074999999</v>
      </c>
      <c r="D25" s="138" t="s">
        <v>973</v>
      </c>
      <c r="E25" s="138">
        <v>8760</v>
      </c>
      <c r="F25" s="155">
        <f>'Stream Transport Energy-Cost'!E13</f>
        <v>2308.1514970943522</v>
      </c>
      <c r="G25" s="155">
        <f t="shared" si="10"/>
        <v>2375.0878905100885</v>
      </c>
      <c r="H25" s="138" t="s">
        <v>945</v>
      </c>
      <c r="I25" s="138" t="s">
        <v>945</v>
      </c>
      <c r="J25" s="138" t="s">
        <v>945</v>
      </c>
      <c r="K25" s="153">
        <f t="shared" si="4"/>
        <v>20805769920.868374</v>
      </c>
      <c r="L25" s="153">
        <f t="shared" si="11"/>
        <v>20239626521.661072</v>
      </c>
      <c r="M25" s="153">
        <f t="shared" si="12"/>
        <v>566143399.20730257</v>
      </c>
      <c r="N25" s="153"/>
    </row>
    <row r="26" spans="1:14" x14ac:dyDescent="0.35">
      <c r="A26" s="138" t="s">
        <v>962</v>
      </c>
      <c r="B26" s="155">
        <f t="shared" si="13"/>
        <v>12</v>
      </c>
      <c r="C26" s="155">
        <f>'Stream Transport Energy-Cost'!C14</f>
        <v>0</v>
      </c>
      <c r="D26" s="138" t="s">
        <v>974</v>
      </c>
      <c r="E26" s="138">
        <v>8760</v>
      </c>
      <c r="F26" s="155">
        <f>'Stream Transport Energy-Cost'!E14</f>
        <v>0</v>
      </c>
      <c r="G26" s="155">
        <f t="shared" si="10"/>
        <v>0</v>
      </c>
      <c r="H26" s="138" t="s">
        <v>945</v>
      </c>
      <c r="I26" s="138" t="s">
        <v>945</v>
      </c>
      <c r="J26" s="138" t="s">
        <v>945</v>
      </c>
      <c r="K26" s="153">
        <f t="shared" si="4"/>
        <v>0</v>
      </c>
      <c r="L26" s="153">
        <f t="shared" si="11"/>
        <v>0</v>
      </c>
      <c r="M26" s="153">
        <f t="shared" si="12"/>
        <v>0</v>
      </c>
      <c r="N26" s="153"/>
    </row>
    <row r="27" spans="1:14" x14ac:dyDescent="0.35">
      <c r="A27" s="138" t="s">
        <v>962</v>
      </c>
      <c r="B27" s="155">
        <f t="shared" si="13"/>
        <v>13</v>
      </c>
      <c r="C27" s="155">
        <f>'Stream Transport Energy-Cost'!C15</f>
        <v>21385021.754250001</v>
      </c>
      <c r="D27" s="138" t="s">
        <v>975</v>
      </c>
      <c r="E27" s="138">
        <v>8760</v>
      </c>
      <c r="F27" s="155">
        <f>'Stream Transport Energy-Cost'!E15</f>
        <v>2285.0699821234084</v>
      </c>
      <c r="G27" s="155">
        <f t="shared" si="10"/>
        <v>2351.3370116049873</v>
      </c>
      <c r="H27" s="138" t="s">
        <v>945</v>
      </c>
      <c r="I27" s="138" t="s">
        <v>945</v>
      </c>
      <c r="J27" s="138" t="s">
        <v>945</v>
      </c>
      <c r="K27" s="153">
        <f t="shared" si="4"/>
        <v>20597712221.659691</v>
      </c>
      <c r="L27" s="153">
        <f t="shared" si="11"/>
        <v>20037230256.444458</v>
      </c>
      <c r="M27" s="153">
        <f t="shared" si="12"/>
        <v>560481965.21522951</v>
      </c>
      <c r="N27" s="153"/>
    </row>
    <row r="28" spans="1:14" x14ac:dyDescent="0.35">
      <c r="A28" s="138" t="s">
        <v>962</v>
      </c>
      <c r="B28" s="155">
        <f t="shared" si="13"/>
        <v>14</v>
      </c>
      <c r="C28" s="155">
        <f>'Stream Transport Energy-Cost'!C16</f>
        <v>773.23207500000001</v>
      </c>
      <c r="D28" s="138" t="s">
        <v>976</v>
      </c>
      <c r="E28" s="138">
        <v>8760</v>
      </c>
      <c r="F28" s="155">
        <f>'Stream Transport Energy-Cost'!E16</f>
        <v>8.2622754566352E-2</v>
      </c>
      <c r="G28" s="155">
        <f t="shared" si="10"/>
        <v>8.5018814448776195E-2</v>
      </c>
      <c r="H28" s="138" t="s">
        <v>945</v>
      </c>
      <c r="I28" s="138" t="s">
        <v>945</v>
      </c>
      <c r="J28" s="138" t="s">
        <v>945</v>
      </c>
      <c r="K28" s="153">
        <f t="shared" si="4"/>
        <v>744764.81457127945</v>
      </c>
      <c r="L28" s="153">
        <f t="shared" si="11"/>
        <v>724499.10533124465</v>
      </c>
      <c r="M28" s="153">
        <f t="shared" si="12"/>
        <v>20265.709240034816</v>
      </c>
      <c r="N28" s="153"/>
    </row>
    <row r="29" spans="1:14" x14ac:dyDescent="0.35">
      <c r="A29" s="138" t="s">
        <v>962</v>
      </c>
      <c r="B29" s="155">
        <f t="shared" si="13"/>
        <v>15</v>
      </c>
      <c r="C29" s="155">
        <f>'Stream Transport Energy-Cost'!C17</f>
        <v>0</v>
      </c>
      <c r="D29" s="138" t="s">
        <v>977</v>
      </c>
      <c r="E29" s="138">
        <v>8760</v>
      </c>
      <c r="F29" s="155">
        <f>'Stream Transport Energy-Cost'!E17</f>
        <v>0</v>
      </c>
      <c r="G29" s="155">
        <f t="shared" si="10"/>
        <v>0</v>
      </c>
      <c r="H29" s="138" t="s">
        <v>945</v>
      </c>
      <c r="I29" s="138" t="s">
        <v>945</v>
      </c>
      <c r="J29" s="138" t="s">
        <v>945</v>
      </c>
      <c r="K29" s="153">
        <f t="shared" si="4"/>
        <v>0</v>
      </c>
      <c r="L29" s="153">
        <f t="shared" si="11"/>
        <v>0</v>
      </c>
      <c r="M29" s="153">
        <f t="shared" si="12"/>
        <v>0</v>
      </c>
      <c r="N29" s="153"/>
    </row>
    <row r="30" spans="1:14" x14ac:dyDescent="0.35">
      <c r="A30" s="138" t="s">
        <v>962</v>
      </c>
      <c r="B30" s="155">
        <f t="shared" si="13"/>
        <v>16</v>
      </c>
      <c r="C30" s="155">
        <f>'Stream Transport Energy-Cost'!C18</f>
        <v>21384248.522175003</v>
      </c>
      <c r="D30" s="138" t="s">
        <v>978</v>
      </c>
      <c r="E30" s="138">
        <v>8760</v>
      </c>
      <c r="F30" s="155">
        <f>'Stream Transport Energy-Cost'!E18</f>
        <v>2284.9873593688421</v>
      </c>
      <c r="G30" s="155">
        <f t="shared" si="10"/>
        <v>2351.2519927905382</v>
      </c>
      <c r="H30" s="138" t="s">
        <v>945</v>
      </c>
      <c r="I30" s="138" t="s">
        <v>945</v>
      </c>
      <c r="J30" s="138" t="s">
        <v>945</v>
      </c>
      <c r="K30" s="153">
        <f t="shared" si="4"/>
        <v>20596967456.845116</v>
      </c>
      <c r="L30" s="153">
        <f t="shared" si="11"/>
        <v>20036505757.339127</v>
      </c>
      <c r="M30" s="153">
        <f t="shared" si="12"/>
        <v>560461699.50598955</v>
      </c>
      <c r="N30" s="153"/>
    </row>
    <row r="31" spans="1:14" x14ac:dyDescent="0.35">
      <c r="A31" s="138" t="s">
        <v>962</v>
      </c>
      <c r="B31" s="155">
        <f t="shared" si="13"/>
        <v>17</v>
      </c>
      <c r="C31" s="155">
        <f>'Stream Transport Energy-Cost'!C19</f>
        <v>6786000</v>
      </c>
      <c r="D31" s="138" t="s">
        <v>979</v>
      </c>
      <c r="E31" s="138">
        <v>8760</v>
      </c>
      <c r="F31" s="155">
        <f>'Stream Transport Energy-Cost'!E19</f>
        <v>725.10961536000002</v>
      </c>
      <c r="G31" s="155">
        <f t="shared" si="10"/>
        <v>746.13779420544006</v>
      </c>
      <c r="H31" s="138" t="s">
        <v>945</v>
      </c>
      <c r="I31" s="138" t="s">
        <v>945</v>
      </c>
      <c r="J31" s="138" t="s">
        <v>945</v>
      </c>
      <c r="K31" s="153">
        <f t="shared" si="4"/>
        <v>6536167077.2396545</v>
      </c>
      <c r="L31" s="153">
        <f t="shared" si="11"/>
        <v>6358312190.7841539</v>
      </c>
      <c r="M31" s="153">
        <f t="shared" si="12"/>
        <v>177854886.45550078</v>
      </c>
      <c r="N31" s="153"/>
    </row>
    <row r="32" spans="1:14" x14ac:dyDescent="0.35">
      <c r="A32" s="138" t="s">
        <v>962</v>
      </c>
      <c r="B32" s="155">
        <f t="shared" si="13"/>
        <v>18</v>
      </c>
      <c r="C32" s="155">
        <f>'Stream Transport Energy-Cost'!C20</f>
        <v>6107400</v>
      </c>
      <c r="D32" s="138" t="s">
        <v>980</v>
      </c>
      <c r="E32" s="138">
        <v>8760</v>
      </c>
      <c r="F32" s="155">
        <f>'Stream Transport Energy-Cost'!E20</f>
        <v>652.59865382399994</v>
      </c>
      <c r="G32" s="155">
        <f t="shared" si="10"/>
        <v>671.52401478489594</v>
      </c>
      <c r="H32" s="138" t="s">
        <v>945</v>
      </c>
      <c r="I32" s="138" t="s">
        <v>945</v>
      </c>
      <c r="J32" s="138" t="s">
        <v>945</v>
      </c>
      <c r="K32" s="153">
        <f t="shared" si="4"/>
        <v>5882550369.5156879</v>
      </c>
      <c r="L32" s="153">
        <f t="shared" si="11"/>
        <v>5722480971.7057381</v>
      </c>
      <c r="M32" s="153">
        <f t="shared" si="12"/>
        <v>160069397.80995068</v>
      </c>
      <c r="N32" s="153"/>
    </row>
    <row r="33" spans="1:17" x14ac:dyDescent="0.35">
      <c r="A33" s="138" t="s">
        <v>962</v>
      </c>
      <c r="B33" s="155">
        <f t="shared" si="13"/>
        <v>19</v>
      </c>
      <c r="C33" s="155">
        <f>'Stream Transport Energy-Cost'!C21</f>
        <v>9405135</v>
      </c>
      <c r="D33" s="138" t="s">
        <v>981</v>
      </c>
      <c r="E33" s="138">
        <v>8760</v>
      </c>
      <c r="F33" s="155">
        <f>'Stream Transport Energy-Cost'!E21</f>
        <v>1004.9740380576</v>
      </c>
      <c r="G33" s="155">
        <f t="shared" si="10"/>
        <v>1034.1182851612703</v>
      </c>
      <c r="H33" s="138" t="s">
        <v>945</v>
      </c>
      <c r="I33" s="138" t="s">
        <v>945</v>
      </c>
      <c r="J33" s="138" t="s">
        <v>945</v>
      </c>
      <c r="K33" s="153">
        <f t="shared" si="4"/>
        <v>9058876178.0127277</v>
      </c>
      <c r="L33" s="153">
        <f t="shared" si="11"/>
        <v>8812376145.9579601</v>
      </c>
      <c r="M33" s="153">
        <f t="shared" si="12"/>
        <v>246500032.05476809</v>
      </c>
      <c r="N33" s="153"/>
    </row>
    <row r="34" spans="1:17" x14ac:dyDescent="0.35">
      <c r="A34" s="138" t="s">
        <v>962</v>
      </c>
      <c r="B34" s="155">
        <f t="shared" si="13"/>
        <v>20</v>
      </c>
      <c r="C34" s="155">
        <f>'Stream Transport Energy-Cost'!C22</f>
        <v>9405135</v>
      </c>
      <c r="D34" s="138" t="s">
        <v>982</v>
      </c>
      <c r="E34" s="138">
        <v>8760</v>
      </c>
      <c r="F34" s="155">
        <f>'Stream Transport Energy-Cost'!E22</f>
        <v>1004.9740380576</v>
      </c>
      <c r="G34" s="155">
        <f t="shared" si="10"/>
        <v>1034.1182851612703</v>
      </c>
      <c r="H34" s="138" t="s">
        <v>945</v>
      </c>
      <c r="I34" s="138" t="s">
        <v>945</v>
      </c>
      <c r="J34" s="138" t="s">
        <v>945</v>
      </c>
      <c r="K34" s="153">
        <f t="shared" si="4"/>
        <v>9058876178.0127277</v>
      </c>
      <c r="L34" s="153">
        <f t="shared" si="11"/>
        <v>8812376145.9579601</v>
      </c>
      <c r="M34" s="153">
        <f t="shared" si="12"/>
        <v>246500032.05476809</v>
      </c>
      <c r="N34" s="153"/>
    </row>
    <row r="35" spans="1:17" x14ac:dyDescent="0.35">
      <c r="A35" s="138" t="s">
        <v>962</v>
      </c>
      <c r="B35" s="155">
        <f t="shared" si="13"/>
        <v>21</v>
      </c>
      <c r="C35" s="155">
        <f>'Stream Transport Energy-Cost'!C23</f>
        <v>678600</v>
      </c>
      <c r="D35" s="138" t="s">
        <v>983</v>
      </c>
      <c r="E35" s="138">
        <v>8760</v>
      </c>
      <c r="F35" s="155">
        <f>'Stream Transport Energy-Cost'!E23</f>
        <v>72.510961535999996</v>
      </c>
      <c r="G35" s="155">
        <f t="shared" si="10"/>
        <v>74.613779420543992</v>
      </c>
      <c r="H35" s="138" t="s">
        <v>945</v>
      </c>
      <c r="I35" s="138" t="s">
        <v>945</v>
      </c>
      <c r="J35" s="138" t="s">
        <v>945</v>
      </c>
      <c r="K35" s="153">
        <f t="shared" si="4"/>
        <v>653616707.72396541</v>
      </c>
      <c r="L35" s="153">
        <f t="shared" si="11"/>
        <v>635831219.07841527</v>
      </c>
      <c r="M35" s="153">
        <f t="shared" si="12"/>
        <v>17785488.64555008</v>
      </c>
      <c r="N35" s="153"/>
    </row>
    <row r="36" spans="1:17" x14ac:dyDescent="0.35">
      <c r="A36" s="138" t="s">
        <v>962</v>
      </c>
      <c r="B36" s="155">
        <f t="shared" si="13"/>
        <v>22</v>
      </c>
      <c r="C36" s="155">
        <f>'Stream Transport Energy-Cost'!C24</f>
        <v>0</v>
      </c>
      <c r="D36" s="138" t="s">
        <v>984</v>
      </c>
      <c r="E36" s="138">
        <v>8760</v>
      </c>
      <c r="F36" s="155">
        <f>'Stream Transport Energy-Cost'!E24</f>
        <v>0</v>
      </c>
      <c r="G36" s="155">
        <f t="shared" si="10"/>
        <v>0</v>
      </c>
      <c r="H36" s="138" t="s">
        <v>945</v>
      </c>
      <c r="I36" s="138" t="s">
        <v>945</v>
      </c>
      <c r="J36" s="138" t="s">
        <v>945</v>
      </c>
      <c r="K36" s="153">
        <f t="shared" si="4"/>
        <v>0</v>
      </c>
      <c r="L36" s="153">
        <f t="shared" si="11"/>
        <v>0</v>
      </c>
      <c r="M36" s="153">
        <f t="shared" si="12"/>
        <v>0</v>
      </c>
      <c r="N36" s="153"/>
    </row>
    <row r="37" spans="1:17" x14ac:dyDescent="0.35">
      <c r="A37" s="138" t="s">
        <v>962</v>
      </c>
      <c r="B37" s="155">
        <f t="shared" si="13"/>
        <v>23</v>
      </c>
      <c r="C37" s="155">
        <f>'Stream Transport Energy-Cost'!C25</f>
        <v>678600</v>
      </c>
      <c r="D37" s="138" t="s">
        <v>985</v>
      </c>
      <c r="E37" s="138">
        <v>8760</v>
      </c>
      <c r="F37" s="155">
        <f>'Stream Transport Energy-Cost'!E25</f>
        <v>72.510961535999996</v>
      </c>
      <c r="G37" s="155">
        <f t="shared" si="10"/>
        <v>74.613779420543992</v>
      </c>
      <c r="H37" s="138" t="s">
        <v>945</v>
      </c>
      <c r="I37" s="138" t="s">
        <v>945</v>
      </c>
      <c r="J37" s="138" t="s">
        <v>945</v>
      </c>
      <c r="K37" s="153">
        <f t="shared" si="4"/>
        <v>653616707.72396541</v>
      </c>
      <c r="L37" s="153">
        <f t="shared" si="11"/>
        <v>635831219.07841527</v>
      </c>
      <c r="M37" s="153">
        <f t="shared" si="12"/>
        <v>17785488.64555008</v>
      </c>
      <c r="N37" s="153"/>
    </row>
    <row r="38" spans="1:17" x14ac:dyDescent="0.35">
      <c r="A38" s="138" t="s">
        <v>962</v>
      </c>
      <c r="B38" s="155">
        <f t="shared" si="13"/>
        <v>24</v>
      </c>
      <c r="C38" s="155">
        <f>'Stream Transport Energy-Cost'!C26</f>
        <v>10266022.784677951</v>
      </c>
      <c r="D38" s="138" t="s">
        <v>986</v>
      </c>
      <c r="E38" s="138">
        <v>8760</v>
      </c>
      <c r="F38" s="155">
        <f>'Stream Transport Energy-Cost'!E26</f>
        <v>1096.9631347885093</v>
      </c>
      <c r="G38" s="155">
        <f t="shared" si="10"/>
        <v>1128.7750656973762</v>
      </c>
      <c r="H38" s="138" t="s">
        <v>945</v>
      </c>
      <c r="I38" s="138" t="s">
        <v>945</v>
      </c>
      <c r="J38" s="138" t="s">
        <v>945</v>
      </c>
      <c r="K38" s="153">
        <f t="shared" si="4"/>
        <v>9888069575.509016</v>
      </c>
      <c r="L38" s="153">
        <f t="shared" si="11"/>
        <v>9619006457.8080883</v>
      </c>
      <c r="M38" s="153">
        <f t="shared" si="12"/>
        <v>269063117.70092553</v>
      </c>
      <c r="N38" s="153"/>
    </row>
    <row r="39" spans="1:17" x14ac:dyDescent="0.35">
      <c r="A39" s="138" t="s">
        <v>962</v>
      </c>
      <c r="B39" s="155">
        <f t="shared" si="13"/>
        <v>25</v>
      </c>
      <c r="C39" s="155">
        <f>'Stream Transport Energy-Cost'!C27</f>
        <v>0</v>
      </c>
      <c r="D39" s="138" t="s">
        <v>987</v>
      </c>
      <c r="E39" s="138">
        <v>8760</v>
      </c>
      <c r="F39" s="155">
        <f>'Stream Transport Energy-Cost'!E27</f>
        <v>0</v>
      </c>
      <c r="G39" s="155">
        <f t="shared" si="10"/>
        <v>0</v>
      </c>
      <c r="H39" s="138" t="s">
        <v>945</v>
      </c>
      <c r="I39" s="138" t="s">
        <v>945</v>
      </c>
      <c r="J39" s="138" t="s">
        <v>945</v>
      </c>
      <c r="K39" s="153">
        <f t="shared" si="4"/>
        <v>0</v>
      </c>
      <c r="L39" s="153">
        <f t="shared" si="11"/>
        <v>0</v>
      </c>
      <c r="M39" s="153">
        <f t="shared" si="12"/>
        <v>0</v>
      </c>
      <c r="N39" s="153"/>
    </row>
    <row r="40" spans="1:17" x14ac:dyDescent="0.35">
      <c r="A40" s="138" t="s">
        <v>962</v>
      </c>
      <c r="B40" s="155">
        <f t="shared" si="13"/>
        <v>26</v>
      </c>
      <c r="C40" s="155">
        <f>'Stream Transport Energy-Cost'!C28</f>
        <v>10067662.784677951</v>
      </c>
      <c r="D40" s="138" t="s">
        <v>988</v>
      </c>
      <c r="E40" s="138">
        <v>8760</v>
      </c>
      <c r="F40" s="155">
        <f>'Stream Transport Energy-Cost'!E28</f>
        <v>1075.7676229549093</v>
      </c>
      <c r="G40" s="155">
        <f t="shared" si="10"/>
        <v>1106.9648840206016</v>
      </c>
      <c r="H40" s="138" t="s">
        <v>945</v>
      </c>
      <c r="I40" s="138" t="s">
        <v>945</v>
      </c>
      <c r="J40" s="138" t="s">
        <v>945</v>
      </c>
      <c r="K40" s="153">
        <f t="shared" si="4"/>
        <v>9697012384.0204697</v>
      </c>
      <c r="L40" s="153">
        <f t="shared" si="11"/>
        <v>9433148101.4620895</v>
      </c>
      <c r="M40" s="153">
        <f t="shared" si="12"/>
        <v>263864282.5583801</v>
      </c>
      <c r="N40" s="153"/>
    </row>
    <row r="41" spans="1:17" x14ac:dyDescent="0.35">
      <c r="A41" s="138" t="s">
        <v>962</v>
      </c>
      <c r="B41" s="155">
        <f t="shared" si="13"/>
        <v>27</v>
      </c>
      <c r="C41" s="155">
        <f>'Stream Transport Energy-Cost'!C29</f>
        <v>31451911.306852952</v>
      </c>
      <c r="D41" s="138" t="s">
        <v>989</v>
      </c>
      <c r="E41" s="138">
        <v>8760</v>
      </c>
      <c r="F41" s="155">
        <f>'Stream Transport Energy-Cost'!E29</f>
        <v>3360.7549823237518</v>
      </c>
      <c r="G41" s="155">
        <f t="shared" si="10"/>
        <v>3458.216876811141</v>
      </c>
      <c r="H41" s="138" t="s">
        <v>945</v>
      </c>
      <c r="I41" s="138" t="s">
        <v>945</v>
      </c>
      <c r="J41" s="138" t="s">
        <v>945</v>
      </c>
      <c r="K41" s="153">
        <f t="shared" si="4"/>
        <v>30293979840.865593</v>
      </c>
      <c r="L41" s="153">
        <f t="shared" si="11"/>
        <v>29469653858.801228</v>
      </c>
      <c r="M41" s="153">
        <f t="shared" si="12"/>
        <v>824325982.06436968</v>
      </c>
      <c r="N41" s="153"/>
    </row>
    <row r="42" spans="1:17" x14ac:dyDescent="0.35">
      <c r="A42" s="138" t="s">
        <v>962</v>
      </c>
      <c r="B42" s="155">
        <f t="shared" si="13"/>
        <v>28</v>
      </c>
      <c r="C42" s="155">
        <f>'Stream Transport Energy-Cost'!C30</f>
        <v>2779753.9110070257</v>
      </c>
      <c r="D42" s="138" t="s">
        <v>990</v>
      </c>
      <c r="E42" s="138">
        <v>8760</v>
      </c>
      <c r="F42" s="155">
        <f>'Stream Transport Energy-Cost'!E30</f>
        <v>297.02715726580607</v>
      </c>
      <c r="G42" s="155">
        <f t="shared" si="10"/>
        <v>305.64094482651444</v>
      </c>
      <c r="H42" s="138" t="s">
        <v>945</v>
      </c>
      <c r="I42" s="138" t="s">
        <v>945</v>
      </c>
      <c r="J42" s="138" t="s">
        <v>945</v>
      </c>
      <c r="K42" s="153">
        <f t="shared" si="4"/>
        <v>2677414676.6802664</v>
      </c>
      <c r="L42" s="153">
        <f t="shared" si="11"/>
        <v>2604559855.5461092</v>
      </c>
      <c r="M42" s="153">
        <f t="shared" si="12"/>
        <v>72854821.134156898</v>
      </c>
      <c r="N42" s="153"/>
    </row>
    <row r="43" spans="1:17" x14ac:dyDescent="0.35">
      <c r="A43" s="138" t="s">
        <v>962</v>
      </c>
      <c r="B43" s="155">
        <f t="shared" si="13"/>
        <v>29</v>
      </c>
      <c r="C43" s="155">
        <f>'Stream Transport Energy-Cost'!C31</f>
        <v>0</v>
      </c>
      <c r="D43" s="138" t="s">
        <v>991</v>
      </c>
      <c r="E43" s="138">
        <v>8760</v>
      </c>
      <c r="F43" s="155">
        <f>'Stream Transport Energy-Cost'!E31</f>
        <v>0</v>
      </c>
      <c r="G43" s="155">
        <f t="shared" si="10"/>
        <v>0</v>
      </c>
      <c r="H43" s="138" t="s">
        <v>945</v>
      </c>
      <c r="I43" s="138" t="s">
        <v>945</v>
      </c>
      <c r="J43" s="138" t="s">
        <v>945</v>
      </c>
      <c r="K43" s="153">
        <f t="shared" si="4"/>
        <v>0</v>
      </c>
      <c r="L43" s="153">
        <f t="shared" si="11"/>
        <v>0</v>
      </c>
      <c r="M43" s="153">
        <f t="shared" si="12"/>
        <v>0</v>
      </c>
      <c r="N43" s="153"/>
    </row>
    <row r="44" spans="1:17" x14ac:dyDescent="0.35">
      <c r="A44" s="138" t="s">
        <v>962</v>
      </c>
      <c r="B44" s="155">
        <f t="shared" si="13"/>
        <v>30</v>
      </c>
      <c r="C44" s="155">
        <f>'Stream Transport Energy-Cost'!C32</f>
        <v>22782848.262356464</v>
      </c>
      <c r="D44" s="138" t="s">
        <v>992</v>
      </c>
      <c r="E44" s="138">
        <v>8760</v>
      </c>
      <c r="F44" s="155">
        <f>'Stream Transport Energy-Cost'!E32</f>
        <v>2434.4330003422547</v>
      </c>
      <c r="G44" s="155">
        <f t="shared" si="10"/>
        <v>2505.0315573521802</v>
      </c>
      <c r="H44" s="138" t="s">
        <v>945</v>
      </c>
      <c r="I44" s="138" t="s">
        <v>945</v>
      </c>
      <c r="J44" s="138" t="s">
        <v>945</v>
      </c>
      <c r="K44" s="153">
        <f t="shared" si="4"/>
        <v>21944076442.405098</v>
      </c>
      <c r="L44" s="153">
        <f t="shared" si="11"/>
        <v>21346958716.08115</v>
      </c>
      <c r="M44" s="153">
        <f t="shared" si="12"/>
        <v>597117726.32394814</v>
      </c>
      <c r="N44" s="153"/>
      <c r="Q44" s="138" t="s">
        <v>993</v>
      </c>
    </row>
    <row r="45" spans="1:17" x14ac:dyDescent="0.35">
      <c r="A45" s="138" t="s">
        <v>962</v>
      </c>
      <c r="B45" s="155">
        <f t="shared" si="13"/>
        <v>31</v>
      </c>
      <c r="C45" s="155">
        <f>'Stream Transport Energy-Cost'!C33</f>
        <v>0</v>
      </c>
      <c r="D45" s="138" t="s">
        <v>994</v>
      </c>
      <c r="E45" s="138">
        <v>8760</v>
      </c>
      <c r="F45" s="155">
        <f>'Stream Transport Energy-Cost'!E33</f>
        <v>0</v>
      </c>
      <c r="G45" s="155">
        <f t="shared" si="10"/>
        <v>0</v>
      </c>
      <c r="H45" s="138" t="s">
        <v>945</v>
      </c>
      <c r="I45" s="138" t="s">
        <v>945</v>
      </c>
      <c r="J45" s="138" t="s">
        <v>945</v>
      </c>
      <c r="K45" s="153">
        <f t="shared" si="4"/>
        <v>0</v>
      </c>
      <c r="L45" s="153">
        <f t="shared" si="11"/>
        <v>0</v>
      </c>
      <c r="M45" s="153">
        <f t="shared" si="12"/>
        <v>0</v>
      </c>
      <c r="N45" s="153"/>
    </row>
    <row r="46" spans="1:17" x14ac:dyDescent="0.35">
      <c r="A46" s="138" t="s">
        <v>962</v>
      </c>
      <c r="B46" s="155">
        <f t="shared" si="13"/>
        <v>32</v>
      </c>
      <c r="C46" s="155">
        <f>'Stream Transport Energy-Cost'!C34</f>
        <v>4522499.5333055202</v>
      </c>
      <c r="D46" s="138" t="s">
        <v>995</v>
      </c>
      <c r="E46" s="138">
        <v>8760</v>
      </c>
      <c r="F46" s="155">
        <f>'Stream Transport Energy-Cost'!E34</f>
        <v>483.24607973194003</v>
      </c>
      <c r="G46" s="155">
        <f t="shared" si="10"/>
        <v>497.26021604416627</v>
      </c>
      <c r="H46" s="138" t="s">
        <v>945</v>
      </c>
      <c r="I46" s="138" t="s">
        <v>945</v>
      </c>
      <c r="J46" s="138" t="s">
        <v>945</v>
      </c>
      <c r="K46" s="153">
        <f t="shared" si="4"/>
        <v>4355999492.546896</v>
      </c>
      <c r="L46" s="153">
        <f t="shared" si="11"/>
        <v>4237468894.1102467</v>
      </c>
      <c r="M46" s="153">
        <f t="shared" si="12"/>
        <v>118530598.43665023</v>
      </c>
      <c r="N46" s="153"/>
    </row>
    <row r="47" spans="1:17" x14ac:dyDescent="0.35">
      <c r="A47" s="138" t="s">
        <v>962</v>
      </c>
      <c r="B47" s="155">
        <f t="shared" si="13"/>
        <v>33</v>
      </c>
      <c r="C47" s="155">
        <f>'Stream Transport Energy-Cost'!C35</f>
        <v>5889309.1334894607</v>
      </c>
      <c r="D47" s="138" t="s">
        <v>996</v>
      </c>
      <c r="E47" s="138">
        <v>8760</v>
      </c>
      <c r="F47" s="155">
        <f>'Stream Transport Energy-Cost'!E35</f>
        <v>629.29482471569077</v>
      </c>
      <c r="G47" s="155">
        <f t="shared" si="10"/>
        <v>647.54437463244585</v>
      </c>
      <c r="H47" s="138" t="s">
        <v>945</v>
      </c>
      <c r="I47" s="138" t="s">
        <v>945</v>
      </c>
      <c r="J47" s="138" t="s">
        <v>945</v>
      </c>
      <c r="K47" s="153">
        <f t="shared" si="4"/>
        <v>5672488721.7802258</v>
      </c>
      <c r="L47" s="153">
        <f t="shared" si="11"/>
        <v>5518135287.1739616</v>
      </c>
      <c r="M47" s="153">
        <f t="shared" si="12"/>
        <v>154353434.60626462</v>
      </c>
      <c r="N47" s="153"/>
    </row>
    <row r="48" spans="1:17" x14ac:dyDescent="0.35">
      <c r="A48" s="138" t="s">
        <v>962</v>
      </c>
      <c r="B48" s="155">
        <f t="shared" si="13"/>
        <v>34</v>
      </c>
      <c r="C48" s="155">
        <f>'Stream Transport Energy-Cost'!C36</f>
        <v>5890082.3655644609</v>
      </c>
      <c r="D48" s="138" t="s">
        <v>997</v>
      </c>
      <c r="E48" s="138">
        <v>8760</v>
      </c>
      <c r="F48" s="155">
        <f>'Stream Transport Energy-Cost'!E36</f>
        <v>629.37744747025715</v>
      </c>
      <c r="G48" s="155">
        <f t="shared" si="10"/>
        <v>647.62939344689471</v>
      </c>
      <c r="H48" s="138" t="s">
        <v>945</v>
      </c>
      <c r="I48" s="138" t="s">
        <v>945</v>
      </c>
      <c r="J48" s="138" t="s">
        <v>945</v>
      </c>
      <c r="K48" s="153">
        <f t="shared" si="4"/>
        <v>5673233486.5947981</v>
      </c>
      <c r="L48" s="153">
        <f t="shared" si="11"/>
        <v>5518859786.2792931</v>
      </c>
      <c r="M48" s="153">
        <f t="shared" si="12"/>
        <v>154373700.31550467</v>
      </c>
      <c r="N48" s="153"/>
    </row>
    <row r="49" spans="1:13" x14ac:dyDescent="0.35">
      <c r="A49" s="138" t="s">
        <v>962</v>
      </c>
      <c r="B49" s="155">
        <f t="shared" si="13"/>
        <v>35</v>
      </c>
      <c r="C49" s="155">
        <f>'Stream Transport Energy-Cost'!C37</f>
        <v>0</v>
      </c>
      <c r="D49" s="138" t="s">
        <v>998</v>
      </c>
      <c r="E49" s="138">
        <v>8760</v>
      </c>
      <c r="F49" s="155">
        <f>'Stream Transport Energy-Cost'!E37</f>
        <v>0</v>
      </c>
      <c r="G49" s="155">
        <f t="shared" si="10"/>
        <v>0</v>
      </c>
      <c r="H49" s="138" t="s">
        <v>945</v>
      </c>
      <c r="I49" s="138" t="s">
        <v>945</v>
      </c>
      <c r="J49" s="138" t="s">
        <v>945</v>
      </c>
      <c r="K49" s="153">
        <f t="shared" si="4"/>
        <v>0</v>
      </c>
      <c r="L49" s="153">
        <f t="shared" si="11"/>
        <v>0</v>
      </c>
      <c r="M49" s="153">
        <f t="shared" si="12"/>
        <v>0</v>
      </c>
    </row>
    <row r="52" spans="1:13" x14ac:dyDescent="0.35">
      <c r="B52" s="152" t="s">
        <v>999</v>
      </c>
      <c r="C52" s="172" t="s">
        <v>999</v>
      </c>
    </row>
    <row r="53" spans="1:13" ht="29" x14ac:dyDescent="0.35">
      <c r="A53" s="175" t="s">
        <v>1000</v>
      </c>
      <c r="B53" s="176" t="s">
        <v>1001</v>
      </c>
      <c r="C53" s="176" t="s">
        <v>1002</v>
      </c>
    </row>
    <row r="54" spans="1:13" x14ac:dyDescent="0.35">
      <c r="A54" s="173" t="s">
        <v>940</v>
      </c>
      <c r="B54" s="178">
        <f>SUM(G3:G6)</f>
        <v>1143898.9393499815</v>
      </c>
      <c r="C54" s="177">
        <v>0</v>
      </c>
    </row>
    <row r="55" spans="1:13" x14ac:dyDescent="0.35">
      <c r="A55" s="173" t="s">
        <v>944</v>
      </c>
      <c r="B55" s="178">
        <f>G7</f>
        <v>0</v>
      </c>
      <c r="C55" s="178">
        <v>0</v>
      </c>
    </row>
    <row r="56" spans="1:13" x14ac:dyDescent="0.35">
      <c r="A56" s="173" t="s">
        <v>946</v>
      </c>
      <c r="B56" s="178">
        <f>G8</f>
        <v>642.38373659984177</v>
      </c>
      <c r="C56" s="178">
        <v>0</v>
      </c>
      <c r="E56" s="194"/>
      <c r="F56" s="194"/>
    </row>
    <row r="57" spans="1:13" x14ac:dyDescent="0.35">
      <c r="A57" s="173" t="s">
        <v>893</v>
      </c>
      <c r="B57" s="178">
        <f>SUM(G9:G11)</f>
        <v>23457.160516240976</v>
      </c>
      <c r="C57" s="178">
        <v>0</v>
      </c>
      <c r="E57" s="194"/>
    </row>
    <row r="58" spans="1:13" x14ac:dyDescent="0.35">
      <c r="A58" s="173" t="s">
        <v>1003</v>
      </c>
      <c r="B58" s="178">
        <f>G12</f>
        <v>18256.346920286058</v>
      </c>
      <c r="C58" s="178">
        <f>H195*C12/E12</f>
        <v>90498.099272038555</v>
      </c>
      <c r="E58" s="194"/>
    </row>
    <row r="59" spans="1:13" customFormat="1" x14ac:dyDescent="0.35">
      <c r="A59" s="173" t="s">
        <v>960</v>
      </c>
      <c r="B59" s="179">
        <f>SUM(G13:G14)</f>
        <v>227.94414585668585</v>
      </c>
      <c r="C59" s="179">
        <f>H203*SUM(C13:C14)/E13</f>
        <v>16891.354918859019</v>
      </c>
      <c r="D59" t="s">
        <v>1004</v>
      </c>
      <c r="E59" s="194"/>
    </row>
    <row r="60" spans="1:13" x14ac:dyDescent="0.35">
      <c r="A60" s="174" t="s">
        <v>962</v>
      </c>
      <c r="B60" s="180">
        <f>SUM(G15:G49)</f>
        <v>31219.967171356573</v>
      </c>
      <c r="C60" s="180">
        <v>0</v>
      </c>
      <c r="E60" s="194"/>
    </row>
    <row r="61" spans="1:13" x14ac:dyDescent="0.35">
      <c r="A61" s="174" t="s">
        <v>1005</v>
      </c>
      <c r="B61" s="180">
        <f>SUM(B54:B60)</f>
        <v>1217702.7418403216</v>
      </c>
      <c r="C61" s="180">
        <f>SUM(C54:C60)</f>
        <v>107389.45419089758</v>
      </c>
    </row>
    <row r="62" spans="1:13" x14ac:dyDescent="0.35">
      <c r="A62" s="174" t="s">
        <v>1006</v>
      </c>
      <c r="B62" s="180">
        <f>SUM(B55:B59)</f>
        <v>42583.835318983562</v>
      </c>
      <c r="C62" s="180">
        <f>SUM(C55:C59)</f>
        <v>107389.45419089758</v>
      </c>
    </row>
    <row r="65" spans="1:26" ht="18.5" x14ac:dyDescent="0.35">
      <c r="A65" s="274" t="s">
        <v>1007</v>
      </c>
      <c r="B65" s="274"/>
      <c r="C65" s="274"/>
      <c r="D65" s="274"/>
      <c r="E65" s="274"/>
      <c r="F65" s="274"/>
      <c r="G65" s="274"/>
      <c r="H65" s="274"/>
      <c r="I65" s="274"/>
      <c r="J65" s="274"/>
      <c r="K65" s="274"/>
      <c r="L65" s="274"/>
      <c r="M65" s="274"/>
      <c r="N65" s="274"/>
      <c r="O65" s="274"/>
      <c r="P65" s="274"/>
      <c r="Q65" s="274"/>
    </row>
    <row r="66" spans="1:26" ht="52.5" customHeight="1" x14ac:dyDescent="0.35">
      <c r="A66" s="147" t="s">
        <v>923</v>
      </c>
      <c r="B66" s="147" t="s">
        <v>1008</v>
      </c>
      <c r="C66" s="147" t="s">
        <v>1009</v>
      </c>
      <c r="D66" s="147" t="s">
        <v>1010</v>
      </c>
      <c r="E66" s="147" t="s">
        <v>1011</v>
      </c>
      <c r="F66" s="147" t="s">
        <v>1012</v>
      </c>
      <c r="G66" s="147" t="s">
        <v>1013</v>
      </c>
      <c r="H66" s="147" t="s">
        <v>1014</v>
      </c>
      <c r="I66" s="147" t="s">
        <v>1015</v>
      </c>
      <c r="J66" s="147" t="s">
        <v>1016</v>
      </c>
      <c r="K66" s="165" t="s">
        <v>1017</v>
      </c>
      <c r="L66" s="147" t="s">
        <v>1018</v>
      </c>
      <c r="M66" s="147" t="s">
        <v>1019</v>
      </c>
      <c r="N66" s="147" t="s">
        <v>1020</v>
      </c>
      <c r="O66" s="147" t="s">
        <v>1021</v>
      </c>
      <c r="P66" s="147" t="s">
        <v>356</v>
      </c>
      <c r="Q66" s="147" t="s">
        <v>371</v>
      </c>
      <c r="R66" s="147"/>
      <c r="S66" s="147"/>
      <c r="T66" s="147"/>
      <c r="U66" s="147"/>
      <c r="V66" s="147"/>
      <c r="W66" s="147"/>
      <c r="X66" s="147"/>
      <c r="Y66" s="147"/>
      <c r="Z66" s="147"/>
    </row>
    <row r="67" spans="1:26" x14ac:dyDescent="0.35">
      <c r="A67" s="156" t="s">
        <v>940</v>
      </c>
      <c r="B67" s="156" t="s">
        <v>1022</v>
      </c>
      <c r="C67" s="156"/>
      <c r="D67" s="156">
        <v>30</v>
      </c>
      <c r="E67" s="156"/>
      <c r="F67" s="156">
        <v>9.6499999999999986</v>
      </c>
      <c r="G67" s="156"/>
      <c r="H67" s="156"/>
      <c r="I67" s="156"/>
      <c r="J67" s="156">
        <v>100</v>
      </c>
      <c r="K67" s="156">
        <v>1.1579999999999999</v>
      </c>
      <c r="L67" s="156"/>
      <c r="M67" s="156"/>
      <c r="N67" s="156"/>
      <c r="O67" s="156"/>
      <c r="P67" s="156"/>
      <c r="Q67" s="156" t="s">
        <v>943</v>
      </c>
      <c r="R67" s="156" t="s">
        <v>1023</v>
      </c>
      <c r="S67" s="156"/>
      <c r="T67" s="156"/>
      <c r="U67" s="156"/>
      <c r="V67" s="156"/>
      <c r="W67" s="156"/>
      <c r="X67" s="156"/>
      <c r="Y67" s="156"/>
      <c r="Z67" s="156"/>
    </row>
    <row r="68" spans="1:26" x14ac:dyDescent="0.35">
      <c r="A68" s="148" t="s">
        <v>940</v>
      </c>
      <c r="B68" s="148"/>
      <c r="C68" s="148" t="s">
        <v>1024</v>
      </c>
      <c r="D68" s="148"/>
      <c r="E68" s="148"/>
      <c r="F68" s="148">
        <v>2.25</v>
      </c>
      <c r="G68" s="148"/>
      <c r="H68" s="148"/>
      <c r="I68" s="148"/>
      <c r="J68" s="148">
        <v>12</v>
      </c>
      <c r="K68" s="148">
        <v>0.26999999999999996</v>
      </c>
      <c r="L68" s="148"/>
      <c r="M68" s="148"/>
      <c r="N68" s="148"/>
      <c r="O68" s="148"/>
      <c r="P68" s="148"/>
      <c r="Q68" s="148" t="s">
        <v>1025</v>
      </c>
      <c r="R68" s="148"/>
      <c r="S68" s="148"/>
      <c r="T68" s="148"/>
      <c r="U68" s="148"/>
      <c r="V68" s="148"/>
      <c r="W68" s="148"/>
      <c r="X68" s="148"/>
      <c r="Y68" s="148"/>
      <c r="Z68" s="148"/>
    </row>
    <row r="69" spans="1:26" x14ac:dyDescent="0.35">
      <c r="A69" s="148" t="s">
        <v>940</v>
      </c>
      <c r="B69" s="148"/>
      <c r="C69" s="148" t="s">
        <v>1026</v>
      </c>
      <c r="D69" s="148"/>
      <c r="E69" s="148"/>
      <c r="F69" s="148">
        <v>3.25</v>
      </c>
      <c r="G69" s="148"/>
      <c r="H69" s="148"/>
      <c r="I69" s="148"/>
      <c r="J69" s="148">
        <v>68</v>
      </c>
      <c r="K69" s="148">
        <v>0.38999999999999996</v>
      </c>
      <c r="L69" s="148"/>
      <c r="M69" s="148"/>
      <c r="N69" s="148"/>
      <c r="O69" s="148"/>
      <c r="P69" s="148"/>
      <c r="Q69" s="148" t="s">
        <v>1027</v>
      </c>
      <c r="R69" s="148"/>
      <c r="S69" s="148"/>
      <c r="T69" s="148"/>
      <c r="U69" s="148"/>
      <c r="V69" s="148"/>
      <c r="W69" s="148"/>
      <c r="X69" s="148"/>
      <c r="Y69" s="148"/>
      <c r="Z69" s="148"/>
    </row>
    <row r="70" spans="1:26" x14ac:dyDescent="0.35">
      <c r="A70" s="148" t="s">
        <v>940</v>
      </c>
      <c r="B70" s="148"/>
      <c r="C70" s="148" t="s">
        <v>1028</v>
      </c>
      <c r="D70" s="148"/>
      <c r="E70" s="148"/>
      <c r="F70" s="148">
        <v>3.45</v>
      </c>
      <c r="G70" s="148"/>
      <c r="H70" s="148"/>
      <c r="I70" s="148"/>
      <c r="J70" s="148">
        <v>5</v>
      </c>
      <c r="K70" s="148">
        <v>0.41399999999999998</v>
      </c>
      <c r="L70" s="148"/>
      <c r="M70" s="148"/>
      <c r="N70" s="148"/>
      <c r="O70" s="148"/>
      <c r="P70" s="148"/>
      <c r="Q70" s="148" t="s">
        <v>1029</v>
      </c>
      <c r="R70" s="148"/>
      <c r="S70" s="148"/>
      <c r="T70" s="148"/>
      <c r="U70" s="148"/>
      <c r="V70" s="148"/>
      <c r="W70" s="148"/>
      <c r="X70" s="148"/>
      <c r="Y70" s="148"/>
      <c r="Z70" s="148"/>
    </row>
    <row r="71" spans="1:26" x14ac:dyDescent="0.35">
      <c r="A71" s="148" t="s">
        <v>940</v>
      </c>
      <c r="B71" s="148"/>
      <c r="C71" s="148" t="s">
        <v>1030</v>
      </c>
      <c r="D71" s="148"/>
      <c r="E71" s="148"/>
      <c r="F71" s="148">
        <v>0.7</v>
      </c>
      <c r="G71" s="148"/>
      <c r="H71" s="148"/>
      <c r="I71" s="148"/>
      <c r="J71" s="148">
        <v>15</v>
      </c>
      <c r="K71" s="148">
        <v>8.4000000000000005E-2</v>
      </c>
      <c r="L71" s="148"/>
      <c r="M71" s="148"/>
      <c r="N71" s="148"/>
      <c r="O71" s="148"/>
      <c r="P71" s="148"/>
      <c r="Q71" s="148" t="s">
        <v>1031</v>
      </c>
      <c r="R71" s="148"/>
      <c r="S71" s="148"/>
      <c r="T71" s="148"/>
      <c r="U71" s="148"/>
      <c r="V71" s="148"/>
      <c r="W71" s="148"/>
      <c r="X71" s="148"/>
      <c r="Y71" s="148"/>
      <c r="Z71" s="148"/>
    </row>
    <row r="72" spans="1:26" x14ac:dyDescent="0.35">
      <c r="A72" s="156" t="s">
        <v>940</v>
      </c>
      <c r="B72" s="156" t="s">
        <v>1032</v>
      </c>
      <c r="C72" s="156"/>
      <c r="D72" s="156">
        <v>30</v>
      </c>
      <c r="E72" s="156"/>
      <c r="F72" s="156"/>
      <c r="G72" s="156"/>
      <c r="H72" s="156"/>
      <c r="I72" s="156"/>
      <c r="J72" s="156"/>
      <c r="K72" s="156" t="s">
        <v>1033</v>
      </c>
      <c r="L72" s="156"/>
      <c r="M72" s="156"/>
      <c r="N72" s="156"/>
      <c r="O72" s="156"/>
      <c r="P72" s="156" t="s">
        <v>1034</v>
      </c>
      <c r="Q72" s="156" t="s">
        <v>943</v>
      </c>
      <c r="R72" s="156"/>
      <c r="S72" s="156"/>
      <c r="T72" s="156"/>
      <c r="U72" s="156"/>
      <c r="V72" s="156"/>
      <c r="W72" s="156"/>
      <c r="X72" s="156"/>
      <c r="Y72" s="156"/>
      <c r="Z72" s="156"/>
    </row>
    <row r="73" spans="1:26" x14ac:dyDescent="0.35">
      <c r="A73" s="156" t="s">
        <v>940</v>
      </c>
      <c r="B73" s="156" t="s">
        <v>1035</v>
      </c>
      <c r="C73" s="156"/>
      <c r="D73" s="156"/>
      <c r="E73" s="156"/>
      <c r="F73" s="156">
        <v>1.96</v>
      </c>
      <c r="G73" s="156"/>
      <c r="H73" s="156"/>
      <c r="I73" s="156"/>
      <c r="J73" s="156"/>
      <c r="K73" s="156" t="s">
        <v>1036</v>
      </c>
      <c r="L73" s="156"/>
      <c r="M73" s="156"/>
      <c r="N73" s="156"/>
      <c r="O73" s="156"/>
      <c r="P73" s="156" t="s">
        <v>1037</v>
      </c>
      <c r="Q73" s="156" t="s">
        <v>943</v>
      </c>
      <c r="R73" s="156"/>
      <c r="S73" s="156"/>
      <c r="T73" s="156"/>
      <c r="U73" s="156"/>
      <c r="V73" s="156"/>
      <c r="W73" s="156"/>
      <c r="X73" s="156"/>
      <c r="Y73" s="156"/>
      <c r="Z73" s="156"/>
    </row>
    <row r="74" spans="1:26" x14ac:dyDescent="0.35">
      <c r="A74" s="148" t="s">
        <v>940</v>
      </c>
      <c r="B74" s="148"/>
      <c r="C74" s="148" t="s">
        <v>1038</v>
      </c>
      <c r="D74" s="148"/>
      <c r="E74" s="148"/>
      <c r="F74" s="148">
        <v>0.03</v>
      </c>
      <c r="G74" s="148"/>
      <c r="H74" s="148"/>
      <c r="I74" s="148">
        <v>2828</v>
      </c>
      <c r="J74" s="148"/>
      <c r="K74" s="148"/>
      <c r="L74" s="148"/>
      <c r="M74" s="148"/>
      <c r="N74" s="148"/>
      <c r="O74" s="148"/>
      <c r="P74" s="148" t="s">
        <v>1039</v>
      </c>
      <c r="Q74" s="148" t="s">
        <v>1040</v>
      </c>
      <c r="R74" s="148"/>
      <c r="S74" s="148"/>
      <c r="T74" s="148"/>
      <c r="U74" s="148"/>
      <c r="V74" s="148"/>
      <c r="W74" s="148"/>
      <c r="X74" s="148"/>
      <c r="Y74" s="148"/>
      <c r="Z74" s="148"/>
    </row>
    <row r="75" spans="1:26" x14ac:dyDescent="0.35">
      <c r="A75" s="148" t="s">
        <v>940</v>
      </c>
      <c r="B75" s="148"/>
      <c r="C75" s="148" t="s">
        <v>1026</v>
      </c>
      <c r="D75" s="148"/>
      <c r="E75" s="148"/>
      <c r="F75" s="148">
        <v>0.4</v>
      </c>
      <c r="G75" s="148"/>
      <c r="H75" s="148"/>
      <c r="I75" s="148">
        <v>8250</v>
      </c>
      <c r="J75" s="148"/>
      <c r="K75" s="148"/>
      <c r="L75" s="148"/>
      <c r="M75" s="148"/>
      <c r="N75" s="148"/>
      <c r="O75" s="148"/>
      <c r="P75" s="148" t="s">
        <v>1039</v>
      </c>
      <c r="Q75" s="148" t="s">
        <v>1041</v>
      </c>
      <c r="R75" s="148"/>
      <c r="S75" s="148"/>
      <c r="T75" s="148"/>
      <c r="U75" s="148"/>
      <c r="V75" s="148"/>
      <c r="W75" s="148"/>
      <c r="X75" s="148"/>
      <c r="Y75" s="148"/>
      <c r="Z75" s="148"/>
    </row>
    <row r="76" spans="1:26" x14ac:dyDescent="0.35">
      <c r="A76" s="148" t="s">
        <v>940</v>
      </c>
      <c r="B76" s="148"/>
      <c r="C76" s="148" t="s">
        <v>1042</v>
      </c>
      <c r="D76" s="148"/>
      <c r="E76" s="148"/>
      <c r="F76" s="148">
        <v>0.06</v>
      </c>
      <c r="G76" s="148"/>
      <c r="H76" s="148"/>
      <c r="I76" s="148">
        <v>8250</v>
      </c>
      <c r="J76" s="148"/>
      <c r="K76" s="148"/>
      <c r="L76" s="148"/>
      <c r="M76" s="148"/>
      <c r="N76" s="148"/>
      <c r="O76" s="148"/>
      <c r="P76" s="148" t="s">
        <v>1039</v>
      </c>
      <c r="Q76" s="148" t="s">
        <v>1043</v>
      </c>
      <c r="R76" s="148"/>
      <c r="S76" s="148"/>
      <c r="T76" s="148"/>
      <c r="U76" s="148"/>
      <c r="V76" s="148"/>
      <c r="W76" s="148"/>
      <c r="X76" s="148"/>
      <c r="Y76" s="148"/>
      <c r="Z76" s="148"/>
    </row>
    <row r="77" spans="1:26" x14ac:dyDescent="0.35">
      <c r="A77" s="148" t="s">
        <v>940</v>
      </c>
      <c r="B77" s="148"/>
      <c r="C77" s="148" t="s">
        <v>1044</v>
      </c>
      <c r="D77" s="148"/>
      <c r="E77" s="148"/>
      <c r="F77" s="148">
        <v>0.1</v>
      </c>
      <c r="G77" s="148"/>
      <c r="H77" s="148"/>
      <c r="I77" s="148">
        <v>14850</v>
      </c>
      <c r="J77" s="148"/>
      <c r="K77" s="148"/>
      <c r="L77" s="148"/>
      <c r="M77" s="148"/>
      <c r="N77" s="148"/>
      <c r="O77" s="148"/>
      <c r="P77" s="148" t="s">
        <v>1039</v>
      </c>
      <c r="Q77" s="148" t="s">
        <v>1045</v>
      </c>
      <c r="R77" s="148"/>
      <c r="S77" s="148"/>
      <c r="T77" s="148"/>
      <c r="U77" s="148"/>
      <c r="V77" s="148"/>
      <c r="W77" s="148"/>
      <c r="X77" s="148"/>
      <c r="Y77" s="148"/>
      <c r="Z77" s="148"/>
    </row>
    <row r="78" spans="1:26" x14ac:dyDescent="0.35">
      <c r="A78" s="148" t="s">
        <v>940</v>
      </c>
      <c r="B78" s="148"/>
      <c r="C78" s="148" t="s">
        <v>1046</v>
      </c>
      <c r="D78" s="148"/>
      <c r="E78" s="148"/>
      <c r="F78" s="148">
        <v>0.1</v>
      </c>
      <c r="G78" s="148"/>
      <c r="H78" s="148"/>
      <c r="I78" s="148">
        <v>3300</v>
      </c>
      <c r="J78" s="148"/>
      <c r="K78" s="148"/>
      <c r="L78" s="148"/>
      <c r="M78" s="148"/>
      <c r="N78" s="148"/>
      <c r="O78" s="148"/>
      <c r="P78" s="148" t="s">
        <v>1039</v>
      </c>
      <c r="Q78" s="148" t="s">
        <v>1047</v>
      </c>
      <c r="R78" s="148"/>
      <c r="S78" s="148"/>
      <c r="T78" s="148"/>
      <c r="U78" s="148"/>
      <c r="V78" s="148"/>
      <c r="W78" s="148"/>
      <c r="X78" s="148"/>
      <c r="Y78" s="148"/>
      <c r="Z78" s="148"/>
    </row>
    <row r="79" spans="1:26" x14ac:dyDescent="0.35">
      <c r="A79" s="148" t="s">
        <v>940</v>
      </c>
      <c r="B79" s="148"/>
      <c r="C79" s="148" t="s">
        <v>1048</v>
      </c>
      <c r="D79" s="148"/>
      <c r="E79" s="148"/>
      <c r="F79" s="148">
        <v>0.1</v>
      </c>
      <c r="G79" s="148"/>
      <c r="H79" s="148"/>
      <c r="I79" s="148">
        <v>3300</v>
      </c>
      <c r="J79" s="148"/>
      <c r="K79" s="148"/>
      <c r="L79" s="148"/>
      <c r="M79" s="148"/>
      <c r="N79" s="148"/>
      <c r="O79" s="148"/>
      <c r="P79" s="148" t="s">
        <v>1039</v>
      </c>
      <c r="Q79" s="148" t="s">
        <v>1049</v>
      </c>
      <c r="R79" s="148"/>
      <c r="S79" s="148"/>
      <c r="T79" s="148"/>
      <c r="U79" s="148"/>
      <c r="V79" s="148"/>
      <c r="W79" s="148"/>
      <c r="X79" s="148"/>
      <c r="Y79" s="148"/>
      <c r="Z79" s="148"/>
    </row>
    <row r="80" spans="1:26" x14ac:dyDescent="0.35">
      <c r="A80" s="148" t="s">
        <v>940</v>
      </c>
      <c r="B80" s="148"/>
      <c r="C80" s="148" t="s">
        <v>1050</v>
      </c>
      <c r="D80" s="148"/>
      <c r="E80" s="148"/>
      <c r="F80" s="148">
        <v>0.5</v>
      </c>
      <c r="G80" s="148"/>
      <c r="H80" s="148"/>
      <c r="I80" s="148">
        <v>9460</v>
      </c>
      <c r="J80" s="148"/>
      <c r="K80" s="148"/>
      <c r="L80" s="148"/>
      <c r="M80" s="148"/>
      <c r="N80" s="148"/>
      <c r="O80" s="148"/>
      <c r="P80" s="148" t="s">
        <v>1039</v>
      </c>
      <c r="Q80" s="148" t="s">
        <v>1051</v>
      </c>
      <c r="R80" s="148"/>
      <c r="S80" s="148"/>
      <c r="T80" s="148"/>
      <c r="U80" s="148"/>
      <c r="V80" s="148"/>
      <c r="W80" s="148"/>
      <c r="X80" s="148"/>
      <c r="Y80" s="148"/>
      <c r="Z80" s="148"/>
    </row>
    <row r="81" spans="1:26" x14ac:dyDescent="0.35">
      <c r="A81" s="148" t="s">
        <v>940</v>
      </c>
      <c r="B81" s="148"/>
      <c r="C81" s="148" t="s">
        <v>1052</v>
      </c>
      <c r="D81" s="148"/>
      <c r="E81" s="148"/>
      <c r="F81" s="148">
        <v>0.67</v>
      </c>
      <c r="G81" s="148"/>
      <c r="H81" s="148"/>
      <c r="I81" s="148">
        <v>29458</v>
      </c>
      <c r="J81" s="148"/>
      <c r="K81" s="148"/>
      <c r="L81" s="148"/>
      <c r="M81" s="148"/>
      <c r="N81" s="148"/>
      <c r="O81" s="148"/>
      <c r="P81" s="148" t="s">
        <v>1039</v>
      </c>
      <c r="Q81" s="148" t="s">
        <v>1053</v>
      </c>
      <c r="R81" s="148"/>
      <c r="S81" s="148"/>
      <c r="T81" s="148"/>
      <c r="U81" s="148"/>
      <c r="V81" s="148"/>
      <c r="W81" s="148"/>
      <c r="X81" s="148"/>
      <c r="Y81" s="148"/>
      <c r="Z81" s="148"/>
    </row>
    <row r="82" spans="1:26" x14ac:dyDescent="0.35">
      <c r="A82" s="148" t="s">
        <v>940</v>
      </c>
      <c r="B82" s="148"/>
      <c r="C82" s="148" t="s">
        <v>1054</v>
      </c>
      <c r="D82" s="148"/>
      <c r="E82" s="148"/>
      <c r="F82" s="148"/>
      <c r="G82" s="148"/>
      <c r="H82" s="148"/>
      <c r="I82" s="148"/>
      <c r="J82" s="148"/>
      <c r="K82" s="148"/>
      <c r="L82" s="148"/>
      <c r="M82" s="148"/>
      <c r="N82" s="148"/>
      <c r="O82" s="148"/>
      <c r="P82" s="148" t="s">
        <v>1039</v>
      </c>
      <c r="Q82" s="148" t="s">
        <v>1055</v>
      </c>
      <c r="R82" s="148"/>
      <c r="S82" s="148"/>
      <c r="T82" s="148"/>
      <c r="U82" s="148"/>
      <c r="V82" s="148"/>
      <c r="W82" s="148"/>
      <c r="X82" s="148"/>
      <c r="Y82" s="148"/>
      <c r="Z82" s="148"/>
    </row>
    <row r="83" spans="1:26" x14ac:dyDescent="0.35">
      <c r="A83" s="156" t="s">
        <v>940</v>
      </c>
      <c r="B83" s="156" t="s">
        <v>1056</v>
      </c>
      <c r="C83" s="156"/>
      <c r="D83" s="156"/>
      <c r="E83" s="156"/>
      <c r="F83" s="156"/>
      <c r="G83" s="156"/>
      <c r="H83" s="156"/>
      <c r="I83" s="156"/>
      <c r="J83" s="156"/>
      <c r="K83" s="156" t="s">
        <v>1057</v>
      </c>
      <c r="L83" s="156"/>
      <c r="M83" s="156"/>
      <c r="N83" s="156"/>
      <c r="O83" s="156"/>
      <c r="P83" s="156" t="s">
        <v>1037</v>
      </c>
      <c r="Q83" s="156" t="s">
        <v>943</v>
      </c>
      <c r="R83" s="156"/>
      <c r="S83" s="156"/>
      <c r="T83" s="156"/>
      <c r="U83" s="156"/>
      <c r="V83" s="156"/>
      <c r="W83" s="156"/>
      <c r="X83" s="156"/>
      <c r="Y83" s="156"/>
      <c r="Z83" s="156"/>
    </row>
    <row r="84" spans="1:26" x14ac:dyDescent="0.35">
      <c r="A84" s="156" t="s">
        <v>940</v>
      </c>
      <c r="B84" s="156" t="s">
        <v>1058</v>
      </c>
      <c r="C84" s="156"/>
      <c r="D84" s="156"/>
      <c r="E84" s="156"/>
      <c r="F84" s="156"/>
      <c r="G84" s="156"/>
      <c r="H84" s="156"/>
      <c r="I84" s="156"/>
      <c r="J84" s="156"/>
      <c r="K84" s="156">
        <v>32.299999999999997</v>
      </c>
      <c r="L84" s="156"/>
      <c r="M84" s="156"/>
      <c r="N84" s="156"/>
      <c r="O84" s="156"/>
      <c r="P84" s="156" t="s">
        <v>1037</v>
      </c>
      <c r="Q84" s="156" t="s">
        <v>943</v>
      </c>
      <c r="R84" s="156"/>
      <c r="S84" s="156"/>
      <c r="T84" s="156"/>
      <c r="U84" s="156"/>
      <c r="V84" s="156"/>
      <c r="W84" s="156"/>
      <c r="X84" s="156"/>
      <c r="Y84" s="156"/>
      <c r="Z84" s="156"/>
    </row>
    <row r="85" spans="1:26" x14ac:dyDescent="0.35">
      <c r="A85" s="156" t="s">
        <v>940</v>
      </c>
      <c r="B85" s="156" t="s">
        <v>1059</v>
      </c>
      <c r="C85" s="156"/>
      <c r="D85" s="156"/>
      <c r="E85" s="156"/>
      <c r="F85" s="156"/>
      <c r="G85" s="156"/>
      <c r="H85" s="156"/>
      <c r="I85" s="156"/>
      <c r="J85" s="156"/>
      <c r="K85" s="156" t="s">
        <v>1060</v>
      </c>
      <c r="L85" s="156"/>
      <c r="M85" s="156"/>
      <c r="N85" s="156"/>
      <c r="O85" s="156"/>
      <c r="P85" s="156" t="s">
        <v>1037</v>
      </c>
      <c r="Q85" s="156" t="s">
        <v>1025</v>
      </c>
      <c r="R85" s="156"/>
      <c r="S85" s="156"/>
      <c r="T85" s="156"/>
      <c r="U85" s="156"/>
      <c r="V85" s="156"/>
      <c r="W85" s="156"/>
      <c r="X85" s="156"/>
      <c r="Y85" s="156"/>
      <c r="Z85" s="156"/>
    </row>
    <row r="86" spans="1:26" x14ac:dyDescent="0.35">
      <c r="A86" s="156" t="s">
        <v>940</v>
      </c>
      <c r="B86" s="156" t="s">
        <v>1061</v>
      </c>
      <c r="C86" s="156"/>
      <c r="D86" s="156"/>
      <c r="E86" s="156"/>
      <c r="F86" s="156"/>
      <c r="G86" s="156"/>
      <c r="H86" s="156"/>
      <c r="I86" s="156"/>
      <c r="J86" s="156"/>
      <c r="K86" s="156" t="s">
        <v>1062</v>
      </c>
      <c r="L86" s="156"/>
      <c r="M86" s="156"/>
      <c r="N86" s="156"/>
      <c r="O86" s="156"/>
      <c r="P86" s="156"/>
      <c r="Q86" s="156" t="s">
        <v>943</v>
      </c>
      <c r="R86" s="156"/>
      <c r="S86" s="156"/>
      <c r="T86" s="156"/>
      <c r="U86" s="156"/>
      <c r="V86" s="156"/>
      <c r="W86" s="156"/>
      <c r="X86" s="156"/>
      <c r="Y86" s="156"/>
      <c r="Z86" s="156"/>
    </row>
    <row r="87" spans="1:26" x14ac:dyDescent="0.35">
      <c r="A87" s="156" t="s">
        <v>940</v>
      </c>
      <c r="B87" s="156" t="s">
        <v>1063</v>
      </c>
      <c r="C87" s="156"/>
      <c r="D87" s="156"/>
      <c r="E87" s="156"/>
      <c r="F87" s="156"/>
      <c r="G87" s="156"/>
      <c r="H87" s="156"/>
      <c r="I87" s="156"/>
      <c r="J87" s="156"/>
      <c r="K87" s="156">
        <v>1292.4000000000001</v>
      </c>
      <c r="L87" s="156"/>
      <c r="M87" s="156"/>
      <c r="N87" s="156"/>
      <c r="O87" s="156"/>
      <c r="P87" s="156" t="s">
        <v>1064</v>
      </c>
      <c r="Q87" s="156" t="s">
        <v>1065</v>
      </c>
      <c r="R87" s="156"/>
      <c r="S87" s="156"/>
      <c r="T87" s="156"/>
      <c r="U87" s="156"/>
      <c r="V87" s="156"/>
      <c r="W87" s="156"/>
      <c r="X87" s="156"/>
      <c r="Y87" s="156"/>
      <c r="Z87" s="156"/>
    </row>
    <row r="88" spans="1:26" x14ac:dyDescent="0.35">
      <c r="A88" s="156" t="s">
        <v>940</v>
      </c>
      <c r="B88" s="156" t="s">
        <v>1066</v>
      </c>
      <c r="C88" s="156"/>
      <c r="D88" s="156"/>
      <c r="E88" s="156"/>
      <c r="F88" s="156"/>
      <c r="G88" s="156"/>
      <c r="H88" s="156"/>
      <c r="I88" s="156"/>
      <c r="J88" s="156"/>
      <c r="K88" s="156">
        <v>1582.2</v>
      </c>
      <c r="L88" s="156"/>
      <c r="M88" s="156"/>
      <c r="N88" s="156"/>
      <c r="O88" s="156"/>
      <c r="P88" s="156" t="s">
        <v>1064</v>
      </c>
      <c r="Q88" s="156" t="s">
        <v>1065</v>
      </c>
      <c r="R88" s="156"/>
      <c r="S88" s="156"/>
      <c r="T88" s="156"/>
      <c r="U88" s="156"/>
      <c r="V88" s="156"/>
      <c r="W88" s="156"/>
      <c r="X88" s="156"/>
      <c r="Y88" s="156"/>
      <c r="Z88" s="156"/>
    </row>
    <row r="89" spans="1:26" x14ac:dyDescent="0.35">
      <c r="A89" s="156" t="s">
        <v>940</v>
      </c>
      <c r="B89" s="156" t="s">
        <v>120</v>
      </c>
      <c r="C89" s="156"/>
      <c r="D89" s="156"/>
      <c r="E89" s="156"/>
      <c r="F89" s="156"/>
      <c r="G89" s="156"/>
      <c r="H89" s="156"/>
      <c r="I89" s="156"/>
      <c r="J89" s="156"/>
      <c r="K89" s="156">
        <v>1001.16</v>
      </c>
      <c r="L89" s="156"/>
      <c r="M89" s="156"/>
      <c r="N89" s="156"/>
      <c r="O89" s="156"/>
      <c r="P89" s="156" t="s">
        <v>1064</v>
      </c>
      <c r="Q89" s="156" t="s">
        <v>1065</v>
      </c>
      <c r="R89" s="156"/>
      <c r="S89" s="156"/>
      <c r="T89" s="156"/>
      <c r="U89" s="156"/>
      <c r="V89" s="156"/>
      <c r="W89" s="156"/>
      <c r="X89" s="156"/>
      <c r="Y89" s="156"/>
      <c r="Z89" s="156"/>
    </row>
    <row r="90" spans="1:26" x14ac:dyDescent="0.35">
      <c r="A90" s="156" t="s">
        <v>940</v>
      </c>
      <c r="B90" s="156" t="s">
        <v>1067</v>
      </c>
      <c r="C90" s="156"/>
      <c r="D90" s="156"/>
      <c r="E90" s="156"/>
      <c r="F90" s="156"/>
      <c r="G90" s="156"/>
      <c r="H90" s="156"/>
      <c r="I90" s="156"/>
      <c r="J90" s="156"/>
      <c r="K90" s="156">
        <v>895.32</v>
      </c>
      <c r="L90" s="156"/>
      <c r="M90" s="156"/>
      <c r="N90" s="156"/>
      <c r="O90" s="156"/>
      <c r="P90" s="156" t="s">
        <v>1064</v>
      </c>
      <c r="Q90" s="156" t="s">
        <v>1065</v>
      </c>
      <c r="R90" s="156"/>
      <c r="S90" s="156"/>
      <c r="T90" s="156"/>
      <c r="U90" s="156"/>
      <c r="V90" s="156"/>
      <c r="W90" s="156"/>
      <c r="X90" s="156"/>
      <c r="Y90" s="156"/>
      <c r="Z90" s="156"/>
    </row>
    <row r="91" spans="1:26" x14ac:dyDescent="0.35">
      <c r="A91" s="156" t="s">
        <v>940</v>
      </c>
      <c r="B91" s="156" t="s">
        <v>1068</v>
      </c>
      <c r="C91" s="156"/>
      <c r="D91" s="156">
        <v>0.1</v>
      </c>
      <c r="E91" s="156"/>
      <c r="F91" s="156">
        <v>0.58100000000000007</v>
      </c>
      <c r="G91" s="156"/>
      <c r="H91" s="156"/>
      <c r="I91" s="156"/>
      <c r="J91" s="156"/>
      <c r="K91" s="157">
        <v>20.916000000000004</v>
      </c>
      <c r="L91" s="156"/>
      <c r="M91" s="156"/>
      <c r="N91" s="156"/>
      <c r="O91" s="156"/>
      <c r="P91" s="156" t="s">
        <v>1069</v>
      </c>
      <c r="Q91" s="156" t="s">
        <v>1070</v>
      </c>
      <c r="R91" s="156" t="s">
        <v>1071</v>
      </c>
      <c r="S91" s="156"/>
      <c r="T91" s="156"/>
      <c r="U91" s="156"/>
      <c r="V91" s="156"/>
      <c r="W91" s="156"/>
      <c r="X91" s="156"/>
      <c r="Y91" s="156"/>
      <c r="Z91" s="156"/>
    </row>
    <row r="92" spans="1:26" x14ac:dyDescent="0.35">
      <c r="A92" s="148" t="s">
        <v>940</v>
      </c>
      <c r="B92" s="148"/>
      <c r="C92" s="148" t="s">
        <v>1072</v>
      </c>
      <c r="D92" s="148"/>
      <c r="E92" s="148"/>
      <c r="F92" s="148">
        <v>0.36</v>
      </c>
      <c r="G92" s="148"/>
      <c r="H92" s="148"/>
      <c r="I92" s="148">
        <v>120</v>
      </c>
      <c r="J92" s="148"/>
      <c r="K92" s="168">
        <v>12.96</v>
      </c>
      <c r="L92" s="149"/>
      <c r="M92" s="149"/>
      <c r="N92" s="149"/>
      <c r="O92" s="149"/>
      <c r="P92" s="148" t="s">
        <v>1073</v>
      </c>
      <c r="Q92" s="148" t="s">
        <v>1040</v>
      </c>
      <c r="R92" s="148"/>
      <c r="S92" s="148"/>
      <c r="T92" s="148"/>
      <c r="U92" s="148"/>
      <c r="V92" s="148"/>
      <c r="W92" s="148"/>
      <c r="X92" s="148"/>
      <c r="Y92" s="148"/>
      <c r="Z92" s="148"/>
    </row>
    <row r="93" spans="1:26" x14ac:dyDescent="0.35">
      <c r="A93" s="148" t="s">
        <v>940</v>
      </c>
      <c r="B93" s="148"/>
      <c r="C93" s="148" t="s">
        <v>1074</v>
      </c>
      <c r="D93" s="148"/>
      <c r="E93" s="148"/>
      <c r="F93" s="148">
        <v>0.11</v>
      </c>
      <c r="G93" s="148"/>
      <c r="H93" s="148"/>
      <c r="I93" s="148">
        <v>7075.9</v>
      </c>
      <c r="J93" s="148"/>
      <c r="K93" s="168">
        <v>3.9600000000000004</v>
      </c>
      <c r="L93" s="149"/>
      <c r="M93" s="149"/>
      <c r="N93" s="149"/>
      <c r="O93" s="149"/>
      <c r="P93" s="148" t="s">
        <v>1073</v>
      </c>
      <c r="Q93" s="148" t="s">
        <v>1041</v>
      </c>
      <c r="R93" s="148"/>
      <c r="S93" s="148"/>
      <c r="T93" s="148"/>
      <c r="U93" s="148"/>
      <c r="V93" s="148"/>
      <c r="W93" s="148"/>
      <c r="X93" s="148"/>
      <c r="Y93" s="148"/>
      <c r="Z93" s="148"/>
    </row>
    <row r="94" spans="1:26" x14ac:dyDescent="0.35">
      <c r="A94" s="148" t="s">
        <v>940</v>
      </c>
      <c r="B94" s="148"/>
      <c r="C94" s="148" t="s">
        <v>1075</v>
      </c>
      <c r="D94" s="148"/>
      <c r="E94" s="148"/>
      <c r="F94" s="148">
        <v>0.04</v>
      </c>
      <c r="G94" s="148"/>
      <c r="H94" s="148"/>
      <c r="I94" s="148">
        <v>90</v>
      </c>
      <c r="J94" s="148"/>
      <c r="K94" s="168">
        <v>1.4400000000000002</v>
      </c>
      <c r="L94" s="149"/>
      <c r="M94" s="149"/>
      <c r="N94" s="149"/>
      <c r="O94" s="149"/>
      <c r="P94" s="148" t="s">
        <v>1073</v>
      </c>
      <c r="Q94" s="148" t="s">
        <v>1043</v>
      </c>
      <c r="R94" s="148"/>
      <c r="S94" s="148"/>
      <c r="T94" s="148"/>
      <c r="U94" s="148"/>
      <c r="V94" s="148"/>
      <c r="W94" s="148"/>
      <c r="X94" s="148"/>
      <c r="Y94" s="148"/>
      <c r="Z94" s="148"/>
    </row>
    <row r="95" spans="1:26" x14ac:dyDescent="0.35">
      <c r="A95" s="148" t="s">
        <v>940</v>
      </c>
      <c r="B95" s="148"/>
      <c r="C95" s="148" t="s">
        <v>1076</v>
      </c>
      <c r="D95" s="148"/>
      <c r="E95" s="148"/>
      <c r="F95" s="148">
        <v>1.7000000000000001E-2</v>
      </c>
      <c r="G95" s="148"/>
      <c r="H95" s="148"/>
      <c r="I95" s="148">
        <v>6985.9</v>
      </c>
      <c r="J95" s="148"/>
      <c r="K95" s="168">
        <v>0.6120000000000001</v>
      </c>
      <c r="L95" s="149"/>
      <c r="M95" s="149"/>
      <c r="N95" s="149"/>
      <c r="O95" s="149"/>
      <c r="P95" s="148" t="s">
        <v>1073</v>
      </c>
      <c r="Q95" s="148" t="s">
        <v>1045</v>
      </c>
      <c r="R95" s="148"/>
      <c r="S95" s="148"/>
      <c r="T95" s="148"/>
      <c r="U95" s="148"/>
      <c r="V95" s="148"/>
      <c r="W95" s="148"/>
      <c r="X95" s="148"/>
      <c r="Y95" s="148"/>
      <c r="Z95" s="148"/>
    </row>
    <row r="96" spans="1:26" x14ac:dyDescent="0.35">
      <c r="A96" s="148" t="s">
        <v>940</v>
      </c>
      <c r="B96" s="148"/>
      <c r="C96" s="148" t="s">
        <v>1077</v>
      </c>
      <c r="D96" s="148"/>
      <c r="E96" s="148"/>
      <c r="F96" s="148">
        <v>3.0000000000000001E-3</v>
      </c>
      <c r="G96" s="148"/>
      <c r="H96" s="148"/>
      <c r="I96" s="148">
        <v>6675.9</v>
      </c>
      <c r="J96" s="148"/>
      <c r="K96" s="168">
        <v>0.10800000000000001</v>
      </c>
      <c r="L96" s="149"/>
      <c r="M96" s="149"/>
      <c r="N96" s="149"/>
      <c r="O96" s="149"/>
      <c r="P96" s="148" t="s">
        <v>1073</v>
      </c>
      <c r="Q96" s="148" t="s">
        <v>1047</v>
      </c>
      <c r="R96" s="148"/>
      <c r="S96" s="148"/>
      <c r="T96" s="148"/>
      <c r="U96" s="148"/>
      <c r="V96" s="148"/>
      <c r="W96" s="148"/>
      <c r="X96" s="148"/>
      <c r="Y96" s="148"/>
      <c r="Z96" s="148"/>
    </row>
    <row r="97" spans="1:26" x14ac:dyDescent="0.35">
      <c r="A97" s="148" t="s">
        <v>940</v>
      </c>
      <c r="B97" s="148"/>
      <c r="C97" s="148" t="s">
        <v>1078</v>
      </c>
      <c r="D97" s="148"/>
      <c r="E97" s="148"/>
      <c r="F97" s="148">
        <v>3.0000000000000001E-3</v>
      </c>
      <c r="G97" s="148"/>
      <c r="H97" s="148"/>
      <c r="I97" s="148">
        <v>6675.9</v>
      </c>
      <c r="J97" s="148"/>
      <c r="K97" s="168">
        <v>0.10800000000000001</v>
      </c>
      <c r="L97" s="149"/>
      <c r="M97" s="149"/>
      <c r="N97" s="149"/>
      <c r="O97" s="149"/>
      <c r="P97" s="148" t="s">
        <v>1073</v>
      </c>
      <c r="Q97" s="148" t="s">
        <v>1049</v>
      </c>
      <c r="R97" s="148"/>
      <c r="S97" s="148"/>
      <c r="T97" s="148"/>
      <c r="U97" s="148"/>
      <c r="V97" s="148"/>
      <c r="W97" s="148"/>
      <c r="X97" s="148"/>
      <c r="Y97" s="148"/>
      <c r="Z97" s="148"/>
    </row>
    <row r="98" spans="1:26" x14ac:dyDescent="0.35">
      <c r="A98" s="148" t="s">
        <v>940</v>
      </c>
      <c r="B98" s="148"/>
      <c r="C98" s="148" t="s">
        <v>1046</v>
      </c>
      <c r="D98" s="148"/>
      <c r="E98" s="148"/>
      <c r="F98" s="148">
        <v>3.0000000000000001E-3</v>
      </c>
      <c r="G98" s="148"/>
      <c r="H98" s="148"/>
      <c r="I98" s="148">
        <v>310</v>
      </c>
      <c r="J98" s="148"/>
      <c r="K98" s="168">
        <v>0.10800000000000001</v>
      </c>
      <c r="L98" s="149"/>
      <c r="M98" s="149"/>
      <c r="N98" s="149"/>
      <c r="O98" s="149"/>
      <c r="P98" s="148" t="s">
        <v>1073</v>
      </c>
      <c r="Q98" s="148" t="s">
        <v>1051</v>
      </c>
      <c r="R98" s="148"/>
      <c r="S98" s="148"/>
      <c r="T98" s="148"/>
      <c r="U98" s="148"/>
      <c r="V98" s="148"/>
      <c r="W98" s="148"/>
      <c r="X98" s="148"/>
      <c r="Y98" s="148"/>
      <c r="Z98" s="148"/>
    </row>
    <row r="99" spans="1:26" x14ac:dyDescent="0.35">
      <c r="A99" s="148" t="s">
        <v>940</v>
      </c>
      <c r="B99" s="148"/>
      <c r="C99" s="148" t="s">
        <v>1052</v>
      </c>
      <c r="D99" s="148"/>
      <c r="E99" s="148"/>
      <c r="F99" s="148">
        <v>4.4999999999999998E-2</v>
      </c>
      <c r="G99" s="148"/>
      <c r="H99" s="148"/>
      <c r="I99" s="148">
        <v>7237.9</v>
      </c>
      <c r="J99" s="148"/>
      <c r="K99" s="168">
        <v>1.62</v>
      </c>
      <c r="L99" s="149"/>
      <c r="M99" s="149"/>
      <c r="N99" s="149"/>
      <c r="O99" s="149"/>
      <c r="P99" s="148" t="s">
        <v>1073</v>
      </c>
      <c r="Q99" s="148" t="s">
        <v>1053</v>
      </c>
      <c r="R99" s="148"/>
      <c r="S99" s="148"/>
      <c r="T99" s="148"/>
      <c r="U99" s="148"/>
      <c r="V99" s="148"/>
      <c r="W99" s="148"/>
      <c r="X99" s="148"/>
      <c r="Y99" s="148"/>
      <c r="Z99" s="148"/>
    </row>
    <row r="100" spans="1:26" x14ac:dyDescent="0.35">
      <c r="A100" s="148" t="s">
        <v>940</v>
      </c>
      <c r="B100" s="148"/>
      <c r="C100" s="148" t="s">
        <v>1054</v>
      </c>
      <c r="D100" s="148"/>
      <c r="E100" s="148"/>
      <c r="F100" s="148"/>
      <c r="G100" s="148"/>
      <c r="H100" s="148"/>
      <c r="I100" s="148"/>
      <c r="J100" s="148"/>
      <c r="K100" s="168">
        <v>0</v>
      </c>
      <c r="L100" s="148"/>
      <c r="M100" s="148"/>
      <c r="N100" s="148"/>
      <c r="O100" s="148"/>
      <c r="P100" s="148" t="s">
        <v>1073</v>
      </c>
      <c r="Q100" s="148" t="s">
        <v>1055</v>
      </c>
      <c r="R100" s="148"/>
      <c r="S100" s="148"/>
      <c r="T100" s="148"/>
      <c r="U100" s="148"/>
      <c r="V100" s="148"/>
      <c r="W100" s="148"/>
      <c r="X100" s="148"/>
      <c r="Y100" s="148"/>
      <c r="Z100" s="148"/>
    </row>
    <row r="101" spans="1:26" x14ac:dyDescent="0.35">
      <c r="A101" s="156" t="s">
        <v>940</v>
      </c>
      <c r="B101" s="156" t="s">
        <v>1079</v>
      </c>
      <c r="C101" s="156"/>
      <c r="D101" s="156"/>
      <c r="E101" s="156"/>
      <c r="F101" s="156">
        <v>0.33779999999999999</v>
      </c>
      <c r="G101" s="156"/>
      <c r="H101" s="156"/>
      <c r="I101" s="156"/>
      <c r="J101" s="156"/>
      <c r="K101" s="156">
        <v>2.2000000000000001E-3</v>
      </c>
      <c r="L101" s="156"/>
      <c r="M101" s="156"/>
      <c r="N101" s="156"/>
      <c r="O101" s="156"/>
      <c r="P101" s="156" t="s">
        <v>1080</v>
      </c>
      <c r="Q101" s="156" t="s">
        <v>1040</v>
      </c>
      <c r="R101" s="156" t="s">
        <v>1081</v>
      </c>
      <c r="S101" s="156"/>
      <c r="T101" s="156"/>
      <c r="U101" s="156"/>
      <c r="V101" s="156"/>
      <c r="W101" s="156"/>
      <c r="X101" s="156"/>
      <c r="Y101" s="156"/>
      <c r="Z101" s="156"/>
    </row>
    <row r="102" spans="1:26" x14ac:dyDescent="0.35">
      <c r="A102" s="148" t="s">
        <v>940</v>
      </c>
      <c r="B102" s="148"/>
      <c r="C102" s="148" t="s">
        <v>1026</v>
      </c>
      <c r="D102" s="148"/>
      <c r="E102" s="148"/>
      <c r="F102" s="148">
        <v>8.0000000000000004E-4</v>
      </c>
      <c r="G102" s="148"/>
      <c r="H102" s="148"/>
      <c r="I102" s="148">
        <v>3868</v>
      </c>
      <c r="J102" s="148"/>
      <c r="K102" s="171">
        <v>5.2101835405565435E-6</v>
      </c>
      <c r="L102" s="149"/>
      <c r="M102" s="149"/>
      <c r="N102" s="149"/>
      <c r="O102" s="149"/>
      <c r="P102" s="148" t="s">
        <v>1082</v>
      </c>
      <c r="Q102" s="148" t="s">
        <v>1041</v>
      </c>
      <c r="R102" s="148"/>
      <c r="S102" s="148"/>
      <c r="T102" s="148"/>
      <c r="U102" s="148"/>
      <c r="V102" s="148"/>
      <c r="W102" s="148"/>
      <c r="X102" s="148"/>
      <c r="Y102" s="148"/>
      <c r="Z102" s="148"/>
    </row>
    <row r="103" spans="1:26" x14ac:dyDescent="0.35">
      <c r="A103" s="148" t="s">
        <v>940</v>
      </c>
      <c r="B103" s="148"/>
      <c r="C103" s="148" t="s">
        <v>1042</v>
      </c>
      <c r="D103" s="148"/>
      <c r="E103" s="148"/>
      <c r="F103" s="148">
        <v>1.6E-2</v>
      </c>
      <c r="G103" s="148"/>
      <c r="H103" s="148"/>
      <c r="I103" s="148">
        <v>3868</v>
      </c>
      <c r="J103" s="148"/>
      <c r="K103" s="171">
        <v>1.0420367081113085E-4</v>
      </c>
      <c r="L103" s="149"/>
      <c r="M103" s="149"/>
      <c r="N103" s="149"/>
      <c r="O103" s="149"/>
      <c r="P103" s="148" t="s">
        <v>1082</v>
      </c>
      <c r="Q103" s="148" t="s">
        <v>1043</v>
      </c>
      <c r="R103" s="148"/>
      <c r="S103" s="148"/>
      <c r="T103" s="148"/>
      <c r="U103" s="148"/>
      <c r="V103" s="148"/>
      <c r="W103" s="148"/>
      <c r="X103" s="148"/>
      <c r="Y103" s="148"/>
      <c r="Z103" s="148"/>
    </row>
    <row r="104" spans="1:26" x14ac:dyDescent="0.35">
      <c r="A104" s="148" t="s">
        <v>940</v>
      </c>
      <c r="B104" s="148"/>
      <c r="C104" s="148" t="s">
        <v>1044</v>
      </c>
      <c r="D104" s="148"/>
      <c r="E104" s="148"/>
      <c r="F104" s="148">
        <v>1.7999999999999999E-2</v>
      </c>
      <c r="G104" s="148"/>
      <c r="H104" s="148"/>
      <c r="I104" s="148">
        <v>680</v>
      </c>
      <c r="J104" s="148"/>
      <c r="K104" s="171">
        <v>1.172291296625222E-4</v>
      </c>
      <c r="L104" s="149"/>
      <c r="M104" s="149"/>
      <c r="N104" s="149"/>
      <c r="O104" s="149"/>
      <c r="P104" s="148" t="s">
        <v>1082</v>
      </c>
      <c r="Q104" s="148" t="s">
        <v>1045</v>
      </c>
      <c r="R104" s="148"/>
      <c r="S104" s="148"/>
      <c r="T104" s="148"/>
      <c r="U104" s="148"/>
      <c r="V104" s="148"/>
      <c r="W104" s="148"/>
      <c r="X104" s="148"/>
      <c r="Y104" s="148"/>
      <c r="Z104" s="148"/>
    </row>
    <row r="105" spans="1:26" x14ac:dyDescent="0.35">
      <c r="A105" s="148" t="s">
        <v>940</v>
      </c>
      <c r="B105" s="148"/>
      <c r="C105" s="148" t="s">
        <v>1046</v>
      </c>
      <c r="D105" s="148"/>
      <c r="E105" s="148"/>
      <c r="F105" s="148">
        <v>1.7999999999999999E-2</v>
      </c>
      <c r="G105" s="148"/>
      <c r="H105" s="148"/>
      <c r="I105" s="148">
        <v>780</v>
      </c>
      <c r="J105" s="148"/>
      <c r="K105" s="171">
        <v>1.172291296625222E-4</v>
      </c>
      <c r="L105" s="149"/>
      <c r="M105" s="149"/>
      <c r="N105" s="149"/>
      <c r="O105" s="149"/>
      <c r="P105" s="148" t="s">
        <v>1082</v>
      </c>
      <c r="Q105" s="148" t="s">
        <v>1047</v>
      </c>
      <c r="R105" s="148"/>
      <c r="S105" s="148"/>
      <c r="T105" s="148"/>
      <c r="U105" s="148"/>
      <c r="V105" s="148"/>
      <c r="W105" s="148"/>
      <c r="X105" s="148"/>
      <c r="Y105" s="148"/>
      <c r="Z105" s="148"/>
    </row>
    <row r="106" spans="1:26" x14ac:dyDescent="0.35">
      <c r="A106" s="148" t="s">
        <v>940</v>
      </c>
      <c r="B106" s="148"/>
      <c r="C106" s="148" t="s">
        <v>1052</v>
      </c>
      <c r="D106" s="148"/>
      <c r="E106" s="148"/>
      <c r="F106" s="148">
        <v>0.28499999999999998</v>
      </c>
      <c r="G106" s="148"/>
      <c r="H106" s="148"/>
      <c r="I106" s="148">
        <v>5439</v>
      </c>
      <c r="J106" s="148"/>
      <c r="K106" s="171">
        <v>1.8561278863232682E-3</v>
      </c>
      <c r="L106" s="149"/>
      <c r="M106" s="149"/>
      <c r="N106" s="149"/>
      <c r="O106" s="149"/>
      <c r="P106" s="148" t="s">
        <v>1082</v>
      </c>
      <c r="Q106" s="148" t="s">
        <v>1049</v>
      </c>
      <c r="R106" s="148"/>
      <c r="S106" s="148"/>
      <c r="T106" s="148"/>
      <c r="U106" s="148"/>
      <c r="V106" s="148"/>
      <c r="W106" s="148"/>
      <c r="X106" s="148"/>
      <c r="Y106" s="148"/>
      <c r="Z106" s="148"/>
    </row>
    <row r="107" spans="1:26" x14ac:dyDescent="0.35">
      <c r="A107" s="148" t="s">
        <v>940</v>
      </c>
      <c r="B107" s="148"/>
      <c r="C107" s="148" t="s">
        <v>1054</v>
      </c>
      <c r="D107" s="148"/>
      <c r="E107" s="148"/>
      <c r="F107" s="148"/>
      <c r="G107" s="148"/>
      <c r="H107" s="148"/>
      <c r="I107" s="148"/>
      <c r="J107" s="148"/>
      <c r="K107" s="171">
        <v>0</v>
      </c>
      <c r="L107" s="148"/>
      <c r="M107" s="148"/>
      <c r="N107" s="148"/>
      <c r="O107" s="148"/>
      <c r="P107" s="148" t="s">
        <v>1082</v>
      </c>
      <c r="Q107" s="148" t="s">
        <v>1051</v>
      </c>
      <c r="R107" s="148"/>
      <c r="S107" s="148"/>
      <c r="T107" s="148"/>
      <c r="U107" s="148"/>
      <c r="V107" s="148"/>
      <c r="W107" s="148"/>
      <c r="X107" s="148"/>
      <c r="Y107" s="148"/>
      <c r="Z107" s="148"/>
    </row>
    <row r="108" spans="1:26" x14ac:dyDescent="0.35">
      <c r="A108" s="148" t="s">
        <v>940</v>
      </c>
      <c r="B108" s="148"/>
      <c r="C108" s="148" t="s">
        <v>1083</v>
      </c>
      <c r="D108" s="148"/>
      <c r="E108" s="148"/>
      <c r="F108" s="148">
        <v>7.0000000000000001E-3</v>
      </c>
      <c r="G108" s="148"/>
      <c r="H108" s="148"/>
      <c r="I108" s="148"/>
      <c r="J108" s="148"/>
      <c r="K108" s="171">
        <v>4.558910597986975E-5</v>
      </c>
      <c r="L108" s="148"/>
      <c r="M108" s="148"/>
      <c r="N108" s="148"/>
      <c r="O108" s="148"/>
      <c r="P108" s="148" t="s">
        <v>1084</v>
      </c>
      <c r="Q108" s="148" t="s">
        <v>1081</v>
      </c>
      <c r="R108" s="148"/>
      <c r="S108" s="148"/>
      <c r="T108" s="148"/>
      <c r="U108" s="148"/>
      <c r="V108" s="148"/>
      <c r="W108" s="148"/>
      <c r="X108" s="148"/>
      <c r="Y108" s="148"/>
      <c r="Z108" s="148"/>
    </row>
    <row r="109" spans="1:26" x14ac:dyDescent="0.35">
      <c r="A109" s="156" t="s">
        <v>946</v>
      </c>
      <c r="B109" s="156" t="s">
        <v>1085</v>
      </c>
      <c r="C109" s="156"/>
      <c r="D109" s="156"/>
      <c r="E109" s="156"/>
      <c r="F109" s="156">
        <v>562.6</v>
      </c>
      <c r="G109" s="156"/>
      <c r="H109" s="156"/>
      <c r="I109" s="156"/>
      <c r="J109" s="156"/>
      <c r="K109" s="158">
        <v>0.13458477310924369</v>
      </c>
      <c r="L109" s="156"/>
      <c r="M109" s="156"/>
      <c r="N109" s="156"/>
      <c r="O109" s="156"/>
      <c r="P109" s="156"/>
      <c r="Q109" s="156" t="s">
        <v>1086</v>
      </c>
      <c r="R109" s="156"/>
      <c r="S109" s="156"/>
      <c r="T109" s="156"/>
      <c r="U109" s="156"/>
      <c r="V109" s="156"/>
      <c r="W109" s="156"/>
      <c r="X109" s="156"/>
      <c r="Y109" s="156"/>
      <c r="Z109" s="156"/>
    </row>
    <row r="110" spans="1:26" x14ac:dyDescent="0.35">
      <c r="A110" s="148" t="s">
        <v>946</v>
      </c>
      <c r="B110" s="148"/>
      <c r="C110" s="148" t="s">
        <v>1087</v>
      </c>
      <c r="D110" s="148">
        <v>30000</v>
      </c>
      <c r="E110" s="148"/>
      <c r="F110" s="148">
        <v>5.6</v>
      </c>
      <c r="G110" s="148"/>
      <c r="H110" s="148"/>
      <c r="I110" s="148"/>
      <c r="J110" s="148"/>
      <c r="K110" s="159">
        <v>6.7199999999999996E-4</v>
      </c>
      <c r="L110" s="148">
        <v>46000</v>
      </c>
      <c r="M110" s="148">
        <v>10000</v>
      </c>
      <c r="N110" s="148"/>
      <c r="O110" s="148"/>
      <c r="P110" s="148" t="s">
        <v>1088</v>
      </c>
      <c r="Q110" s="148" t="s">
        <v>1089</v>
      </c>
      <c r="R110" s="148"/>
      <c r="S110" s="148"/>
      <c r="T110" s="148"/>
      <c r="U110" s="148"/>
      <c r="V110" s="148"/>
      <c r="W110" s="148"/>
      <c r="X110" s="148"/>
      <c r="Y110" s="148"/>
      <c r="Z110" s="148"/>
    </row>
    <row r="111" spans="1:26" x14ac:dyDescent="0.35">
      <c r="A111" s="148" t="s">
        <v>946</v>
      </c>
      <c r="B111" s="148"/>
      <c r="C111" s="148" t="s">
        <v>1090</v>
      </c>
      <c r="D111" s="148">
        <v>30000</v>
      </c>
      <c r="E111" s="148"/>
      <c r="F111" s="148">
        <v>15</v>
      </c>
      <c r="G111" s="148"/>
      <c r="H111" s="148"/>
      <c r="I111" s="148"/>
      <c r="J111" s="148"/>
      <c r="K111" s="159">
        <v>1.8E-3</v>
      </c>
      <c r="L111" s="148">
        <v>150000</v>
      </c>
      <c r="M111" s="148">
        <v>100</v>
      </c>
      <c r="N111" s="148"/>
      <c r="O111" s="148"/>
      <c r="P111" s="148" t="s">
        <v>1088</v>
      </c>
      <c r="Q111" s="148" t="s">
        <v>1091</v>
      </c>
      <c r="R111" s="148"/>
      <c r="S111" s="148"/>
      <c r="T111" s="148"/>
      <c r="U111" s="148"/>
      <c r="V111" s="148"/>
      <c r="W111" s="148"/>
      <c r="X111" s="148"/>
      <c r="Y111" s="148"/>
      <c r="Z111" s="148"/>
    </row>
    <row r="112" spans="1:26" x14ac:dyDescent="0.35">
      <c r="A112" s="148" t="s">
        <v>946</v>
      </c>
      <c r="B112" s="148"/>
      <c r="C112" s="148" t="s">
        <v>1092</v>
      </c>
      <c r="D112" s="148">
        <v>10000</v>
      </c>
      <c r="E112" s="148"/>
      <c r="F112" s="148">
        <v>5</v>
      </c>
      <c r="G112" s="148"/>
      <c r="H112" s="148"/>
      <c r="I112" s="148"/>
      <c r="J112" s="148"/>
      <c r="K112" s="159">
        <v>1.8E-3</v>
      </c>
      <c r="L112" s="148">
        <v>150000</v>
      </c>
      <c r="M112" s="148">
        <v>100</v>
      </c>
      <c r="N112" s="148"/>
      <c r="O112" s="148"/>
      <c r="P112" s="148" t="s">
        <v>1088</v>
      </c>
      <c r="Q112" s="148" t="s">
        <v>1093</v>
      </c>
      <c r="R112" s="148"/>
      <c r="S112" s="148"/>
      <c r="T112" s="148"/>
      <c r="U112" s="148"/>
      <c r="V112" s="148"/>
      <c r="W112" s="148"/>
      <c r="X112" s="148"/>
      <c r="Y112" s="148"/>
      <c r="Z112" s="148"/>
    </row>
    <row r="113" spans="1:26" x14ac:dyDescent="0.35">
      <c r="A113" s="148" t="s">
        <v>946</v>
      </c>
      <c r="B113" s="148"/>
      <c r="C113" s="148" t="s">
        <v>1094</v>
      </c>
      <c r="D113" s="148">
        <v>45000</v>
      </c>
      <c r="E113" s="148"/>
      <c r="F113" s="148">
        <v>8.5</v>
      </c>
      <c r="G113" s="148"/>
      <c r="H113" s="148"/>
      <c r="I113" s="148"/>
      <c r="J113" s="148"/>
      <c r="K113" s="159">
        <v>6.8000000000000005E-4</v>
      </c>
      <c r="L113" s="148">
        <v>175000</v>
      </c>
      <c r="M113" s="148">
        <v>10000</v>
      </c>
      <c r="N113" s="148"/>
      <c r="O113" s="148"/>
      <c r="P113" s="148" t="s">
        <v>1088</v>
      </c>
      <c r="Q113" s="148" t="s">
        <v>1095</v>
      </c>
      <c r="R113" s="148"/>
      <c r="S113" s="148"/>
      <c r="T113" s="148"/>
      <c r="U113" s="148"/>
      <c r="V113" s="148"/>
      <c r="W113" s="148"/>
      <c r="X113" s="148"/>
      <c r="Y113" s="148"/>
      <c r="Z113" s="148"/>
    </row>
    <row r="114" spans="1:26" x14ac:dyDescent="0.35">
      <c r="A114" s="148" t="s">
        <v>946</v>
      </c>
      <c r="B114" s="148"/>
      <c r="C114" s="148" t="s">
        <v>1096</v>
      </c>
      <c r="D114" s="148">
        <v>21000</v>
      </c>
      <c r="E114" s="148"/>
      <c r="F114" s="148">
        <v>5.5</v>
      </c>
      <c r="G114" s="148"/>
      <c r="H114" s="148"/>
      <c r="I114" s="148"/>
      <c r="J114" s="148"/>
      <c r="K114" s="159">
        <v>9.4285714285714285E-4</v>
      </c>
      <c r="L114" s="148">
        <v>400000</v>
      </c>
      <c r="M114" s="148">
        <v>13000</v>
      </c>
      <c r="N114" s="148"/>
      <c r="O114" s="148"/>
      <c r="P114" s="148" t="s">
        <v>1088</v>
      </c>
      <c r="Q114" s="148" t="s">
        <v>1097</v>
      </c>
      <c r="R114" s="148"/>
      <c r="S114" s="148"/>
      <c r="T114" s="148"/>
      <c r="U114" s="148"/>
      <c r="V114" s="148"/>
      <c r="W114" s="148"/>
      <c r="X114" s="148"/>
      <c r="Y114" s="148"/>
      <c r="Z114" s="148"/>
    </row>
    <row r="115" spans="1:26" x14ac:dyDescent="0.35">
      <c r="A115" s="148" t="s">
        <v>946</v>
      </c>
      <c r="B115" s="148"/>
      <c r="C115" s="148" t="s">
        <v>1098</v>
      </c>
      <c r="D115" s="148">
        <v>7000</v>
      </c>
      <c r="E115" s="148"/>
      <c r="F115" s="148">
        <v>10</v>
      </c>
      <c r="G115" s="148"/>
      <c r="H115" s="148"/>
      <c r="I115" s="148"/>
      <c r="J115" s="148"/>
      <c r="K115" s="159">
        <v>5.1428571428571426E-3</v>
      </c>
      <c r="L115" s="148">
        <v>280000</v>
      </c>
      <c r="M115" s="148">
        <v>10000</v>
      </c>
      <c r="N115" s="148"/>
      <c r="O115" s="148"/>
      <c r="P115" s="148" t="s">
        <v>1088</v>
      </c>
      <c r="Q115" s="148" t="s">
        <v>1099</v>
      </c>
      <c r="R115" s="148"/>
      <c r="S115" s="148"/>
      <c r="T115" s="148"/>
      <c r="U115" s="148"/>
      <c r="V115" s="148"/>
      <c r="W115" s="148"/>
      <c r="X115" s="148"/>
      <c r="Y115" s="148"/>
      <c r="Z115" s="148"/>
    </row>
    <row r="116" spans="1:26" x14ac:dyDescent="0.35">
      <c r="A116" s="148" t="s">
        <v>946</v>
      </c>
      <c r="B116" s="148"/>
      <c r="C116" s="148" t="s">
        <v>1100</v>
      </c>
      <c r="D116" s="148">
        <v>51000</v>
      </c>
      <c r="E116" s="148"/>
      <c r="F116" s="148">
        <v>63</v>
      </c>
      <c r="G116" s="148"/>
      <c r="H116" s="148"/>
      <c r="I116" s="148"/>
      <c r="J116" s="148"/>
      <c r="K116" s="159">
        <v>4.4470588235294116E-3</v>
      </c>
      <c r="L116" s="148">
        <v>550000</v>
      </c>
      <c r="M116" s="148">
        <v>5000</v>
      </c>
      <c r="N116" s="148"/>
      <c r="O116" s="148"/>
      <c r="P116" s="148" t="s">
        <v>1088</v>
      </c>
      <c r="Q116" s="148" t="s">
        <v>1101</v>
      </c>
      <c r="R116" s="148"/>
      <c r="S116" s="148"/>
      <c r="T116" s="148"/>
      <c r="U116" s="148"/>
      <c r="V116" s="148"/>
      <c r="W116" s="148"/>
      <c r="X116" s="148"/>
      <c r="Y116" s="148"/>
      <c r="Z116" s="148"/>
    </row>
    <row r="117" spans="1:26" x14ac:dyDescent="0.35">
      <c r="A117" s="148" t="s">
        <v>946</v>
      </c>
      <c r="B117" s="148"/>
      <c r="C117" s="148" t="s">
        <v>1102</v>
      </c>
      <c r="D117" s="148">
        <v>9000</v>
      </c>
      <c r="E117" s="148"/>
      <c r="F117" s="148">
        <v>30</v>
      </c>
      <c r="G117" s="148"/>
      <c r="H117" s="148"/>
      <c r="I117" s="148"/>
      <c r="J117" s="148"/>
      <c r="K117" s="159">
        <v>1.2E-2</v>
      </c>
      <c r="L117" s="148">
        <v>220000</v>
      </c>
      <c r="M117" s="148">
        <v>10000</v>
      </c>
      <c r="N117" s="148"/>
      <c r="O117" s="148"/>
      <c r="P117" s="148" t="s">
        <v>1088</v>
      </c>
      <c r="Q117" s="148" t="s">
        <v>1103</v>
      </c>
      <c r="R117" s="148"/>
      <c r="S117" s="148"/>
      <c r="T117" s="148"/>
      <c r="U117" s="148"/>
      <c r="V117" s="148"/>
      <c r="W117" s="148"/>
      <c r="X117" s="148"/>
      <c r="Y117" s="148"/>
      <c r="Z117" s="148"/>
    </row>
    <row r="118" spans="1:26" x14ac:dyDescent="0.35">
      <c r="A118" s="148" t="s">
        <v>946</v>
      </c>
      <c r="B118" s="148"/>
      <c r="C118" s="148" t="s">
        <v>1104</v>
      </c>
      <c r="D118" s="148">
        <v>36000</v>
      </c>
      <c r="E118" s="148"/>
      <c r="F118" s="148">
        <v>164</v>
      </c>
      <c r="G118" s="148"/>
      <c r="H118" s="148"/>
      <c r="I118" s="148"/>
      <c r="J118" s="148"/>
      <c r="K118" s="159">
        <v>1.6399999999999998E-2</v>
      </c>
      <c r="L118" s="148">
        <v>62500</v>
      </c>
      <c r="M118" s="148">
        <v>10000</v>
      </c>
      <c r="N118" s="148"/>
      <c r="O118" s="148"/>
      <c r="P118" s="148" t="s">
        <v>1088</v>
      </c>
      <c r="Q118" s="148" t="s">
        <v>1105</v>
      </c>
      <c r="R118" s="148"/>
      <c r="S118" s="148"/>
      <c r="T118" s="148"/>
      <c r="U118" s="148"/>
      <c r="V118" s="148"/>
      <c r="W118" s="148"/>
      <c r="X118" s="148"/>
      <c r="Y118" s="148"/>
      <c r="Z118" s="148"/>
    </row>
    <row r="119" spans="1:26" x14ac:dyDescent="0.35">
      <c r="A119" s="148" t="s">
        <v>946</v>
      </c>
      <c r="B119" s="148"/>
      <c r="C119" s="148" t="s">
        <v>1106</v>
      </c>
      <c r="D119" s="148">
        <v>5000</v>
      </c>
      <c r="E119" s="148"/>
      <c r="F119" s="148">
        <v>69</v>
      </c>
      <c r="G119" s="148"/>
      <c r="H119" s="148"/>
      <c r="I119" s="148"/>
      <c r="J119" s="148"/>
      <c r="K119" s="159">
        <v>4.9680000000000002E-2</v>
      </c>
      <c r="L119" s="148">
        <v>825000</v>
      </c>
      <c r="M119" s="148">
        <v>30000</v>
      </c>
      <c r="N119" s="148"/>
      <c r="O119" s="148"/>
      <c r="P119" s="148" t="s">
        <v>1088</v>
      </c>
      <c r="Q119" s="148" t="s">
        <v>1107</v>
      </c>
      <c r="R119" s="148"/>
      <c r="S119" s="148"/>
      <c r="T119" s="148"/>
      <c r="U119" s="148"/>
      <c r="V119" s="148"/>
      <c r="W119" s="148"/>
      <c r="X119" s="148"/>
      <c r="Y119" s="148"/>
      <c r="Z119" s="148"/>
    </row>
    <row r="120" spans="1:26" x14ac:dyDescent="0.35">
      <c r="A120" s="148" t="s">
        <v>946</v>
      </c>
      <c r="B120" s="148"/>
      <c r="C120" s="148" t="s">
        <v>1108</v>
      </c>
      <c r="D120" s="148">
        <v>10000</v>
      </c>
      <c r="E120" s="148"/>
      <c r="F120" s="148">
        <v>13</v>
      </c>
      <c r="G120" s="148"/>
      <c r="H120" s="148"/>
      <c r="I120" s="148"/>
      <c r="J120" s="148"/>
      <c r="K120" s="159">
        <v>4.6800000000000001E-3</v>
      </c>
      <c r="L120" s="148">
        <v>225000</v>
      </c>
      <c r="M120" s="148">
        <v>5000</v>
      </c>
      <c r="N120" s="148"/>
      <c r="O120" s="148"/>
      <c r="P120" s="148" t="s">
        <v>1088</v>
      </c>
      <c r="Q120" s="148" t="s">
        <v>1109</v>
      </c>
      <c r="R120" s="148"/>
      <c r="S120" s="148"/>
      <c r="T120" s="148"/>
      <c r="U120" s="148"/>
      <c r="V120" s="148"/>
      <c r="W120" s="148"/>
      <c r="X120" s="148"/>
      <c r="Y120" s="148"/>
      <c r="Z120" s="148"/>
    </row>
    <row r="121" spans="1:26" x14ac:dyDescent="0.35">
      <c r="A121" s="148" t="s">
        <v>946</v>
      </c>
      <c r="B121" s="148"/>
      <c r="C121" s="148" t="s">
        <v>1110</v>
      </c>
      <c r="D121" s="148">
        <v>10000</v>
      </c>
      <c r="E121" s="148"/>
      <c r="F121" s="148">
        <v>40</v>
      </c>
      <c r="G121" s="148"/>
      <c r="H121" s="148"/>
      <c r="I121" s="148"/>
      <c r="J121" s="148"/>
      <c r="K121" s="159">
        <v>1.44E-2</v>
      </c>
      <c r="L121" s="148">
        <v>450000</v>
      </c>
      <c r="M121" s="148">
        <v>10000</v>
      </c>
      <c r="N121" s="148"/>
      <c r="O121" s="148"/>
      <c r="P121" s="148" t="s">
        <v>1088</v>
      </c>
      <c r="Q121" s="148" t="s">
        <v>1111</v>
      </c>
      <c r="R121" s="148"/>
      <c r="S121" s="148"/>
      <c r="T121" s="148"/>
      <c r="U121" s="148"/>
      <c r="V121" s="148"/>
      <c r="W121" s="148"/>
      <c r="X121" s="148"/>
      <c r="Y121" s="148"/>
      <c r="Z121" s="148"/>
    </row>
    <row r="122" spans="1:26" x14ac:dyDescent="0.35">
      <c r="A122" s="148" t="s">
        <v>946</v>
      </c>
      <c r="B122" s="148"/>
      <c r="C122" s="148" t="s">
        <v>1112</v>
      </c>
      <c r="D122" s="148">
        <v>2000</v>
      </c>
      <c r="E122" s="148"/>
      <c r="F122" s="148">
        <v>4</v>
      </c>
      <c r="G122" s="148"/>
      <c r="H122" s="148"/>
      <c r="I122" s="148"/>
      <c r="J122" s="148"/>
      <c r="K122" s="159">
        <v>7.1999999999999998E-3</v>
      </c>
      <c r="L122" s="148">
        <v>35000</v>
      </c>
      <c r="M122" s="148">
        <v>5000</v>
      </c>
      <c r="N122" s="148"/>
      <c r="O122" s="148"/>
      <c r="P122" s="148" t="s">
        <v>1088</v>
      </c>
      <c r="Q122" s="148" t="s">
        <v>1113</v>
      </c>
      <c r="R122" s="148"/>
      <c r="S122" s="148"/>
      <c r="T122" s="148"/>
      <c r="U122" s="148"/>
      <c r="V122" s="148"/>
      <c r="W122" s="148"/>
      <c r="X122" s="148"/>
      <c r="Y122" s="148"/>
      <c r="Z122" s="148"/>
    </row>
    <row r="123" spans="1:26" x14ac:dyDescent="0.35">
      <c r="A123" s="148" t="s">
        <v>946</v>
      </c>
      <c r="B123" s="148"/>
      <c r="C123" s="148" t="s">
        <v>1114</v>
      </c>
      <c r="D123" s="148">
        <v>12000</v>
      </c>
      <c r="E123" s="148"/>
      <c r="F123" s="148">
        <v>9</v>
      </c>
      <c r="G123" s="148"/>
      <c r="H123" s="148"/>
      <c r="I123" s="148"/>
      <c r="J123" s="148"/>
      <c r="K123" s="159">
        <v>2.6999999999999997E-3</v>
      </c>
      <c r="L123" s="148">
        <v>128000</v>
      </c>
      <c r="M123" s="148">
        <v>5000</v>
      </c>
      <c r="N123" s="148"/>
      <c r="O123" s="148"/>
      <c r="P123" s="148" t="s">
        <v>1088</v>
      </c>
      <c r="Q123" s="148" t="s">
        <v>1115</v>
      </c>
      <c r="R123" s="148"/>
      <c r="S123" s="148"/>
      <c r="T123" s="148"/>
      <c r="U123" s="148"/>
      <c r="V123" s="148"/>
      <c r="W123" s="148"/>
      <c r="X123" s="148"/>
      <c r="Y123" s="148"/>
      <c r="Z123" s="148"/>
    </row>
    <row r="124" spans="1:26" x14ac:dyDescent="0.35">
      <c r="A124" s="148" t="s">
        <v>946</v>
      </c>
      <c r="B124" s="148"/>
      <c r="C124" s="148" t="s">
        <v>1116</v>
      </c>
      <c r="D124" s="148">
        <v>30000</v>
      </c>
      <c r="E124" s="148"/>
      <c r="F124" s="148">
        <v>59</v>
      </c>
      <c r="G124" s="148"/>
      <c r="H124" s="148"/>
      <c r="I124" s="148"/>
      <c r="J124" s="148"/>
      <c r="K124" s="159">
        <v>7.0800000000000004E-3</v>
      </c>
      <c r="L124" s="148">
        <v>530000</v>
      </c>
      <c r="M124" s="148">
        <v>5000</v>
      </c>
      <c r="N124" s="148"/>
      <c r="O124" s="148"/>
      <c r="P124" s="148" t="s">
        <v>1088</v>
      </c>
      <c r="Q124" s="148" t="s">
        <v>1117</v>
      </c>
      <c r="R124" s="148"/>
      <c r="S124" s="148"/>
      <c r="T124" s="148"/>
      <c r="U124" s="148"/>
      <c r="V124" s="148"/>
      <c r="W124" s="148"/>
      <c r="X124" s="148"/>
      <c r="Y124" s="148"/>
      <c r="Z124" s="148"/>
    </row>
    <row r="125" spans="1:26" x14ac:dyDescent="0.35">
      <c r="A125" s="148" t="s">
        <v>946</v>
      </c>
      <c r="B125" s="148"/>
      <c r="C125" s="148" t="s">
        <v>1118</v>
      </c>
      <c r="D125" s="148">
        <v>45000</v>
      </c>
      <c r="E125" s="148"/>
      <c r="F125" s="148">
        <v>62</v>
      </c>
      <c r="G125" s="148"/>
      <c r="H125" s="148"/>
      <c r="I125" s="148"/>
      <c r="J125" s="148"/>
      <c r="K125" s="159">
        <v>4.96E-3</v>
      </c>
      <c r="L125" s="148">
        <v>125000</v>
      </c>
      <c r="M125" s="148">
        <v>10000</v>
      </c>
      <c r="N125" s="148"/>
      <c r="O125" s="148"/>
      <c r="P125" s="148" t="s">
        <v>1088</v>
      </c>
      <c r="Q125" s="148" t="s">
        <v>1119</v>
      </c>
      <c r="R125" s="148"/>
      <c r="S125" s="148"/>
      <c r="T125" s="148"/>
      <c r="U125" s="148"/>
      <c r="V125" s="148"/>
      <c r="W125" s="148"/>
      <c r="X125" s="148"/>
      <c r="Y125" s="148"/>
      <c r="Z125" s="148"/>
    </row>
    <row r="126" spans="1:26" x14ac:dyDescent="0.35">
      <c r="A126" s="156" t="s">
        <v>946</v>
      </c>
      <c r="B126" s="156" t="s">
        <v>1120</v>
      </c>
      <c r="C126" s="156"/>
      <c r="D126" s="156"/>
      <c r="E126" s="156"/>
      <c r="F126" s="156"/>
      <c r="G126" s="156"/>
      <c r="H126" s="156"/>
      <c r="I126" s="156"/>
      <c r="J126" s="156"/>
      <c r="K126" s="156" t="s">
        <v>1121</v>
      </c>
      <c r="L126" s="156"/>
      <c r="M126" s="156"/>
      <c r="N126" s="156"/>
      <c r="O126" s="156">
        <v>2.4899999999999999E-2</v>
      </c>
      <c r="P126" s="156" t="s">
        <v>1122</v>
      </c>
      <c r="Q126" s="156" t="s">
        <v>1123</v>
      </c>
      <c r="R126" s="156"/>
      <c r="S126" s="156"/>
      <c r="T126" s="156"/>
      <c r="U126" s="156"/>
      <c r="V126" s="156"/>
      <c r="W126" s="156"/>
      <c r="X126" s="156"/>
      <c r="Y126" s="156"/>
      <c r="Z126" s="156"/>
    </row>
    <row r="127" spans="1:26" x14ac:dyDescent="0.35">
      <c r="A127" s="148" t="s">
        <v>946</v>
      </c>
      <c r="B127" s="148"/>
      <c r="C127" s="148" t="s">
        <v>1124</v>
      </c>
      <c r="D127" s="148"/>
      <c r="E127" s="148"/>
      <c r="F127" s="148"/>
      <c r="G127" s="148"/>
      <c r="H127" s="148"/>
      <c r="I127" s="148"/>
      <c r="J127" s="148"/>
      <c r="K127" s="148">
        <v>9.3600000000000003E-3</v>
      </c>
      <c r="L127" s="148"/>
      <c r="M127" s="148"/>
      <c r="N127" s="148"/>
      <c r="O127" s="148"/>
      <c r="P127" s="148"/>
      <c r="Q127" s="148" t="s">
        <v>1125</v>
      </c>
      <c r="R127" s="148"/>
      <c r="S127" s="148"/>
      <c r="T127" s="148"/>
      <c r="U127" s="148"/>
      <c r="V127" s="148"/>
      <c r="W127" s="148"/>
      <c r="X127" s="148"/>
      <c r="Y127" s="148"/>
      <c r="Z127" s="148"/>
    </row>
    <row r="128" spans="1:26" x14ac:dyDescent="0.35">
      <c r="A128" s="148" t="s">
        <v>946</v>
      </c>
      <c r="B128" s="148"/>
      <c r="C128" s="148" t="s">
        <v>1126</v>
      </c>
      <c r="D128" s="148"/>
      <c r="E128" s="148"/>
      <c r="F128" s="148"/>
      <c r="G128" s="148"/>
      <c r="H128" s="148"/>
      <c r="I128" s="148"/>
      <c r="J128" s="148"/>
      <c r="K128" s="148">
        <v>1.0800000000000001E-2</v>
      </c>
      <c r="L128" s="148"/>
      <c r="M128" s="148"/>
      <c r="N128" s="148"/>
      <c r="O128" s="148"/>
      <c r="P128" s="148"/>
      <c r="Q128" s="148" t="s">
        <v>1127</v>
      </c>
      <c r="R128" s="148"/>
      <c r="S128" s="148"/>
      <c r="T128" s="148"/>
      <c r="U128" s="148"/>
      <c r="V128" s="148"/>
      <c r="W128" s="148"/>
      <c r="X128" s="148"/>
      <c r="Y128" s="148"/>
      <c r="Z128" s="148"/>
    </row>
    <row r="129" spans="1:26" x14ac:dyDescent="0.35">
      <c r="A129" s="148" t="s">
        <v>946</v>
      </c>
      <c r="B129" s="148"/>
      <c r="C129" s="148" t="s">
        <v>1128</v>
      </c>
      <c r="D129" s="148"/>
      <c r="E129" s="148"/>
      <c r="F129" s="148"/>
      <c r="G129" s="148"/>
      <c r="H129" s="148"/>
      <c r="I129" s="148"/>
      <c r="J129" s="148"/>
      <c r="K129" s="148">
        <v>3.492E-2</v>
      </c>
      <c r="L129" s="148"/>
      <c r="M129" s="148"/>
      <c r="N129" s="148"/>
      <c r="O129" s="148"/>
      <c r="P129" s="148"/>
      <c r="Q129" s="148" t="s">
        <v>1129</v>
      </c>
      <c r="R129" s="148"/>
      <c r="S129" s="148"/>
      <c r="T129" s="148"/>
      <c r="U129" s="148"/>
      <c r="V129" s="148"/>
      <c r="W129" s="148"/>
      <c r="X129" s="148"/>
      <c r="Y129" s="148"/>
      <c r="Z129" s="148"/>
    </row>
    <row r="130" spans="1:26" x14ac:dyDescent="0.35">
      <c r="A130" s="148" t="s">
        <v>946</v>
      </c>
      <c r="B130" s="148"/>
      <c r="C130" s="148" t="s">
        <v>1130</v>
      </c>
      <c r="D130" s="148"/>
      <c r="E130" s="148"/>
      <c r="F130" s="148"/>
      <c r="G130" s="148"/>
      <c r="H130" s="148"/>
      <c r="I130" s="148"/>
      <c r="J130" s="148"/>
      <c r="K130" s="148">
        <v>4.2119999999999998E-2</v>
      </c>
      <c r="L130" s="148"/>
      <c r="M130" s="148"/>
      <c r="N130" s="148"/>
      <c r="O130" s="148"/>
      <c r="P130" s="148"/>
      <c r="Q130" s="148" t="s">
        <v>1131</v>
      </c>
      <c r="R130" s="148"/>
      <c r="S130" s="148"/>
      <c r="T130" s="148"/>
      <c r="U130" s="148"/>
      <c r="V130" s="148"/>
      <c r="W130" s="148"/>
      <c r="X130" s="148"/>
      <c r="Y130" s="148"/>
      <c r="Z130" s="148"/>
    </row>
    <row r="131" spans="1:26" x14ac:dyDescent="0.35">
      <c r="A131" s="148" t="s">
        <v>946</v>
      </c>
      <c r="B131" s="148"/>
      <c r="C131" s="148" t="s">
        <v>1132</v>
      </c>
      <c r="D131" s="148"/>
      <c r="E131" s="148"/>
      <c r="F131" s="148"/>
      <c r="G131" s="148"/>
      <c r="H131" s="148"/>
      <c r="I131" s="148"/>
      <c r="J131" s="148"/>
      <c r="K131" s="148">
        <v>1.0800000000000001E-2</v>
      </c>
      <c r="L131" s="148"/>
      <c r="M131" s="148"/>
      <c r="N131" s="148"/>
      <c r="O131" s="148"/>
      <c r="P131" s="148"/>
      <c r="Q131" s="148" t="s">
        <v>1133</v>
      </c>
      <c r="R131" s="148"/>
      <c r="S131" s="148"/>
      <c r="T131" s="148"/>
      <c r="U131" s="148"/>
      <c r="V131" s="148"/>
      <c r="W131" s="148"/>
      <c r="X131" s="148"/>
      <c r="Y131" s="148"/>
      <c r="Z131" s="148"/>
    </row>
    <row r="132" spans="1:26" x14ac:dyDescent="0.35">
      <c r="A132" s="148" t="s">
        <v>946</v>
      </c>
      <c r="B132" s="148"/>
      <c r="C132" s="148" t="s">
        <v>1134</v>
      </c>
      <c r="D132" s="148"/>
      <c r="E132" s="148"/>
      <c r="F132" s="148"/>
      <c r="G132" s="148"/>
      <c r="H132" s="148"/>
      <c r="I132" s="148"/>
      <c r="J132" s="148"/>
      <c r="K132" s="148">
        <v>0.11772000000000001</v>
      </c>
      <c r="L132" s="148"/>
      <c r="M132" s="148"/>
      <c r="N132" s="148"/>
      <c r="O132" s="148"/>
      <c r="P132" s="148"/>
      <c r="Q132" s="148" t="s">
        <v>1135</v>
      </c>
      <c r="R132" s="148"/>
      <c r="S132" s="148"/>
      <c r="T132" s="148"/>
      <c r="U132" s="148"/>
      <c r="V132" s="148"/>
      <c r="W132" s="148"/>
      <c r="X132" s="148"/>
      <c r="Y132" s="148"/>
      <c r="Z132" s="148"/>
    </row>
    <row r="133" spans="1:26" x14ac:dyDescent="0.35">
      <c r="A133" s="148" t="s">
        <v>946</v>
      </c>
      <c r="B133" s="148"/>
      <c r="C133" s="148" t="s">
        <v>1136</v>
      </c>
      <c r="D133" s="148"/>
      <c r="E133" s="148"/>
      <c r="F133" s="148"/>
      <c r="G133" s="148"/>
      <c r="H133" s="148"/>
      <c r="I133" s="148"/>
      <c r="J133" s="148"/>
      <c r="K133" s="148">
        <v>3.5639999999999998E-2</v>
      </c>
      <c r="L133" s="148"/>
      <c r="M133" s="148"/>
      <c r="N133" s="148"/>
      <c r="O133" s="148"/>
      <c r="P133" s="148"/>
      <c r="Q133" s="148" t="s">
        <v>1137</v>
      </c>
      <c r="R133" s="148"/>
      <c r="S133" s="148"/>
      <c r="T133" s="148"/>
      <c r="U133" s="148"/>
      <c r="V133" s="148"/>
      <c r="W133" s="148"/>
      <c r="X133" s="148"/>
      <c r="Y133" s="148"/>
      <c r="Z133" s="148"/>
    </row>
    <row r="134" spans="1:26" x14ac:dyDescent="0.35">
      <c r="A134" s="148" t="s">
        <v>946</v>
      </c>
      <c r="B134" s="148"/>
      <c r="C134" s="148" t="s">
        <v>541</v>
      </c>
      <c r="D134" s="148"/>
      <c r="E134" s="148"/>
      <c r="F134" s="148"/>
      <c r="G134" s="148"/>
      <c r="H134" s="148"/>
      <c r="I134" s="148"/>
      <c r="J134" s="148"/>
      <c r="K134" s="148">
        <v>6.0479999999999999E-2</v>
      </c>
      <c r="L134" s="148"/>
      <c r="M134" s="148"/>
      <c r="N134" s="148"/>
      <c r="O134" s="148"/>
      <c r="P134" s="148"/>
      <c r="Q134" s="148" t="s">
        <v>1138</v>
      </c>
      <c r="R134" s="148"/>
      <c r="S134" s="148"/>
      <c r="T134" s="148"/>
      <c r="U134" s="148"/>
      <c r="V134" s="148"/>
      <c r="W134" s="148"/>
      <c r="X134" s="148"/>
      <c r="Y134" s="148"/>
      <c r="Z134" s="148"/>
    </row>
    <row r="135" spans="1:26" x14ac:dyDescent="0.35">
      <c r="A135" s="156" t="s">
        <v>946</v>
      </c>
      <c r="B135" s="156" t="s">
        <v>1139</v>
      </c>
      <c r="C135" s="156"/>
      <c r="D135" s="156"/>
      <c r="E135" s="156"/>
      <c r="F135" s="156"/>
      <c r="G135" s="156"/>
      <c r="H135" s="156"/>
      <c r="I135" s="156"/>
      <c r="J135" s="156"/>
      <c r="K135" s="156" t="s">
        <v>1121</v>
      </c>
      <c r="L135" s="156"/>
      <c r="M135" s="156"/>
      <c r="N135" s="156"/>
      <c r="O135" s="156">
        <v>2.3599999999999999E-2</v>
      </c>
      <c r="P135" s="156" t="s">
        <v>1122</v>
      </c>
      <c r="Q135" s="156" t="s">
        <v>1140</v>
      </c>
      <c r="R135" s="156"/>
      <c r="S135" s="156"/>
      <c r="T135" s="156"/>
      <c r="U135" s="156"/>
      <c r="V135" s="156"/>
      <c r="W135" s="156"/>
      <c r="X135" s="156"/>
      <c r="Y135" s="156"/>
      <c r="Z135" s="156"/>
    </row>
    <row r="136" spans="1:26" x14ac:dyDescent="0.35">
      <c r="A136" s="148" t="s">
        <v>946</v>
      </c>
      <c r="B136" s="148"/>
      <c r="C136" s="148" t="s">
        <v>1124</v>
      </c>
      <c r="D136" s="148"/>
      <c r="E136" s="148"/>
      <c r="F136" s="148"/>
      <c r="G136" s="148"/>
      <c r="H136" s="148"/>
      <c r="I136" s="148"/>
      <c r="J136" s="148"/>
      <c r="K136" s="148">
        <v>1.6920000000000001E-2</v>
      </c>
      <c r="L136" s="148"/>
      <c r="M136" s="148"/>
      <c r="N136" s="148"/>
      <c r="O136" s="148"/>
      <c r="P136" s="148"/>
      <c r="Q136" s="148" t="s">
        <v>1141</v>
      </c>
      <c r="R136" s="148"/>
      <c r="S136" s="148"/>
      <c r="T136" s="148"/>
      <c r="U136" s="148"/>
      <c r="V136" s="148"/>
      <c r="W136" s="148"/>
      <c r="X136" s="148"/>
      <c r="Y136" s="148"/>
      <c r="Z136" s="148"/>
    </row>
    <row r="137" spans="1:26" x14ac:dyDescent="0.35">
      <c r="A137" s="148" t="s">
        <v>946</v>
      </c>
      <c r="B137" s="148"/>
      <c r="C137" s="148" t="s">
        <v>1126</v>
      </c>
      <c r="D137" s="148"/>
      <c r="E137" s="148"/>
      <c r="F137" s="148"/>
      <c r="G137" s="148"/>
      <c r="H137" s="148"/>
      <c r="I137" s="148"/>
      <c r="J137" s="148"/>
      <c r="K137" s="148">
        <v>1.9439999999999999E-2</v>
      </c>
      <c r="L137" s="148"/>
      <c r="M137" s="148"/>
      <c r="N137" s="148"/>
      <c r="O137" s="148"/>
      <c r="P137" s="148"/>
      <c r="Q137" s="148" t="s">
        <v>1142</v>
      </c>
      <c r="R137" s="148"/>
      <c r="S137" s="148"/>
      <c r="T137" s="148"/>
      <c r="U137" s="148"/>
      <c r="V137" s="148"/>
      <c r="W137" s="148"/>
      <c r="X137" s="148"/>
      <c r="Y137" s="148"/>
      <c r="Z137" s="148"/>
    </row>
    <row r="138" spans="1:26" x14ac:dyDescent="0.35">
      <c r="A138" s="148" t="s">
        <v>946</v>
      </c>
      <c r="B138" s="148"/>
      <c r="C138" s="148" t="s">
        <v>1128</v>
      </c>
      <c r="D138" s="148"/>
      <c r="E138" s="148"/>
      <c r="F138" s="148"/>
      <c r="G138" s="148"/>
      <c r="H138" s="148"/>
      <c r="I138" s="148"/>
      <c r="J138" s="148"/>
      <c r="K138" s="148">
        <v>0.10116</v>
      </c>
      <c r="L138" s="148"/>
      <c r="M138" s="148"/>
      <c r="N138" s="148"/>
      <c r="O138" s="148"/>
      <c r="P138" s="148"/>
      <c r="Q138" s="148" t="s">
        <v>1143</v>
      </c>
      <c r="R138" s="148"/>
      <c r="S138" s="148"/>
      <c r="T138" s="148"/>
      <c r="U138" s="148"/>
      <c r="V138" s="148"/>
      <c r="W138" s="148"/>
      <c r="X138" s="148"/>
      <c r="Y138" s="148"/>
      <c r="Z138" s="148"/>
    </row>
    <row r="139" spans="1:26" x14ac:dyDescent="0.35">
      <c r="A139" s="148" t="s">
        <v>946</v>
      </c>
      <c r="B139" s="148"/>
      <c r="C139" s="148" t="s">
        <v>1130</v>
      </c>
      <c r="D139" s="148"/>
      <c r="E139" s="148"/>
      <c r="F139" s="148"/>
      <c r="G139" s="148"/>
      <c r="H139" s="148"/>
      <c r="I139" s="148"/>
      <c r="J139" s="148"/>
      <c r="K139" s="148">
        <v>0.18720000000000001</v>
      </c>
      <c r="L139" s="148"/>
      <c r="M139" s="148"/>
      <c r="N139" s="148"/>
      <c r="O139" s="148"/>
      <c r="P139" s="148"/>
      <c r="Q139" s="148" t="s">
        <v>1144</v>
      </c>
      <c r="R139" s="148"/>
      <c r="S139" s="148"/>
      <c r="T139" s="148"/>
      <c r="U139" s="148"/>
      <c r="V139" s="148"/>
      <c r="W139" s="148"/>
      <c r="X139" s="148"/>
      <c r="Y139" s="148"/>
      <c r="Z139" s="148"/>
    </row>
    <row r="140" spans="1:26" x14ac:dyDescent="0.35">
      <c r="A140" s="148" t="s">
        <v>946</v>
      </c>
      <c r="B140" s="148"/>
      <c r="C140" s="148" t="s">
        <v>1132</v>
      </c>
      <c r="D140" s="148"/>
      <c r="E140" s="148"/>
      <c r="F140" s="148"/>
      <c r="G140" s="148"/>
      <c r="H140" s="148"/>
      <c r="I140" s="148"/>
      <c r="J140" s="148"/>
      <c r="K140" s="148">
        <v>1.6920000000000001E-2</v>
      </c>
      <c r="L140" s="148"/>
      <c r="M140" s="148"/>
      <c r="N140" s="148"/>
      <c r="O140" s="148"/>
      <c r="P140" s="148"/>
      <c r="Q140" s="148" t="s">
        <v>1145</v>
      </c>
      <c r="R140" s="148"/>
      <c r="S140" s="148"/>
      <c r="T140" s="148"/>
      <c r="U140" s="148"/>
      <c r="V140" s="148"/>
      <c r="W140" s="148"/>
      <c r="X140" s="148"/>
      <c r="Y140" s="148"/>
      <c r="Z140" s="148"/>
    </row>
    <row r="141" spans="1:26" x14ac:dyDescent="0.35">
      <c r="A141" s="148" t="s">
        <v>946</v>
      </c>
      <c r="B141" s="148"/>
      <c r="C141" s="148" t="s">
        <v>1134</v>
      </c>
      <c r="D141" s="148"/>
      <c r="E141" s="148"/>
      <c r="F141" s="148"/>
      <c r="G141" s="148"/>
      <c r="H141" s="148"/>
      <c r="I141" s="148"/>
      <c r="J141" s="148"/>
      <c r="K141" s="148">
        <v>0.41796</v>
      </c>
      <c r="L141" s="148"/>
      <c r="M141" s="148"/>
      <c r="N141" s="148"/>
      <c r="O141" s="148"/>
      <c r="P141" s="148"/>
      <c r="Q141" s="148" t="s">
        <v>1146</v>
      </c>
      <c r="R141" s="148"/>
      <c r="S141" s="148"/>
      <c r="T141" s="148"/>
      <c r="U141" s="148"/>
      <c r="V141" s="148"/>
      <c r="W141" s="148"/>
      <c r="X141" s="148"/>
      <c r="Y141" s="148"/>
      <c r="Z141" s="148"/>
    </row>
    <row r="142" spans="1:26" x14ac:dyDescent="0.35">
      <c r="A142" s="148" t="s">
        <v>946</v>
      </c>
      <c r="B142" s="148"/>
      <c r="C142" s="148" t="s">
        <v>1136</v>
      </c>
      <c r="D142" s="148"/>
      <c r="E142" s="148"/>
      <c r="F142" s="148"/>
      <c r="G142" s="148"/>
      <c r="H142" s="148"/>
      <c r="I142" s="148"/>
      <c r="J142" s="148"/>
      <c r="K142" s="148">
        <v>0.13284000000000001</v>
      </c>
      <c r="L142" s="148"/>
      <c r="M142" s="148"/>
      <c r="N142" s="148"/>
      <c r="O142" s="148"/>
      <c r="P142" s="148"/>
      <c r="Q142" s="148" t="s">
        <v>1147</v>
      </c>
      <c r="R142" s="148"/>
      <c r="S142" s="148"/>
      <c r="T142" s="148"/>
      <c r="U142" s="148"/>
      <c r="V142" s="148"/>
      <c r="W142" s="148"/>
      <c r="X142" s="148"/>
      <c r="Y142" s="148"/>
      <c r="Z142" s="148"/>
    </row>
    <row r="143" spans="1:26" x14ac:dyDescent="0.35">
      <c r="A143" s="148" t="s">
        <v>946</v>
      </c>
      <c r="B143" s="148"/>
      <c r="C143" s="148" t="s">
        <v>541</v>
      </c>
      <c r="D143" s="148"/>
      <c r="E143" s="148"/>
      <c r="F143" s="148"/>
      <c r="G143" s="148"/>
      <c r="H143" s="148"/>
      <c r="I143" s="148"/>
      <c r="J143" s="148"/>
      <c r="K143" s="148">
        <v>0.13103999999999999</v>
      </c>
      <c r="L143" s="148"/>
      <c r="M143" s="148"/>
      <c r="N143" s="148"/>
      <c r="O143" s="148"/>
      <c r="P143" s="148"/>
      <c r="Q143" s="148" t="s">
        <v>1148</v>
      </c>
      <c r="R143" s="148"/>
      <c r="S143" s="148"/>
      <c r="T143" s="148"/>
      <c r="U143" s="148"/>
      <c r="V143" s="148"/>
      <c r="W143" s="148"/>
      <c r="X143" s="148"/>
      <c r="Y143" s="148"/>
      <c r="Z143" s="148"/>
    </row>
    <row r="144" spans="1:26" x14ac:dyDescent="0.35">
      <c r="A144" s="156" t="s">
        <v>946</v>
      </c>
      <c r="B144" s="156" t="s">
        <v>1149</v>
      </c>
      <c r="C144" s="156"/>
      <c r="D144" s="156"/>
      <c r="E144" s="156"/>
      <c r="F144" s="156"/>
      <c r="G144" s="156"/>
      <c r="H144" s="156"/>
      <c r="I144" s="156"/>
      <c r="J144" s="156"/>
      <c r="K144" s="156" t="s">
        <v>1121</v>
      </c>
      <c r="L144" s="156"/>
      <c r="M144" s="156"/>
      <c r="N144" s="156"/>
      <c r="O144" s="156">
        <v>2.3400000000000001E-2</v>
      </c>
      <c r="P144" s="156" t="s">
        <v>1122</v>
      </c>
      <c r="Q144" s="156" t="s">
        <v>1150</v>
      </c>
      <c r="R144" s="156"/>
      <c r="S144" s="156"/>
      <c r="T144" s="156"/>
      <c r="U144" s="156"/>
      <c r="V144" s="156"/>
      <c r="W144" s="156"/>
      <c r="X144" s="156"/>
      <c r="Y144" s="156"/>
      <c r="Z144" s="156"/>
    </row>
    <row r="145" spans="1:26" x14ac:dyDescent="0.35">
      <c r="A145" s="148" t="s">
        <v>946</v>
      </c>
      <c r="B145" s="148"/>
      <c r="C145" s="148" t="s">
        <v>1124</v>
      </c>
      <c r="D145" s="148"/>
      <c r="E145" s="148"/>
      <c r="F145" s="148"/>
      <c r="G145" s="148"/>
      <c r="H145" s="148"/>
      <c r="I145" s="148"/>
      <c r="J145" s="148"/>
      <c r="K145" s="148">
        <v>1.2239999999999999E-2</v>
      </c>
      <c r="L145" s="148"/>
      <c r="M145" s="148"/>
      <c r="N145" s="148"/>
      <c r="O145" s="148"/>
      <c r="P145" s="148"/>
      <c r="Q145" s="148" t="s">
        <v>1151</v>
      </c>
      <c r="R145" s="148"/>
      <c r="S145" s="148"/>
      <c r="T145" s="148"/>
      <c r="U145" s="148"/>
      <c r="V145" s="148"/>
      <c r="W145" s="148"/>
      <c r="X145" s="148"/>
      <c r="Y145" s="148"/>
      <c r="Z145" s="148"/>
    </row>
    <row r="146" spans="1:26" x14ac:dyDescent="0.35">
      <c r="A146" s="148" t="s">
        <v>946</v>
      </c>
      <c r="B146" s="148"/>
      <c r="C146" s="148" t="s">
        <v>1126</v>
      </c>
      <c r="D146" s="148"/>
      <c r="E146" s="148"/>
      <c r="F146" s="148"/>
      <c r="G146" s="148"/>
      <c r="H146" s="148"/>
      <c r="I146" s="148"/>
      <c r="J146" s="148"/>
      <c r="K146" s="148">
        <v>1.3679999999999999E-2</v>
      </c>
      <c r="L146" s="148"/>
      <c r="M146" s="148"/>
      <c r="N146" s="148"/>
      <c r="O146" s="148"/>
      <c r="P146" s="148"/>
      <c r="Q146" s="148" t="s">
        <v>1152</v>
      </c>
      <c r="R146" s="148"/>
      <c r="S146" s="148"/>
      <c r="T146" s="148"/>
      <c r="U146" s="148"/>
      <c r="V146" s="148"/>
      <c r="W146" s="148"/>
      <c r="X146" s="148"/>
      <c r="Y146" s="148"/>
      <c r="Z146" s="148"/>
    </row>
    <row r="147" spans="1:26" x14ac:dyDescent="0.35">
      <c r="A147" s="148" t="s">
        <v>946</v>
      </c>
      <c r="B147" s="148"/>
      <c r="C147" s="148" t="s">
        <v>1128</v>
      </c>
      <c r="D147" s="148"/>
      <c r="E147" s="148"/>
      <c r="F147" s="148"/>
      <c r="G147" s="148"/>
      <c r="H147" s="148"/>
      <c r="I147" s="148"/>
      <c r="J147" s="148"/>
      <c r="K147" s="148">
        <v>2.196E-2</v>
      </c>
      <c r="L147" s="148"/>
      <c r="M147" s="148"/>
      <c r="N147" s="148"/>
      <c r="O147" s="148"/>
      <c r="P147" s="148"/>
      <c r="Q147" s="148" t="s">
        <v>1153</v>
      </c>
      <c r="R147" s="148"/>
      <c r="S147" s="148"/>
      <c r="T147" s="148"/>
      <c r="U147" s="148"/>
      <c r="V147" s="148"/>
      <c r="W147" s="148"/>
      <c r="X147" s="148"/>
      <c r="Y147" s="148"/>
      <c r="Z147" s="148"/>
    </row>
    <row r="148" spans="1:26" x14ac:dyDescent="0.35">
      <c r="A148" s="148" t="s">
        <v>946</v>
      </c>
      <c r="B148" s="148"/>
      <c r="C148" s="148" t="s">
        <v>1130</v>
      </c>
      <c r="D148" s="148"/>
      <c r="E148" s="148"/>
      <c r="F148" s="148"/>
      <c r="G148" s="148"/>
      <c r="H148" s="148"/>
      <c r="I148" s="148"/>
      <c r="J148" s="148"/>
      <c r="K148" s="148">
        <v>2.8080000000000001E-2</v>
      </c>
      <c r="L148" s="148"/>
      <c r="M148" s="148"/>
      <c r="N148" s="148"/>
      <c r="O148" s="148"/>
      <c r="P148" s="148"/>
      <c r="Q148" s="148" t="s">
        <v>1154</v>
      </c>
      <c r="R148" s="148"/>
      <c r="S148" s="148"/>
      <c r="T148" s="148"/>
      <c r="U148" s="148"/>
      <c r="V148" s="148"/>
      <c r="W148" s="148"/>
      <c r="X148" s="148"/>
      <c r="Y148" s="148"/>
      <c r="Z148" s="148"/>
    </row>
    <row r="149" spans="1:26" x14ac:dyDescent="0.35">
      <c r="A149" s="148" t="s">
        <v>946</v>
      </c>
      <c r="B149" s="148"/>
      <c r="C149" s="148" t="s">
        <v>1132</v>
      </c>
      <c r="D149" s="148"/>
      <c r="E149" s="148"/>
      <c r="F149" s="148"/>
      <c r="G149" s="148"/>
      <c r="H149" s="148"/>
      <c r="I149" s="148"/>
      <c r="J149" s="148"/>
      <c r="K149" s="148">
        <v>7.5599999999999999E-3</v>
      </c>
      <c r="L149" s="148"/>
      <c r="M149" s="148"/>
      <c r="N149" s="148"/>
      <c r="O149" s="148"/>
      <c r="P149" s="148"/>
      <c r="Q149" s="148" t="s">
        <v>1155</v>
      </c>
      <c r="R149" s="148"/>
      <c r="S149" s="148"/>
      <c r="T149" s="148"/>
      <c r="U149" s="148"/>
      <c r="V149" s="148"/>
      <c r="W149" s="148"/>
      <c r="X149" s="148"/>
      <c r="Y149" s="148"/>
      <c r="Z149" s="148"/>
    </row>
    <row r="150" spans="1:26" x14ac:dyDescent="0.35">
      <c r="A150" s="148" t="s">
        <v>946</v>
      </c>
      <c r="B150" s="148"/>
      <c r="C150" s="148" t="s">
        <v>1134</v>
      </c>
      <c r="D150" s="148"/>
      <c r="E150" s="148"/>
      <c r="F150" s="148"/>
      <c r="G150" s="148"/>
      <c r="H150" s="148"/>
      <c r="I150" s="148"/>
      <c r="J150" s="148"/>
      <c r="K150" s="148">
        <v>7.9200000000000007E-2</v>
      </c>
      <c r="L150" s="148"/>
      <c r="M150" s="148"/>
      <c r="N150" s="148"/>
      <c r="O150" s="148"/>
      <c r="P150" s="148"/>
      <c r="Q150" s="148" t="s">
        <v>1156</v>
      </c>
      <c r="R150" s="148"/>
      <c r="S150" s="148"/>
      <c r="T150" s="148"/>
      <c r="U150" s="148"/>
      <c r="V150" s="148"/>
      <c r="W150" s="148"/>
      <c r="X150" s="148"/>
      <c r="Y150" s="148"/>
      <c r="Z150" s="148"/>
    </row>
    <row r="151" spans="1:26" x14ac:dyDescent="0.35">
      <c r="A151" s="148" t="s">
        <v>946</v>
      </c>
      <c r="B151" s="148"/>
      <c r="C151" s="148" t="s">
        <v>1136</v>
      </c>
      <c r="D151" s="148"/>
      <c r="E151" s="148"/>
      <c r="F151" s="148"/>
      <c r="G151" s="148"/>
      <c r="H151" s="148"/>
      <c r="I151" s="148"/>
      <c r="J151" s="148"/>
      <c r="K151" s="148">
        <v>2.4840000000000001E-2</v>
      </c>
      <c r="L151" s="148"/>
      <c r="M151" s="148"/>
      <c r="N151" s="148"/>
      <c r="O151" s="148"/>
      <c r="P151" s="148"/>
      <c r="Q151" s="148" t="s">
        <v>1157</v>
      </c>
      <c r="R151" s="148"/>
      <c r="S151" s="148"/>
      <c r="T151" s="148"/>
      <c r="U151" s="148"/>
      <c r="V151" s="148"/>
      <c r="W151" s="148"/>
      <c r="X151" s="148"/>
      <c r="Y151" s="148"/>
      <c r="Z151" s="148"/>
    </row>
    <row r="152" spans="1:26" x14ac:dyDescent="0.35">
      <c r="A152" s="148" t="s">
        <v>946</v>
      </c>
      <c r="B152" s="148"/>
      <c r="C152" s="148" t="s">
        <v>541</v>
      </c>
      <c r="D152" s="148"/>
      <c r="E152" s="148"/>
      <c r="F152" s="148"/>
      <c r="G152" s="148"/>
      <c r="H152" s="148"/>
      <c r="I152" s="148"/>
      <c r="J152" s="148"/>
      <c r="K152" s="148">
        <v>5.3280000000000001E-2</v>
      </c>
      <c r="L152" s="148"/>
      <c r="M152" s="148"/>
      <c r="N152" s="148"/>
      <c r="O152" s="148"/>
      <c r="P152" s="148"/>
      <c r="Q152" s="148" t="s">
        <v>1158</v>
      </c>
      <c r="R152" s="148"/>
      <c r="S152" s="148"/>
      <c r="T152" s="148"/>
      <c r="U152" s="148"/>
      <c r="V152" s="148"/>
      <c r="W152" s="148"/>
      <c r="X152" s="148"/>
      <c r="Y152" s="148"/>
      <c r="Z152" s="148"/>
    </row>
    <row r="153" spans="1:26" x14ac:dyDescent="0.35">
      <c r="A153" s="156" t="s">
        <v>946</v>
      </c>
      <c r="B153" s="156" t="s">
        <v>1159</v>
      </c>
      <c r="C153" s="156"/>
      <c r="D153" s="156"/>
      <c r="E153" s="156"/>
      <c r="F153" s="156"/>
      <c r="G153" s="156"/>
      <c r="H153" s="156"/>
      <c r="I153" s="156"/>
      <c r="J153" s="156"/>
      <c r="K153" s="156" t="s">
        <v>1121</v>
      </c>
      <c r="L153" s="156"/>
      <c r="M153" s="156"/>
      <c r="N153" s="156"/>
      <c r="O153" s="156">
        <v>1.9800000000000002E-2</v>
      </c>
      <c r="P153" s="156" t="s">
        <v>1122</v>
      </c>
      <c r="Q153" s="156" t="s">
        <v>1160</v>
      </c>
      <c r="R153" s="156"/>
      <c r="S153" s="156"/>
      <c r="T153" s="156"/>
      <c r="U153" s="156"/>
      <c r="V153" s="156"/>
      <c r="W153" s="156"/>
      <c r="X153" s="156"/>
      <c r="Y153" s="156"/>
      <c r="Z153" s="156"/>
    </row>
    <row r="154" spans="1:26" x14ac:dyDescent="0.35">
      <c r="A154" s="148" t="s">
        <v>946</v>
      </c>
      <c r="B154" s="148"/>
      <c r="C154" s="148" t="s">
        <v>1124</v>
      </c>
      <c r="D154" s="148"/>
      <c r="E154" s="148"/>
      <c r="F154" s="148"/>
      <c r="G154" s="148"/>
      <c r="H154" s="148"/>
      <c r="I154" s="148"/>
      <c r="J154" s="148"/>
      <c r="K154" s="148">
        <v>9.7199999999999995E-3</v>
      </c>
      <c r="L154" s="148"/>
      <c r="M154" s="148"/>
      <c r="N154" s="148"/>
      <c r="O154" s="148"/>
      <c r="P154" s="148"/>
      <c r="Q154" s="148" t="s">
        <v>1161</v>
      </c>
      <c r="R154" s="148"/>
      <c r="S154" s="148"/>
      <c r="T154" s="148"/>
      <c r="U154" s="148"/>
      <c r="V154" s="148"/>
      <c r="W154" s="148"/>
      <c r="X154" s="148"/>
      <c r="Y154" s="148"/>
      <c r="Z154" s="148"/>
    </row>
    <row r="155" spans="1:26" x14ac:dyDescent="0.35">
      <c r="A155" s="148" t="s">
        <v>946</v>
      </c>
      <c r="B155" s="148"/>
      <c r="C155" s="148" t="s">
        <v>1126</v>
      </c>
      <c r="D155" s="148"/>
      <c r="E155" s="148"/>
      <c r="F155" s="148"/>
      <c r="G155" s="148"/>
      <c r="H155" s="148"/>
      <c r="I155" s="148"/>
      <c r="J155" s="148"/>
      <c r="K155" s="148">
        <v>9.7199999999999995E-3</v>
      </c>
      <c r="L155" s="148"/>
      <c r="M155" s="148"/>
      <c r="N155" s="148"/>
      <c r="O155" s="148"/>
      <c r="P155" s="148"/>
      <c r="Q155" s="148" t="s">
        <v>1162</v>
      </c>
      <c r="R155" s="148"/>
      <c r="S155" s="148"/>
      <c r="T155" s="148"/>
      <c r="U155" s="148"/>
      <c r="V155" s="148"/>
      <c r="W155" s="148"/>
      <c r="X155" s="148"/>
      <c r="Y155" s="148"/>
      <c r="Z155" s="148"/>
    </row>
    <row r="156" spans="1:26" x14ac:dyDescent="0.35">
      <c r="A156" s="148" t="s">
        <v>946</v>
      </c>
      <c r="B156" s="148"/>
      <c r="C156" s="148" t="s">
        <v>1128</v>
      </c>
      <c r="D156" s="148"/>
      <c r="E156" s="148"/>
      <c r="F156" s="148"/>
      <c r="G156" s="148"/>
      <c r="H156" s="148"/>
      <c r="I156" s="148"/>
      <c r="J156" s="148"/>
      <c r="K156" s="148">
        <v>1.116E-2</v>
      </c>
      <c r="L156" s="148"/>
      <c r="M156" s="148"/>
      <c r="N156" s="148"/>
      <c r="O156" s="148"/>
      <c r="P156" s="148"/>
      <c r="Q156" s="148" t="s">
        <v>1163</v>
      </c>
      <c r="R156" s="148"/>
      <c r="S156" s="148"/>
      <c r="T156" s="148"/>
      <c r="U156" s="148"/>
      <c r="V156" s="148"/>
      <c r="W156" s="148"/>
      <c r="X156" s="148"/>
      <c r="Y156" s="148"/>
      <c r="Z156" s="148"/>
    </row>
    <row r="157" spans="1:26" x14ac:dyDescent="0.35">
      <c r="A157" s="148" t="s">
        <v>946</v>
      </c>
      <c r="B157" s="148"/>
      <c r="C157" s="148" t="s">
        <v>1130</v>
      </c>
      <c r="D157" s="148"/>
      <c r="E157" s="148"/>
      <c r="F157" s="148"/>
      <c r="G157" s="148"/>
      <c r="H157" s="148"/>
      <c r="I157" s="148"/>
      <c r="J157" s="148"/>
      <c r="K157" s="148">
        <v>1.116E-2</v>
      </c>
      <c r="L157" s="148"/>
      <c r="M157" s="148"/>
      <c r="N157" s="148"/>
      <c r="O157" s="148"/>
      <c r="P157" s="148"/>
      <c r="Q157" s="148" t="s">
        <v>1164</v>
      </c>
      <c r="R157" s="148"/>
      <c r="S157" s="148"/>
      <c r="T157" s="148"/>
      <c r="U157" s="148"/>
      <c r="V157" s="148"/>
      <c r="W157" s="148"/>
      <c r="X157" s="148"/>
      <c r="Y157" s="148"/>
      <c r="Z157" s="148"/>
    </row>
    <row r="158" spans="1:26" x14ac:dyDescent="0.35">
      <c r="A158" s="148" t="s">
        <v>946</v>
      </c>
      <c r="B158" s="148"/>
      <c r="C158" s="148" t="s">
        <v>1132</v>
      </c>
      <c r="D158" s="148"/>
      <c r="E158" s="148"/>
      <c r="F158" s="148"/>
      <c r="G158" s="148"/>
      <c r="H158" s="148"/>
      <c r="I158" s="148"/>
      <c r="J158" s="148"/>
      <c r="K158" s="148">
        <v>1.116E-2</v>
      </c>
      <c r="L158" s="148"/>
      <c r="M158" s="148"/>
      <c r="N158" s="148"/>
      <c r="O158" s="148"/>
      <c r="P158" s="148"/>
      <c r="Q158" s="148" t="s">
        <v>1165</v>
      </c>
      <c r="R158" s="148"/>
      <c r="S158" s="148"/>
      <c r="T158" s="148"/>
      <c r="U158" s="148"/>
      <c r="V158" s="148"/>
      <c r="W158" s="148"/>
      <c r="X158" s="148"/>
      <c r="Y158" s="148"/>
      <c r="Z158" s="148"/>
    </row>
    <row r="159" spans="1:26" x14ac:dyDescent="0.35">
      <c r="A159" s="148" t="s">
        <v>946</v>
      </c>
      <c r="B159" s="148"/>
      <c r="C159" s="148" t="s">
        <v>1134</v>
      </c>
      <c r="D159" s="148"/>
      <c r="E159" s="148"/>
      <c r="F159" s="148"/>
      <c r="G159" s="148"/>
      <c r="H159" s="148"/>
      <c r="I159" s="148"/>
      <c r="J159" s="148"/>
      <c r="K159" s="148">
        <v>1.116E-2</v>
      </c>
      <c r="L159" s="148"/>
      <c r="M159" s="148"/>
      <c r="N159" s="148"/>
      <c r="O159" s="148"/>
      <c r="P159" s="148"/>
      <c r="Q159" s="148" t="s">
        <v>1166</v>
      </c>
      <c r="R159" s="148"/>
      <c r="S159" s="148"/>
      <c r="T159" s="148"/>
      <c r="U159" s="148"/>
      <c r="V159" s="148"/>
      <c r="W159" s="148"/>
      <c r="X159" s="148"/>
      <c r="Y159" s="148"/>
      <c r="Z159" s="148"/>
    </row>
    <row r="160" spans="1:26" x14ac:dyDescent="0.35">
      <c r="A160" s="148" t="s">
        <v>946</v>
      </c>
      <c r="B160" s="148"/>
      <c r="C160" s="148" t="s">
        <v>1136</v>
      </c>
      <c r="D160" s="148"/>
      <c r="E160" s="148"/>
      <c r="F160" s="148"/>
      <c r="G160" s="148"/>
      <c r="H160" s="148"/>
      <c r="I160" s="148"/>
      <c r="J160" s="148"/>
      <c r="K160" s="148">
        <v>1.116E-2</v>
      </c>
      <c r="L160" s="148"/>
      <c r="M160" s="148"/>
      <c r="N160" s="148"/>
      <c r="O160" s="148"/>
      <c r="P160" s="148"/>
      <c r="Q160" s="148" t="s">
        <v>1167</v>
      </c>
      <c r="R160" s="148"/>
      <c r="S160" s="148"/>
      <c r="T160" s="148"/>
      <c r="U160" s="148"/>
      <c r="V160" s="148"/>
      <c r="W160" s="148"/>
      <c r="X160" s="148"/>
      <c r="Y160" s="148"/>
      <c r="Z160" s="148"/>
    </row>
    <row r="161" spans="1:26" x14ac:dyDescent="0.35">
      <c r="A161" s="148" t="s">
        <v>946</v>
      </c>
      <c r="B161" s="148"/>
      <c r="C161" s="148" t="s">
        <v>541</v>
      </c>
      <c r="D161" s="148"/>
      <c r="E161" s="148"/>
      <c r="F161" s="148"/>
      <c r="G161" s="148"/>
      <c r="H161" s="148"/>
      <c r="I161" s="148"/>
      <c r="J161" s="148"/>
      <c r="K161" s="148">
        <v>5.04E-2</v>
      </c>
      <c r="L161" s="148"/>
      <c r="M161" s="148"/>
      <c r="N161" s="148"/>
      <c r="O161" s="148"/>
      <c r="P161" s="148"/>
      <c r="Q161" s="148" t="s">
        <v>1168</v>
      </c>
      <c r="R161" s="148"/>
      <c r="S161" s="148"/>
      <c r="T161" s="148"/>
      <c r="U161" s="148"/>
      <c r="V161" s="148"/>
      <c r="W161" s="148"/>
      <c r="X161" s="148"/>
      <c r="Y161" s="148"/>
      <c r="Z161" s="148"/>
    </row>
    <row r="162" spans="1:26" x14ac:dyDescent="0.35">
      <c r="A162" s="156" t="s">
        <v>893</v>
      </c>
      <c r="B162" s="156" t="s">
        <v>1169</v>
      </c>
      <c r="C162" s="156"/>
      <c r="D162" s="156"/>
      <c r="E162" s="156"/>
      <c r="F162" s="156">
        <v>1259.0000000000002</v>
      </c>
      <c r="G162" s="156"/>
      <c r="H162" s="156"/>
      <c r="I162" s="156"/>
      <c r="J162" s="156"/>
      <c r="K162" s="160" t="s">
        <v>1170</v>
      </c>
      <c r="L162" s="156"/>
      <c r="M162" s="156"/>
      <c r="N162" s="156"/>
      <c r="O162" s="156"/>
      <c r="P162" s="156"/>
      <c r="Q162" s="156" t="s">
        <v>1171</v>
      </c>
      <c r="R162" s="156"/>
      <c r="S162" s="156"/>
      <c r="T162" s="156"/>
      <c r="U162" s="156"/>
      <c r="V162" s="156"/>
      <c r="W162" s="156"/>
      <c r="X162" s="156"/>
      <c r="Y162" s="156"/>
      <c r="Z162" s="156"/>
    </row>
    <row r="163" spans="1:26" x14ac:dyDescent="0.35">
      <c r="A163" s="148" t="s">
        <v>893</v>
      </c>
      <c r="B163" s="148"/>
      <c r="C163" s="148" t="s">
        <v>1172</v>
      </c>
      <c r="D163" s="148">
        <v>3750</v>
      </c>
      <c r="E163" s="148"/>
      <c r="F163" s="148">
        <v>265</v>
      </c>
      <c r="G163" s="148"/>
      <c r="H163" s="148"/>
      <c r="I163" s="148"/>
      <c r="J163" s="148"/>
      <c r="K163" s="150">
        <v>0.76347600000000004</v>
      </c>
      <c r="L163" s="148"/>
      <c r="M163" s="148"/>
      <c r="N163" s="148"/>
      <c r="O163" s="148"/>
      <c r="P163" s="148" t="s">
        <v>1173</v>
      </c>
      <c r="Q163" s="148" t="s">
        <v>1174</v>
      </c>
      <c r="R163" s="148"/>
      <c r="S163" s="148"/>
      <c r="T163" s="148"/>
      <c r="U163" s="148"/>
      <c r="V163" s="148"/>
      <c r="W163" s="148"/>
      <c r="X163" s="148"/>
      <c r="Y163" s="148"/>
      <c r="Z163" s="148"/>
    </row>
    <row r="164" spans="1:26" x14ac:dyDescent="0.35">
      <c r="A164" s="148" t="s">
        <v>893</v>
      </c>
      <c r="B164" s="148"/>
      <c r="C164" s="148" t="s">
        <v>1175</v>
      </c>
      <c r="D164" s="148">
        <v>3750</v>
      </c>
      <c r="E164" s="148"/>
      <c r="F164" s="148">
        <v>102.5</v>
      </c>
      <c r="G164" s="148"/>
      <c r="H164" s="148"/>
      <c r="I164" s="148"/>
      <c r="J164" s="148"/>
      <c r="K164" s="150">
        <v>0.29529719999999998</v>
      </c>
      <c r="L164" s="148"/>
      <c r="M164" s="148"/>
      <c r="N164" s="148"/>
      <c r="O164" s="148"/>
      <c r="P164" s="148" t="s">
        <v>1173</v>
      </c>
      <c r="Q164" s="148" t="s">
        <v>1176</v>
      </c>
      <c r="R164" s="148"/>
      <c r="S164" s="148"/>
      <c r="T164" s="148"/>
      <c r="U164" s="148"/>
      <c r="V164" s="148"/>
      <c r="W164" s="148"/>
      <c r="X164" s="148"/>
      <c r="Y164" s="148"/>
      <c r="Z164" s="148"/>
    </row>
    <row r="165" spans="1:26" x14ac:dyDescent="0.35">
      <c r="A165" s="148" t="s">
        <v>893</v>
      </c>
      <c r="B165" s="148"/>
      <c r="C165" s="148" t="s">
        <v>1177</v>
      </c>
      <c r="D165" s="148">
        <v>3750</v>
      </c>
      <c r="E165" s="148"/>
      <c r="F165" s="148">
        <v>44</v>
      </c>
      <c r="G165" s="148"/>
      <c r="H165" s="148"/>
      <c r="I165" s="148"/>
      <c r="J165" s="148"/>
      <c r="K165" s="150">
        <v>0.12670920000000002</v>
      </c>
      <c r="L165" s="148"/>
      <c r="M165" s="148"/>
      <c r="N165" s="148"/>
      <c r="O165" s="148"/>
      <c r="P165" s="148" t="s">
        <v>1173</v>
      </c>
      <c r="Q165" s="148" t="s">
        <v>1178</v>
      </c>
      <c r="R165" s="148"/>
      <c r="S165" s="148"/>
      <c r="T165" s="148"/>
      <c r="U165" s="148"/>
      <c r="V165" s="148"/>
      <c r="W165" s="148"/>
      <c r="X165" s="148"/>
      <c r="Y165" s="148"/>
      <c r="Z165" s="148"/>
    </row>
    <row r="166" spans="1:26" x14ac:dyDescent="0.35">
      <c r="A166" s="148" t="s">
        <v>893</v>
      </c>
      <c r="B166" s="148"/>
      <c r="C166" s="148" t="s">
        <v>1179</v>
      </c>
      <c r="D166" s="148">
        <v>3750</v>
      </c>
      <c r="E166" s="148"/>
      <c r="F166" s="148">
        <v>77.599999999999994</v>
      </c>
      <c r="G166" s="148"/>
      <c r="H166" s="148"/>
      <c r="I166" s="148"/>
      <c r="J166" s="148"/>
      <c r="K166" s="150">
        <v>0.22335240000000001</v>
      </c>
      <c r="L166" s="148"/>
      <c r="M166" s="148"/>
      <c r="N166" s="148"/>
      <c r="O166" s="148"/>
      <c r="P166" s="148" t="s">
        <v>1173</v>
      </c>
      <c r="Q166" s="148" t="s">
        <v>1180</v>
      </c>
      <c r="R166" s="148"/>
      <c r="S166" s="148"/>
      <c r="T166" s="148"/>
      <c r="U166" s="148"/>
      <c r="V166" s="148"/>
      <c r="W166" s="148"/>
      <c r="X166" s="148"/>
      <c r="Y166" s="148"/>
      <c r="Z166" s="148"/>
    </row>
    <row r="167" spans="1:26" x14ac:dyDescent="0.35">
      <c r="A167" s="148" t="s">
        <v>893</v>
      </c>
      <c r="B167" s="148"/>
      <c r="C167" s="148" t="s">
        <v>1181</v>
      </c>
      <c r="D167" s="148">
        <v>1350</v>
      </c>
      <c r="E167" s="148"/>
      <c r="F167" s="148">
        <v>341.5</v>
      </c>
      <c r="G167" s="148"/>
      <c r="H167" s="148"/>
      <c r="I167" s="148"/>
      <c r="J167" s="148"/>
      <c r="K167" s="150">
        <v>2.7322433333333334</v>
      </c>
      <c r="L167" s="148"/>
      <c r="M167" s="148"/>
      <c r="N167" s="148"/>
      <c r="O167" s="148"/>
      <c r="P167" s="148" t="s">
        <v>1182</v>
      </c>
      <c r="Q167" s="148" t="s">
        <v>1183</v>
      </c>
      <c r="R167" s="148"/>
      <c r="S167" s="148"/>
      <c r="T167" s="148"/>
      <c r="U167" s="148"/>
      <c r="V167" s="148"/>
      <c r="W167" s="148"/>
      <c r="X167" s="148"/>
      <c r="Y167" s="148"/>
      <c r="Z167" s="148"/>
    </row>
    <row r="168" spans="1:26" x14ac:dyDescent="0.35">
      <c r="A168" s="148" t="s">
        <v>893</v>
      </c>
      <c r="B168" s="148"/>
      <c r="C168" s="148" t="s">
        <v>1184</v>
      </c>
      <c r="D168" s="148">
        <v>1350</v>
      </c>
      <c r="E168" s="148"/>
      <c r="F168" s="148">
        <v>93.2</v>
      </c>
      <c r="G168" s="148"/>
      <c r="H168" s="148"/>
      <c r="I168" s="148"/>
      <c r="J168" s="148"/>
      <c r="K168" s="150">
        <v>0.74569999999999992</v>
      </c>
      <c r="L168" s="148"/>
      <c r="M168" s="148"/>
      <c r="N168" s="148"/>
      <c r="O168" s="148"/>
      <c r="P168" s="148" t="s">
        <v>1182</v>
      </c>
      <c r="Q168" s="148" t="s">
        <v>1185</v>
      </c>
      <c r="R168" s="148"/>
      <c r="S168" s="148"/>
      <c r="T168" s="148"/>
      <c r="U168" s="148"/>
      <c r="V168" s="148"/>
      <c r="W168" s="148"/>
      <c r="X168" s="148"/>
      <c r="Y168" s="148"/>
      <c r="Z168" s="148"/>
    </row>
    <row r="169" spans="1:26" x14ac:dyDescent="0.35">
      <c r="A169" s="148" t="s">
        <v>893</v>
      </c>
      <c r="B169" s="148"/>
      <c r="C169" s="148" t="s">
        <v>1186</v>
      </c>
      <c r="D169" s="148">
        <v>525</v>
      </c>
      <c r="E169" s="148"/>
      <c r="F169" s="148">
        <v>93.2</v>
      </c>
      <c r="G169" s="148"/>
      <c r="H169" s="148"/>
      <c r="I169" s="148"/>
      <c r="J169" s="148"/>
      <c r="K169" s="150">
        <v>1.9175142857142855</v>
      </c>
      <c r="L169" s="148"/>
      <c r="M169" s="148"/>
      <c r="N169" s="148"/>
      <c r="O169" s="148"/>
      <c r="P169" s="148" t="s">
        <v>1187</v>
      </c>
      <c r="Q169" s="148" t="s">
        <v>1188</v>
      </c>
      <c r="R169" s="148"/>
      <c r="S169" s="148"/>
      <c r="T169" s="148"/>
      <c r="U169" s="148"/>
      <c r="V169" s="148"/>
      <c r="W169" s="148"/>
      <c r="X169" s="148"/>
      <c r="Y169" s="148"/>
      <c r="Z169" s="148"/>
    </row>
    <row r="170" spans="1:26" x14ac:dyDescent="0.35">
      <c r="A170" s="148" t="s">
        <v>893</v>
      </c>
      <c r="B170" s="148"/>
      <c r="C170" s="148" t="s">
        <v>1189</v>
      </c>
      <c r="D170" s="148">
        <v>525</v>
      </c>
      <c r="E170" s="148"/>
      <c r="F170" s="148">
        <v>35.6</v>
      </c>
      <c r="G170" s="148"/>
      <c r="H170" s="148"/>
      <c r="I170" s="148"/>
      <c r="J170" s="148"/>
      <c r="K170" s="150">
        <v>0.69030514285714295</v>
      </c>
      <c r="L170" s="148"/>
      <c r="M170" s="148"/>
      <c r="N170" s="148"/>
      <c r="O170" s="148"/>
      <c r="P170" s="148" t="s">
        <v>1187</v>
      </c>
      <c r="Q170" s="148" t="s">
        <v>1190</v>
      </c>
      <c r="R170" s="148"/>
      <c r="S170" s="148"/>
      <c r="T170" s="148"/>
      <c r="U170" s="148"/>
      <c r="V170" s="148"/>
      <c r="W170" s="148"/>
      <c r="X170" s="148"/>
      <c r="Y170" s="148"/>
      <c r="Z170" s="148"/>
    </row>
    <row r="171" spans="1:26" x14ac:dyDescent="0.35">
      <c r="A171" s="148" t="s">
        <v>893</v>
      </c>
      <c r="B171" s="148"/>
      <c r="C171" s="148" t="s">
        <v>1191</v>
      </c>
      <c r="D171" s="148">
        <v>2887.5</v>
      </c>
      <c r="E171" s="148"/>
      <c r="F171" s="148">
        <v>74.599999999999994</v>
      </c>
      <c r="G171" s="148"/>
      <c r="H171" s="148"/>
      <c r="I171" s="148"/>
      <c r="J171" s="148"/>
      <c r="K171" s="150">
        <v>0.27848571428571428</v>
      </c>
      <c r="L171" s="148"/>
      <c r="M171" s="148"/>
      <c r="N171" s="148"/>
      <c r="O171" s="148"/>
      <c r="P171" s="148" t="s">
        <v>1192</v>
      </c>
      <c r="Q171" s="148" t="s">
        <v>1193</v>
      </c>
      <c r="R171" s="148"/>
      <c r="S171" s="148"/>
      <c r="T171" s="148"/>
      <c r="U171" s="148"/>
      <c r="V171" s="148"/>
      <c r="W171" s="148"/>
      <c r="X171" s="148"/>
      <c r="Y171" s="148"/>
      <c r="Z171" s="148"/>
    </row>
    <row r="172" spans="1:26" x14ac:dyDescent="0.35">
      <c r="A172" s="148" t="s">
        <v>893</v>
      </c>
      <c r="B172" s="148"/>
      <c r="C172" s="148" t="s">
        <v>1194</v>
      </c>
      <c r="D172" s="148">
        <v>2887.5</v>
      </c>
      <c r="E172" s="148"/>
      <c r="F172" s="148">
        <v>33.9</v>
      </c>
      <c r="G172" s="148"/>
      <c r="H172" s="148"/>
      <c r="I172" s="148"/>
      <c r="J172" s="148"/>
      <c r="K172" s="150">
        <v>0.12690451948051948</v>
      </c>
      <c r="L172" s="148"/>
      <c r="M172" s="148"/>
      <c r="N172" s="148"/>
      <c r="O172" s="148"/>
      <c r="P172" s="148" t="s">
        <v>1192</v>
      </c>
      <c r="Q172" s="148" t="s">
        <v>1195</v>
      </c>
      <c r="R172" s="148"/>
      <c r="S172" s="148"/>
      <c r="T172" s="148"/>
      <c r="U172" s="148"/>
      <c r="V172" s="148"/>
      <c r="W172" s="148"/>
      <c r="X172" s="148"/>
      <c r="Y172" s="148"/>
      <c r="Z172" s="148"/>
    </row>
    <row r="173" spans="1:26" x14ac:dyDescent="0.35">
      <c r="A173" s="148" t="s">
        <v>893</v>
      </c>
      <c r="B173" s="148"/>
      <c r="C173" s="148" t="s">
        <v>1196</v>
      </c>
      <c r="D173" s="148">
        <v>2887.5</v>
      </c>
      <c r="E173" s="148"/>
      <c r="F173" s="148">
        <v>29.8</v>
      </c>
      <c r="G173" s="148"/>
      <c r="H173" s="148"/>
      <c r="I173" s="148"/>
      <c r="J173" s="148"/>
      <c r="K173" s="150">
        <v>0.11156446753246753</v>
      </c>
      <c r="L173" s="148"/>
      <c r="M173" s="148"/>
      <c r="N173" s="148"/>
      <c r="O173" s="148"/>
      <c r="P173" s="148" t="s">
        <v>1192</v>
      </c>
      <c r="Q173" s="148" t="s">
        <v>1197</v>
      </c>
      <c r="R173" s="148"/>
      <c r="S173" s="148"/>
      <c r="T173" s="148"/>
      <c r="U173" s="148"/>
      <c r="V173" s="148"/>
      <c r="W173" s="148"/>
      <c r="X173" s="148"/>
      <c r="Y173" s="148"/>
      <c r="Z173" s="148"/>
    </row>
    <row r="174" spans="1:26" x14ac:dyDescent="0.35">
      <c r="A174" s="148" t="s">
        <v>893</v>
      </c>
      <c r="B174" s="148"/>
      <c r="C174" s="148" t="s">
        <v>1198</v>
      </c>
      <c r="D174" s="148">
        <v>2887.5</v>
      </c>
      <c r="E174" s="148"/>
      <c r="F174" s="148">
        <v>20.100000000000001</v>
      </c>
      <c r="G174" s="148"/>
      <c r="H174" s="148"/>
      <c r="I174" s="148"/>
      <c r="J174" s="148"/>
      <c r="K174" s="150">
        <v>7.5321350649350652E-2</v>
      </c>
      <c r="L174" s="148"/>
      <c r="M174" s="148"/>
      <c r="N174" s="148"/>
      <c r="O174" s="148"/>
      <c r="P174" s="148" t="s">
        <v>1192</v>
      </c>
      <c r="Q174" s="148" t="s">
        <v>1199</v>
      </c>
      <c r="R174" s="148"/>
      <c r="S174" s="148"/>
      <c r="T174" s="148"/>
      <c r="U174" s="148"/>
      <c r="V174" s="148"/>
      <c r="W174" s="148"/>
      <c r="X174" s="148"/>
      <c r="Y174" s="148"/>
      <c r="Z174" s="148"/>
    </row>
    <row r="175" spans="1:26" x14ac:dyDescent="0.35">
      <c r="A175" s="148" t="s">
        <v>893</v>
      </c>
      <c r="B175" s="148"/>
      <c r="C175" s="148" t="s">
        <v>1200</v>
      </c>
      <c r="D175" s="148">
        <v>2887.5</v>
      </c>
      <c r="E175" s="148"/>
      <c r="F175" s="148">
        <v>5.2</v>
      </c>
      <c r="G175" s="148"/>
      <c r="H175" s="148"/>
      <c r="I175" s="148"/>
      <c r="J175" s="148"/>
      <c r="K175" s="150">
        <v>1.9523688311688311E-2</v>
      </c>
      <c r="L175" s="148"/>
      <c r="M175" s="148"/>
      <c r="N175" s="148"/>
      <c r="O175" s="148"/>
      <c r="P175" s="148" t="s">
        <v>1192</v>
      </c>
      <c r="Q175" s="148" t="s">
        <v>1201</v>
      </c>
      <c r="R175" s="148"/>
      <c r="S175" s="148"/>
      <c r="T175" s="148"/>
      <c r="U175" s="148"/>
      <c r="V175" s="148"/>
      <c r="W175" s="148"/>
      <c r="X175" s="148"/>
      <c r="Y175" s="148"/>
      <c r="Z175" s="148"/>
    </row>
    <row r="176" spans="1:26" x14ac:dyDescent="0.35">
      <c r="A176" s="148" t="s">
        <v>893</v>
      </c>
      <c r="B176" s="148"/>
      <c r="C176" s="148" t="s">
        <v>1202</v>
      </c>
      <c r="D176" s="148">
        <v>2887.5</v>
      </c>
      <c r="E176" s="148"/>
      <c r="F176" s="148">
        <v>30.2</v>
      </c>
      <c r="G176" s="148"/>
      <c r="H176" s="148"/>
      <c r="I176" s="148"/>
      <c r="J176" s="148"/>
      <c r="K176" s="150">
        <v>0.11295896103896105</v>
      </c>
      <c r="L176" s="148"/>
      <c r="M176" s="148"/>
      <c r="N176" s="148"/>
      <c r="O176" s="148"/>
      <c r="P176" s="148" t="s">
        <v>1192</v>
      </c>
      <c r="Q176" s="148" t="s">
        <v>1203</v>
      </c>
      <c r="R176" s="148"/>
      <c r="S176" s="148"/>
      <c r="T176" s="148"/>
      <c r="U176" s="148"/>
      <c r="V176" s="148"/>
      <c r="W176" s="148"/>
      <c r="X176" s="148"/>
      <c r="Y176" s="148"/>
      <c r="Z176" s="148"/>
    </row>
    <row r="177" spans="1:26" x14ac:dyDescent="0.35">
      <c r="A177" s="148" t="s">
        <v>893</v>
      </c>
      <c r="B177" s="148"/>
      <c r="C177" s="148" t="s">
        <v>1204</v>
      </c>
      <c r="D177" s="148">
        <v>2887.5</v>
      </c>
      <c r="E177" s="148"/>
      <c r="F177" s="148">
        <v>3.7</v>
      </c>
      <c r="G177" s="148"/>
      <c r="H177" s="148"/>
      <c r="I177" s="148"/>
      <c r="J177" s="148"/>
      <c r="K177" s="150">
        <v>1.4E-2</v>
      </c>
      <c r="L177" s="148"/>
      <c r="M177" s="148"/>
      <c r="N177" s="148"/>
      <c r="O177" s="148"/>
      <c r="P177" s="148" t="s">
        <v>1192</v>
      </c>
      <c r="Q177" s="148" t="s">
        <v>1205</v>
      </c>
      <c r="R177" s="148"/>
      <c r="S177" s="148"/>
      <c r="T177" s="148"/>
      <c r="U177" s="148"/>
      <c r="V177" s="148"/>
      <c r="W177" s="148"/>
      <c r="X177" s="148"/>
      <c r="Y177" s="148"/>
      <c r="Z177" s="148"/>
    </row>
    <row r="178" spans="1:26" x14ac:dyDescent="0.35">
      <c r="A178" s="148" t="s">
        <v>893</v>
      </c>
      <c r="B178" s="148"/>
      <c r="C178" s="148" t="s">
        <v>1206</v>
      </c>
      <c r="D178" s="148">
        <v>2887.5</v>
      </c>
      <c r="E178" s="148"/>
      <c r="F178" s="148">
        <v>3.7</v>
      </c>
      <c r="G178" s="148"/>
      <c r="H178" s="148"/>
      <c r="I178" s="148"/>
      <c r="J178" s="148"/>
      <c r="K178" s="150">
        <v>1.3945558441558441E-2</v>
      </c>
      <c r="L178" s="148"/>
      <c r="M178" s="148"/>
      <c r="N178" s="148"/>
      <c r="O178" s="148"/>
      <c r="P178" s="148" t="s">
        <v>1192</v>
      </c>
      <c r="Q178" s="148" t="s">
        <v>1207</v>
      </c>
      <c r="R178" s="148"/>
      <c r="S178" s="148"/>
      <c r="T178" s="148"/>
      <c r="U178" s="148"/>
      <c r="V178" s="148"/>
      <c r="W178" s="148"/>
      <c r="X178" s="148"/>
      <c r="Y178" s="148"/>
      <c r="Z178" s="148"/>
    </row>
    <row r="179" spans="1:26" x14ac:dyDescent="0.35">
      <c r="A179" s="148" t="s">
        <v>893</v>
      </c>
      <c r="B179" s="148"/>
      <c r="C179" s="148" t="s">
        <v>1208</v>
      </c>
      <c r="D179" s="148">
        <v>862.5</v>
      </c>
      <c r="E179" s="148"/>
      <c r="F179" s="148">
        <v>5.2</v>
      </c>
      <c r="G179" s="148"/>
      <c r="H179" s="148"/>
      <c r="I179" s="148"/>
      <c r="J179" s="148"/>
      <c r="K179" s="150">
        <v>6.536191304347827E-2</v>
      </c>
      <c r="L179" s="148"/>
      <c r="M179" s="148"/>
      <c r="N179" s="148"/>
      <c r="O179" s="148"/>
      <c r="P179" s="148" t="s">
        <v>1209</v>
      </c>
      <c r="Q179" s="148" t="s">
        <v>1210</v>
      </c>
      <c r="R179" s="148"/>
      <c r="S179" s="148"/>
      <c r="T179" s="148"/>
      <c r="U179" s="148"/>
      <c r="V179" s="148"/>
      <c r="W179" s="148"/>
      <c r="X179" s="148"/>
      <c r="Y179" s="148"/>
      <c r="Z179" s="148"/>
    </row>
    <row r="180" spans="1:26" x14ac:dyDescent="0.35">
      <c r="A180" s="156" t="s">
        <v>893</v>
      </c>
      <c r="B180" s="156" t="s">
        <v>1211</v>
      </c>
      <c r="C180" s="156"/>
      <c r="D180" s="156"/>
      <c r="E180" s="156"/>
      <c r="F180" s="156"/>
      <c r="G180" s="156"/>
      <c r="H180" s="156"/>
      <c r="I180" s="156"/>
      <c r="J180" s="156"/>
      <c r="K180" s="161">
        <v>0.9365</v>
      </c>
      <c r="L180" s="156"/>
      <c r="M180" s="156"/>
      <c r="N180" s="156"/>
      <c r="O180" s="156">
        <v>1.2999999999999999E-3</v>
      </c>
      <c r="P180" s="156" t="s">
        <v>1212</v>
      </c>
      <c r="Q180" s="156" t="s">
        <v>1213</v>
      </c>
      <c r="R180" s="156"/>
      <c r="S180" s="156"/>
      <c r="T180" s="156"/>
      <c r="U180" s="156"/>
      <c r="V180" s="156"/>
      <c r="W180" s="156"/>
      <c r="X180" s="156"/>
      <c r="Y180" s="156"/>
      <c r="Z180" s="156"/>
    </row>
    <row r="181" spans="1:26" x14ac:dyDescent="0.35">
      <c r="A181" s="156" t="s">
        <v>893</v>
      </c>
      <c r="B181" s="156" t="s">
        <v>1214</v>
      </c>
      <c r="C181" s="156"/>
      <c r="D181" s="156"/>
      <c r="E181" s="156"/>
      <c r="F181" s="156"/>
      <c r="G181" s="156"/>
      <c r="H181" s="156"/>
      <c r="I181" s="156"/>
      <c r="J181" s="156"/>
      <c r="K181" s="156">
        <v>5.0027000000000008</v>
      </c>
      <c r="L181" s="156"/>
      <c r="M181" s="156"/>
      <c r="N181" s="156"/>
      <c r="O181" s="156"/>
      <c r="P181" s="156"/>
      <c r="Q181" s="156" t="s">
        <v>1215</v>
      </c>
      <c r="R181" s="156"/>
      <c r="S181" s="156"/>
      <c r="T181" s="156"/>
      <c r="U181" s="156"/>
      <c r="V181" s="156"/>
      <c r="W181" s="156"/>
      <c r="X181" s="156"/>
      <c r="Y181" s="156"/>
      <c r="Z181" s="156"/>
    </row>
    <row r="182" spans="1:26" x14ac:dyDescent="0.35">
      <c r="A182" s="148" t="s">
        <v>893</v>
      </c>
      <c r="B182" s="148"/>
      <c r="C182" s="148" t="s">
        <v>1216</v>
      </c>
      <c r="D182" s="148"/>
      <c r="E182" s="148"/>
      <c r="F182" s="148"/>
      <c r="G182" s="148"/>
      <c r="H182" s="148"/>
      <c r="I182" s="148"/>
      <c r="J182" s="148"/>
      <c r="K182" s="148">
        <v>4.07</v>
      </c>
      <c r="L182" s="148"/>
      <c r="M182" s="148"/>
      <c r="N182" s="148"/>
      <c r="O182" s="148">
        <v>9.3700000000000001E-4</v>
      </c>
      <c r="P182" s="148" t="s">
        <v>1217</v>
      </c>
      <c r="Q182" s="148" t="s">
        <v>1218</v>
      </c>
      <c r="R182" s="148"/>
      <c r="S182" s="148"/>
      <c r="T182" s="148"/>
      <c r="U182" s="148"/>
      <c r="V182" s="148"/>
      <c r="W182" s="148"/>
      <c r="X182" s="148"/>
      <c r="Y182" s="148"/>
      <c r="Z182" s="148"/>
    </row>
    <row r="183" spans="1:26" x14ac:dyDescent="0.35">
      <c r="A183" s="148" t="s">
        <v>893</v>
      </c>
      <c r="B183" s="148"/>
      <c r="C183" s="148" t="s">
        <v>1219</v>
      </c>
      <c r="D183" s="148"/>
      <c r="E183" s="148"/>
      <c r="F183" s="148"/>
      <c r="G183" s="148"/>
      <c r="H183" s="148"/>
      <c r="I183" s="148"/>
      <c r="J183" s="148"/>
      <c r="K183" s="148">
        <v>0.13900000000000001</v>
      </c>
      <c r="L183" s="148"/>
      <c r="M183" s="148"/>
      <c r="N183" s="148"/>
      <c r="O183" s="148">
        <v>4.3999999999999999E-5</v>
      </c>
      <c r="P183" s="148" t="s">
        <v>1220</v>
      </c>
      <c r="Q183" s="148" t="s">
        <v>1221</v>
      </c>
      <c r="R183" s="148"/>
      <c r="S183" s="148"/>
      <c r="T183" s="148"/>
      <c r="U183" s="148"/>
      <c r="V183" s="148"/>
      <c r="W183" s="148"/>
      <c r="X183" s="148"/>
      <c r="Y183" s="148"/>
      <c r="Z183" s="148"/>
    </row>
    <row r="184" spans="1:26" x14ac:dyDescent="0.35">
      <c r="A184" s="148" t="s">
        <v>893</v>
      </c>
      <c r="B184" s="148"/>
      <c r="C184" s="148" t="s">
        <v>1222</v>
      </c>
      <c r="D184" s="148"/>
      <c r="E184" s="148"/>
      <c r="F184" s="148"/>
      <c r="G184" s="148"/>
      <c r="H184" s="148"/>
      <c r="I184" s="148"/>
      <c r="J184" s="148"/>
      <c r="K184" s="148">
        <v>0.79369999999999996</v>
      </c>
      <c r="L184" s="148"/>
      <c r="M184" s="148"/>
      <c r="N184" s="148"/>
      <c r="O184" s="148">
        <v>1.1000000000000001E-3</v>
      </c>
      <c r="P184" s="148" t="s">
        <v>1223</v>
      </c>
      <c r="Q184" s="148" t="s">
        <v>1224</v>
      </c>
      <c r="R184" s="148"/>
      <c r="S184" s="148"/>
      <c r="T184" s="148"/>
      <c r="U184" s="148"/>
      <c r="V184" s="148"/>
      <c r="W184" s="148"/>
      <c r="X184" s="148"/>
      <c r="Y184" s="148"/>
      <c r="Z184" s="148"/>
    </row>
    <row r="185" spans="1:26" x14ac:dyDescent="0.35">
      <c r="A185" s="156" t="s">
        <v>893</v>
      </c>
      <c r="B185" s="156" t="s">
        <v>1225</v>
      </c>
      <c r="C185" s="156"/>
      <c r="D185" s="156"/>
      <c r="E185" s="156"/>
      <c r="F185" s="156"/>
      <c r="G185" s="156"/>
      <c r="H185" s="156"/>
      <c r="I185" s="156"/>
      <c r="J185" s="156"/>
      <c r="K185" s="156">
        <v>61.9</v>
      </c>
      <c r="L185" s="156"/>
      <c r="M185" s="156"/>
      <c r="N185" s="156"/>
      <c r="O185" s="156"/>
      <c r="P185" s="156" t="s">
        <v>1226</v>
      </c>
      <c r="Q185" s="156" t="s">
        <v>1227</v>
      </c>
      <c r="R185" s="156"/>
      <c r="S185" s="156"/>
      <c r="T185" s="156"/>
      <c r="U185" s="156"/>
      <c r="V185" s="156"/>
      <c r="W185" s="156"/>
      <c r="X185" s="156"/>
      <c r="Y185" s="156"/>
      <c r="Z185" s="156"/>
    </row>
    <row r="186" spans="1:26" x14ac:dyDescent="0.35">
      <c r="A186" s="156" t="s">
        <v>893</v>
      </c>
      <c r="B186" s="156" t="s">
        <v>1228</v>
      </c>
      <c r="C186" s="156"/>
      <c r="D186" s="156"/>
      <c r="E186" s="156"/>
      <c r="F186" s="156"/>
      <c r="G186" s="156"/>
      <c r="H186" s="156"/>
      <c r="I186" s="156"/>
      <c r="J186" s="156"/>
      <c r="K186" s="156">
        <v>8.4820000000000011</v>
      </c>
      <c r="L186" s="156"/>
      <c r="M186" s="156"/>
      <c r="N186" s="156"/>
      <c r="O186" s="156"/>
      <c r="P186" s="156"/>
      <c r="Q186" s="156" t="s">
        <v>1229</v>
      </c>
      <c r="R186" s="156"/>
      <c r="S186" s="156"/>
      <c r="T186" s="156"/>
      <c r="U186" s="156"/>
      <c r="V186" s="156"/>
      <c r="W186" s="156"/>
      <c r="X186" s="156"/>
      <c r="Y186" s="156"/>
      <c r="Z186" s="156"/>
    </row>
    <row r="187" spans="1:26" x14ac:dyDescent="0.35">
      <c r="A187" s="148" t="s">
        <v>893</v>
      </c>
      <c r="B187" s="148"/>
      <c r="C187" s="148" t="s">
        <v>1230</v>
      </c>
      <c r="D187" s="148"/>
      <c r="E187" s="148"/>
      <c r="F187" s="148"/>
      <c r="G187" s="148"/>
      <c r="H187" s="148"/>
      <c r="I187" s="148"/>
      <c r="J187" s="148"/>
      <c r="K187" s="148">
        <v>0.19800000000000001</v>
      </c>
      <c r="L187" s="148"/>
      <c r="M187" s="148"/>
      <c r="N187" s="148"/>
      <c r="O187" s="148"/>
      <c r="P187" s="148" t="s">
        <v>1231</v>
      </c>
      <c r="Q187" s="148" t="s">
        <v>1232</v>
      </c>
      <c r="R187" s="148"/>
      <c r="S187" s="148"/>
      <c r="T187" s="148"/>
      <c r="U187" s="148"/>
      <c r="V187" s="148"/>
      <c r="W187" s="148"/>
      <c r="X187" s="148"/>
      <c r="Y187" s="148"/>
      <c r="Z187" s="148"/>
    </row>
    <row r="188" spans="1:26" x14ac:dyDescent="0.35">
      <c r="A188" s="148" t="s">
        <v>893</v>
      </c>
      <c r="B188" s="148"/>
      <c r="C188" s="148" t="s">
        <v>1233</v>
      </c>
      <c r="D188" s="148"/>
      <c r="E188" s="148"/>
      <c r="F188" s="148"/>
      <c r="G188" s="148"/>
      <c r="H188" s="148"/>
      <c r="I188" s="148"/>
      <c r="J188" s="148"/>
      <c r="K188" s="148">
        <v>6.0129999999999999</v>
      </c>
      <c r="L188" s="148"/>
      <c r="M188" s="148"/>
      <c r="N188" s="148"/>
      <c r="O188" s="148"/>
      <c r="P188" s="148" t="s">
        <v>1234</v>
      </c>
      <c r="Q188" s="148" t="s">
        <v>1235</v>
      </c>
      <c r="R188" s="148"/>
      <c r="S188" s="148"/>
      <c r="T188" s="148"/>
      <c r="U188" s="148"/>
      <c r="V188" s="148"/>
      <c r="W188" s="148"/>
      <c r="X188" s="148"/>
      <c r="Y188" s="148"/>
      <c r="Z188" s="148"/>
    </row>
    <row r="189" spans="1:26" x14ac:dyDescent="0.35">
      <c r="A189" s="148" t="s">
        <v>893</v>
      </c>
      <c r="B189" s="148"/>
      <c r="C189" s="148" t="s">
        <v>1236</v>
      </c>
      <c r="D189" s="148"/>
      <c r="E189" s="148"/>
      <c r="F189" s="148"/>
      <c r="G189" s="148"/>
      <c r="H189" s="148"/>
      <c r="I189" s="148"/>
      <c r="J189" s="148"/>
      <c r="K189" s="148">
        <v>4.3499999999999996</v>
      </c>
      <c r="L189" s="148"/>
      <c r="M189" s="148"/>
      <c r="N189" s="148"/>
      <c r="O189" s="148"/>
      <c r="P189" s="148" t="s">
        <v>1234</v>
      </c>
      <c r="Q189" s="148" t="s">
        <v>1237</v>
      </c>
      <c r="R189" s="148"/>
      <c r="S189" s="148"/>
      <c r="T189" s="148"/>
      <c r="U189" s="148"/>
      <c r="V189" s="148"/>
      <c r="W189" s="148"/>
      <c r="X189" s="148"/>
      <c r="Y189" s="148"/>
      <c r="Z189" s="148"/>
    </row>
    <row r="190" spans="1:26" x14ac:dyDescent="0.35">
      <c r="A190" s="148" t="s">
        <v>893</v>
      </c>
      <c r="B190" s="148"/>
      <c r="C190" s="148" t="s">
        <v>1238</v>
      </c>
      <c r="D190" s="148"/>
      <c r="E190" s="148"/>
      <c r="F190" s="148"/>
      <c r="G190" s="148"/>
      <c r="H190" s="148"/>
      <c r="I190" s="148"/>
      <c r="J190" s="148"/>
      <c r="K190" s="148">
        <v>5.5129999999999999</v>
      </c>
      <c r="L190" s="148"/>
      <c r="M190" s="148"/>
      <c r="N190" s="148"/>
      <c r="O190" s="148"/>
      <c r="P190" s="148" t="s">
        <v>1234</v>
      </c>
      <c r="Q190" s="148" t="s">
        <v>1239</v>
      </c>
      <c r="R190" s="148"/>
      <c r="S190" s="148"/>
      <c r="T190" s="148"/>
      <c r="U190" s="148"/>
      <c r="V190" s="148"/>
      <c r="W190" s="148"/>
      <c r="X190" s="148"/>
      <c r="Y190" s="148"/>
      <c r="Z190" s="148"/>
    </row>
    <row r="191" spans="1:26" x14ac:dyDescent="0.35">
      <c r="A191" s="148" t="s">
        <v>893</v>
      </c>
      <c r="B191" s="148"/>
      <c r="C191" s="148" t="s">
        <v>1240</v>
      </c>
      <c r="D191" s="148"/>
      <c r="E191" s="148"/>
      <c r="F191" s="148"/>
      <c r="G191" s="148"/>
      <c r="H191" s="148"/>
      <c r="I191" s="148"/>
      <c r="J191" s="148"/>
      <c r="K191" s="148">
        <v>1.516</v>
      </c>
      <c r="L191" s="148"/>
      <c r="M191" s="148"/>
      <c r="N191" s="148"/>
      <c r="O191" s="148"/>
      <c r="P191" s="148" t="s">
        <v>1231</v>
      </c>
      <c r="Q191" s="148" t="s">
        <v>1241</v>
      </c>
      <c r="R191" s="148"/>
      <c r="S191" s="148"/>
      <c r="T191" s="148"/>
      <c r="U191" s="148"/>
      <c r="V191" s="148"/>
      <c r="W191" s="148"/>
      <c r="X191" s="148"/>
      <c r="Y191" s="148"/>
      <c r="Z191" s="148"/>
    </row>
    <row r="192" spans="1:26" x14ac:dyDescent="0.35">
      <c r="A192" s="148" t="s">
        <v>893</v>
      </c>
      <c r="B192" s="148"/>
      <c r="C192" s="148" t="s">
        <v>1242</v>
      </c>
      <c r="D192" s="148"/>
      <c r="E192" s="148"/>
      <c r="F192" s="148"/>
      <c r="G192" s="148"/>
      <c r="H192" s="148"/>
      <c r="I192" s="148"/>
      <c r="J192" s="148"/>
      <c r="K192" s="148">
        <v>2.14</v>
      </c>
      <c r="L192" s="148"/>
      <c r="M192" s="148"/>
      <c r="N192" s="148"/>
      <c r="O192" s="148"/>
      <c r="P192" s="148" t="s">
        <v>1234</v>
      </c>
      <c r="Q192" s="148" t="s">
        <v>1243</v>
      </c>
      <c r="R192" s="148"/>
      <c r="S192" s="148"/>
      <c r="T192" s="148"/>
      <c r="U192" s="148"/>
      <c r="V192" s="148"/>
      <c r="W192" s="148"/>
      <c r="X192" s="148"/>
      <c r="Y192" s="148"/>
      <c r="Z192" s="148"/>
    </row>
    <row r="193" spans="1:26" x14ac:dyDescent="0.35">
      <c r="A193" s="148" t="s">
        <v>893</v>
      </c>
      <c r="B193" s="148"/>
      <c r="C193" s="148" t="s">
        <v>1244</v>
      </c>
      <c r="D193" s="148"/>
      <c r="E193" s="148"/>
      <c r="F193" s="148"/>
      <c r="G193" s="148"/>
      <c r="H193" s="148"/>
      <c r="I193" s="148"/>
      <c r="J193" s="148"/>
      <c r="K193" s="148">
        <v>0.159</v>
      </c>
      <c r="L193" s="148"/>
      <c r="M193" s="148"/>
      <c r="N193" s="148"/>
      <c r="O193" s="148"/>
      <c r="P193" s="148" t="s">
        <v>1231</v>
      </c>
      <c r="Q193" s="148" t="s">
        <v>1245</v>
      </c>
      <c r="R193" s="148"/>
      <c r="S193" s="148"/>
      <c r="T193" s="148"/>
      <c r="U193" s="148"/>
      <c r="V193" s="148"/>
      <c r="W193" s="148"/>
      <c r="X193" s="148"/>
      <c r="Y193" s="148"/>
      <c r="Z193" s="148"/>
    </row>
    <row r="194" spans="1:26" x14ac:dyDescent="0.35">
      <c r="A194" s="148" t="s">
        <v>893</v>
      </c>
      <c r="B194" s="148"/>
      <c r="C194" s="148" t="s">
        <v>1246</v>
      </c>
      <c r="D194" s="148"/>
      <c r="E194" s="148"/>
      <c r="F194" s="148"/>
      <c r="G194" s="148"/>
      <c r="H194" s="148"/>
      <c r="I194" s="148"/>
      <c r="J194" s="148"/>
      <c r="K194" s="148">
        <v>0.11899999999999999</v>
      </c>
      <c r="L194" s="148"/>
      <c r="M194" s="148"/>
      <c r="N194" s="148"/>
      <c r="O194" s="148"/>
      <c r="P194" s="148" t="s">
        <v>1231</v>
      </c>
      <c r="Q194" s="148" t="s">
        <v>1247</v>
      </c>
      <c r="R194" s="148"/>
      <c r="S194" s="148"/>
      <c r="T194" s="148"/>
      <c r="U194" s="148"/>
      <c r="V194" s="148"/>
      <c r="W194" s="148"/>
      <c r="X194" s="148"/>
      <c r="Y194" s="148"/>
      <c r="Z194" s="148"/>
    </row>
    <row r="195" spans="1:26" x14ac:dyDescent="0.35">
      <c r="A195" s="156" t="s">
        <v>1003</v>
      </c>
      <c r="B195" s="156" t="s">
        <v>1248</v>
      </c>
      <c r="C195" s="156" t="s">
        <v>1249</v>
      </c>
      <c r="D195" s="156">
        <v>36300</v>
      </c>
      <c r="E195" s="156">
        <v>8854</v>
      </c>
      <c r="F195" s="156"/>
      <c r="G195" s="156"/>
      <c r="H195" s="157">
        <v>31.302199999999999</v>
      </c>
      <c r="I195" s="156"/>
      <c r="J195" s="156"/>
      <c r="K195" s="161" t="s">
        <v>958</v>
      </c>
      <c r="L195" s="162">
        <v>657000000</v>
      </c>
      <c r="M195" s="163">
        <v>40580000</v>
      </c>
      <c r="N195" s="156"/>
      <c r="O195" s="156">
        <v>0.14000000000000001</v>
      </c>
      <c r="P195" s="156" t="s">
        <v>1250</v>
      </c>
      <c r="Q195" s="156" t="s">
        <v>1251</v>
      </c>
      <c r="R195" s="164" t="s">
        <v>1252</v>
      </c>
      <c r="S195" s="164" t="s">
        <v>1253</v>
      </c>
      <c r="T195" s="156"/>
      <c r="U195" s="156"/>
      <c r="V195" s="156"/>
      <c r="W195" s="156"/>
      <c r="X195" s="156"/>
      <c r="Y195" s="156"/>
      <c r="Z195" s="156"/>
    </row>
    <row r="196" spans="1:26" x14ac:dyDescent="0.35">
      <c r="A196" s="148" t="s">
        <v>1003</v>
      </c>
      <c r="B196" s="148"/>
      <c r="C196" s="148" t="s">
        <v>1254</v>
      </c>
      <c r="D196" s="148"/>
      <c r="E196" s="148"/>
      <c r="F196" s="148"/>
      <c r="G196" s="148"/>
      <c r="H196" s="148"/>
      <c r="I196" s="148"/>
      <c r="J196" s="148"/>
      <c r="K196" s="148"/>
      <c r="L196" s="148"/>
      <c r="M196" s="148"/>
      <c r="N196" s="148"/>
      <c r="O196" s="148"/>
      <c r="P196" s="148"/>
      <c r="Q196" s="151" t="s">
        <v>1255</v>
      </c>
      <c r="R196" s="151" t="s">
        <v>1256</v>
      </c>
      <c r="S196" s="151" t="s">
        <v>1253</v>
      </c>
      <c r="T196" s="148"/>
      <c r="U196" s="148"/>
      <c r="V196" s="148"/>
      <c r="W196" s="148"/>
      <c r="X196" s="148"/>
      <c r="Y196" s="148"/>
      <c r="Z196" s="148"/>
    </row>
    <row r="197" spans="1:26" x14ac:dyDescent="0.35">
      <c r="A197" s="148" t="s">
        <v>1003</v>
      </c>
      <c r="B197" s="148"/>
      <c r="C197" s="148" t="s">
        <v>1257</v>
      </c>
      <c r="D197" s="148"/>
      <c r="E197" s="148"/>
      <c r="F197" s="148"/>
      <c r="G197" s="148"/>
      <c r="H197" s="148"/>
      <c r="I197" s="148"/>
      <c r="J197" s="148"/>
      <c r="K197" s="148"/>
      <c r="L197" s="148"/>
      <c r="M197" s="148"/>
      <c r="N197" s="148"/>
      <c r="O197" s="148"/>
      <c r="P197" s="148"/>
      <c r="Q197" s="151" t="s">
        <v>1255</v>
      </c>
      <c r="R197" s="151" t="s">
        <v>1256</v>
      </c>
      <c r="S197" s="151" t="s">
        <v>1253</v>
      </c>
      <c r="T197" s="148"/>
      <c r="U197" s="148"/>
      <c r="V197" s="148"/>
      <c r="W197" s="148"/>
      <c r="X197" s="148"/>
      <c r="Y197" s="148"/>
      <c r="Z197" s="148"/>
    </row>
    <row r="198" spans="1:26" x14ac:dyDescent="0.35">
      <c r="A198" s="148" t="s">
        <v>1003</v>
      </c>
      <c r="B198" s="148"/>
      <c r="C198" s="148" t="s">
        <v>1258</v>
      </c>
      <c r="D198" s="148"/>
      <c r="E198" s="148"/>
      <c r="F198" s="148"/>
      <c r="G198" s="148"/>
      <c r="H198" s="148"/>
      <c r="I198" s="148"/>
      <c r="J198" s="148"/>
      <c r="K198" s="148"/>
      <c r="L198" s="148"/>
      <c r="M198" s="148"/>
      <c r="N198" s="148"/>
      <c r="O198" s="148"/>
      <c r="P198" s="148"/>
      <c r="Q198" s="151" t="s">
        <v>1255</v>
      </c>
      <c r="R198" s="151" t="s">
        <v>1256</v>
      </c>
      <c r="S198" s="151" t="s">
        <v>1253</v>
      </c>
      <c r="T198" s="148"/>
      <c r="U198" s="148"/>
      <c r="V198" s="148"/>
      <c r="W198" s="148"/>
      <c r="X198" s="148"/>
      <c r="Y198" s="148"/>
      <c r="Z198" s="148"/>
    </row>
    <row r="199" spans="1:26" x14ac:dyDescent="0.35">
      <c r="A199" s="148" t="s">
        <v>1003</v>
      </c>
      <c r="B199" s="148"/>
      <c r="C199" s="148" t="s">
        <v>1259</v>
      </c>
      <c r="D199" s="148"/>
      <c r="E199" s="148">
        <v>6804</v>
      </c>
      <c r="F199" s="148"/>
      <c r="G199" s="148"/>
      <c r="H199" s="148"/>
      <c r="I199" s="148"/>
      <c r="J199" s="148"/>
      <c r="K199" s="148"/>
      <c r="L199" s="148"/>
      <c r="M199" s="148"/>
      <c r="N199" s="148">
        <v>2.3800000000000002E-2</v>
      </c>
      <c r="O199" s="148"/>
      <c r="P199" s="148"/>
      <c r="Q199" s="151" t="s">
        <v>1255</v>
      </c>
      <c r="R199" s="151" t="s">
        <v>1256</v>
      </c>
      <c r="S199" s="151" t="s">
        <v>1253</v>
      </c>
      <c r="T199" s="148"/>
      <c r="U199" s="148"/>
      <c r="V199" s="148"/>
      <c r="W199" s="148"/>
      <c r="X199" s="148"/>
      <c r="Y199" s="148"/>
      <c r="Z199" s="148"/>
    </row>
    <row r="200" spans="1:26" x14ac:dyDescent="0.35">
      <c r="A200" s="148" t="s">
        <v>1003</v>
      </c>
      <c r="B200" s="148"/>
      <c r="C200" s="148" t="s">
        <v>1260</v>
      </c>
      <c r="D200" s="148" t="s">
        <v>1261</v>
      </c>
      <c r="E200" s="148"/>
      <c r="F200" s="148"/>
      <c r="G200" s="148"/>
      <c r="H200" s="148"/>
      <c r="I200" s="148"/>
      <c r="J200" s="148"/>
      <c r="K200" s="148"/>
      <c r="L200" s="148"/>
      <c r="M200" s="148"/>
      <c r="N200" s="148"/>
      <c r="O200" s="148"/>
      <c r="P200" s="148" t="s">
        <v>1262</v>
      </c>
      <c r="Q200" s="151" t="s">
        <v>1255</v>
      </c>
      <c r="R200" s="151" t="s">
        <v>1256</v>
      </c>
      <c r="S200" s="151" t="s">
        <v>1253</v>
      </c>
      <c r="T200" s="148"/>
      <c r="U200" s="148"/>
      <c r="V200" s="148"/>
      <c r="W200" s="148"/>
      <c r="X200" s="148"/>
      <c r="Y200" s="148"/>
      <c r="Z200" s="148"/>
    </row>
    <row r="201" spans="1:26" x14ac:dyDescent="0.35">
      <c r="A201" s="148" t="s">
        <v>1003</v>
      </c>
      <c r="B201" s="148"/>
      <c r="C201" s="148" t="s">
        <v>1263</v>
      </c>
      <c r="D201" s="148"/>
      <c r="E201" s="148"/>
      <c r="F201" s="148"/>
      <c r="G201" s="148"/>
      <c r="H201" s="148"/>
      <c r="I201" s="148"/>
      <c r="J201" s="148"/>
      <c r="K201" s="148"/>
      <c r="L201" s="148"/>
      <c r="M201" s="148"/>
      <c r="N201" s="148"/>
      <c r="O201" s="148"/>
      <c r="P201" s="148"/>
      <c r="Q201" s="151" t="s">
        <v>1255</v>
      </c>
      <c r="R201" s="151" t="s">
        <v>1256</v>
      </c>
      <c r="S201" s="151" t="s">
        <v>1253</v>
      </c>
      <c r="T201" s="148"/>
      <c r="U201" s="148"/>
      <c r="V201" s="148"/>
      <c r="W201" s="148"/>
      <c r="X201" s="148"/>
      <c r="Y201" s="148"/>
      <c r="Z201" s="148"/>
    </row>
    <row r="202" spans="1:26" x14ac:dyDescent="0.35">
      <c r="A202" s="148" t="s">
        <v>1003</v>
      </c>
      <c r="B202" s="148"/>
      <c r="C202" s="148" t="s">
        <v>1264</v>
      </c>
      <c r="D202" s="148"/>
      <c r="E202" s="148"/>
      <c r="F202" s="148"/>
      <c r="G202" s="148"/>
      <c r="H202" s="148"/>
      <c r="I202" s="148"/>
      <c r="J202" s="148"/>
      <c r="K202" s="148"/>
      <c r="L202" s="148"/>
      <c r="M202" s="148"/>
      <c r="N202" s="148"/>
      <c r="O202" s="148"/>
      <c r="P202" s="148"/>
      <c r="Q202" s="151" t="s">
        <v>1255</v>
      </c>
      <c r="R202" s="151" t="s">
        <v>1256</v>
      </c>
      <c r="S202" s="151" t="s">
        <v>1253</v>
      </c>
      <c r="T202" s="148"/>
      <c r="U202" s="148"/>
      <c r="V202" s="148"/>
      <c r="W202" s="148"/>
      <c r="X202" s="148"/>
      <c r="Y202" s="148"/>
      <c r="Z202" s="148"/>
    </row>
    <row r="203" spans="1:26" x14ac:dyDescent="0.35">
      <c r="A203" s="156" t="s">
        <v>960</v>
      </c>
      <c r="B203" s="156" t="s">
        <v>1265</v>
      </c>
      <c r="C203" s="156" t="s">
        <v>1249</v>
      </c>
      <c r="D203" s="156">
        <v>5740</v>
      </c>
      <c r="E203" s="156"/>
      <c r="F203" s="156" t="s">
        <v>1266</v>
      </c>
      <c r="G203" s="156"/>
      <c r="H203" s="157">
        <v>14.210526315789474</v>
      </c>
      <c r="I203" s="156"/>
      <c r="J203" s="156"/>
      <c r="K203" s="161">
        <v>0.14425087108013937</v>
      </c>
      <c r="L203" s="156"/>
      <c r="M203" s="156"/>
      <c r="N203" s="156"/>
      <c r="O203" s="156">
        <v>3.6999999999999998E-2</v>
      </c>
      <c r="P203" s="156" t="s">
        <v>1267</v>
      </c>
      <c r="Q203" s="156" t="s">
        <v>1251</v>
      </c>
      <c r="R203" s="164" t="s">
        <v>1252</v>
      </c>
      <c r="S203" s="164" t="s">
        <v>1268</v>
      </c>
      <c r="T203" s="164" t="s">
        <v>1269</v>
      </c>
      <c r="U203" s="156"/>
      <c r="V203" s="156"/>
      <c r="W203" s="156"/>
      <c r="X203" s="156"/>
      <c r="Y203" s="156"/>
      <c r="Z203" s="156"/>
    </row>
    <row r="204" spans="1:26" x14ac:dyDescent="0.35">
      <c r="A204" s="148" t="s">
        <v>960</v>
      </c>
      <c r="B204" s="148"/>
      <c r="C204" s="148" t="s">
        <v>1270</v>
      </c>
      <c r="D204" s="148"/>
      <c r="E204" s="148"/>
      <c r="F204" s="148" t="s">
        <v>1271</v>
      </c>
      <c r="G204" s="148"/>
      <c r="H204" s="168"/>
      <c r="I204" s="148"/>
      <c r="J204" s="148"/>
      <c r="K204" s="148"/>
      <c r="L204" s="148"/>
      <c r="M204" s="148"/>
      <c r="N204" s="148"/>
      <c r="O204" s="148"/>
      <c r="P204" s="148" t="s">
        <v>1272</v>
      </c>
      <c r="Q204" s="151" t="s">
        <v>1269</v>
      </c>
      <c r="R204" s="151"/>
      <c r="S204" s="151"/>
      <c r="T204" s="148"/>
      <c r="U204" s="148"/>
      <c r="V204" s="148"/>
      <c r="W204" s="148"/>
      <c r="X204" s="148"/>
      <c r="Y204" s="148"/>
      <c r="Z204" s="148"/>
    </row>
    <row r="205" spans="1:26" x14ac:dyDescent="0.35">
      <c r="A205" s="148" t="s">
        <v>960</v>
      </c>
      <c r="B205" s="148"/>
      <c r="C205" s="148" t="s">
        <v>1273</v>
      </c>
      <c r="D205" s="148"/>
      <c r="E205" s="148"/>
      <c r="F205" s="148">
        <v>15</v>
      </c>
      <c r="G205" s="148" t="s">
        <v>1274</v>
      </c>
      <c r="H205" s="168"/>
      <c r="I205" s="148"/>
      <c r="J205" s="148"/>
      <c r="K205" s="148"/>
      <c r="L205" s="148"/>
      <c r="M205" s="148"/>
      <c r="N205" s="148"/>
      <c r="O205" s="148"/>
      <c r="P205" s="148" t="s">
        <v>1275</v>
      </c>
      <c r="Q205" s="151" t="s">
        <v>1269</v>
      </c>
      <c r="R205" s="151"/>
      <c r="S205" s="151"/>
      <c r="T205" s="148"/>
      <c r="U205" s="148"/>
      <c r="V205" s="148"/>
      <c r="W205" s="148"/>
      <c r="X205" s="148"/>
      <c r="Y205" s="148"/>
      <c r="Z205" s="148"/>
    </row>
    <row r="206" spans="1:26" x14ac:dyDescent="0.35">
      <c r="A206" s="148" t="s">
        <v>960</v>
      </c>
      <c r="B206" s="148"/>
      <c r="C206" s="148" t="s">
        <v>1276</v>
      </c>
      <c r="D206" s="148"/>
      <c r="E206" s="148"/>
      <c r="F206" s="148">
        <v>15</v>
      </c>
      <c r="G206" s="148"/>
      <c r="H206" s="148"/>
      <c r="I206" s="148"/>
      <c r="J206" s="148"/>
      <c r="K206" s="148"/>
      <c r="L206" s="148"/>
      <c r="M206" s="148"/>
      <c r="N206" s="148"/>
      <c r="O206" s="148"/>
      <c r="P206" s="148" t="s">
        <v>1277</v>
      </c>
      <c r="Q206" s="151" t="s">
        <v>1269</v>
      </c>
      <c r="R206" s="148"/>
      <c r="S206" s="148"/>
      <c r="T206" s="148"/>
      <c r="U206" s="148"/>
      <c r="V206" s="148"/>
      <c r="W206" s="148"/>
      <c r="X206" s="148"/>
      <c r="Y206" s="148"/>
      <c r="Z206" s="148"/>
    </row>
    <row r="207" spans="1:26" x14ac:dyDescent="0.35">
      <c r="A207" s="148" t="s">
        <v>960</v>
      </c>
      <c r="B207" s="148"/>
      <c r="C207" s="148" t="s">
        <v>1278</v>
      </c>
      <c r="D207" s="148"/>
      <c r="E207" s="148"/>
      <c r="F207" s="148">
        <v>60</v>
      </c>
      <c r="G207" s="148"/>
      <c r="H207" s="148"/>
      <c r="I207" s="148"/>
      <c r="J207" s="148"/>
      <c r="K207" s="148"/>
      <c r="L207" s="148"/>
      <c r="M207" s="148"/>
      <c r="N207" s="148"/>
      <c r="O207" s="148"/>
      <c r="P207" s="148" t="s">
        <v>1277</v>
      </c>
      <c r="Q207" s="151" t="s">
        <v>1269</v>
      </c>
      <c r="R207" s="148"/>
      <c r="S207" s="148"/>
      <c r="T207" s="148"/>
      <c r="U207" s="148"/>
      <c r="V207" s="148"/>
      <c r="W207" s="148"/>
      <c r="X207" s="148"/>
      <c r="Y207" s="148"/>
      <c r="Z207" s="148"/>
    </row>
    <row r="212" spans="1:4" x14ac:dyDescent="0.35">
      <c r="A212" s="172" t="s">
        <v>1279</v>
      </c>
    </row>
    <row r="213" spans="1:4" s="172" customFormat="1" x14ac:dyDescent="0.35">
      <c r="A213" s="172" t="s">
        <v>1280</v>
      </c>
      <c r="B213" s="152" t="s">
        <v>1281</v>
      </c>
      <c r="C213" s="172" t="s">
        <v>1282</v>
      </c>
      <c r="D213" s="172" t="s">
        <v>1283</v>
      </c>
    </row>
    <row r="214" spans="1:4" x14ac:dyDescent="0.35">
      <c r="A214" s="172" t="s">
        <v>962</v>
      </c>
      <c r="B214" s="167" t="s">
        <v>1284</v>
      </c>
      <c r="D214" s="138">
        <v>0.9</v>
      </c>
    </row>
    <row r="215" spans="1:4" x14ac:dyDescent="0.35">
      <c r="A215" s="172"/>
      <c r="B215" s="167" t="s">
        <v>1285</v>
      </c>
      <c r="D215" s="138">
        <v>0.04</v>
      </c>
    </row>
    <row r="216" spans="1:4" x14ac:dyDescent="0.35">
      <c r="A216" s="172"/>
      <c r="B216" s="167" t="s">
        <v>1286</v>
      </c>
      <c r="D216" s="138">
        <v>0.05</v>
      </c>
    </row>
    <row r="217" spans="1:4" x14ac:dyDescent="0.35">
      <c r="A217" s="172"/>
      <c r="B217" s="167" t="s">
        <v>1284</v>
      </c>
      <c r="C217" s="138" t="s">
        <v>1287</v>
      </c>
      <c r="D217" s="138">
        <f>0.01*0.01</f>
        <v>1E-4</v>
      </c>
    </row>
    <row r="218" spans="1:4" x14ac:dyDescent="0.35">
      <c r="A218" s="172"/>
      <c r="B218" s="167" t="s">
        <v>1285</v>
      </c>
      <c r="C218" s="138" t="s">
        <v>1287</v>
      </c>
      <c r="D218" s="138">
        <f>0.01*0.32</f>
        <v>3.2000000000000002E-3</v>
      </c>
    </row>
    <row r="219" spans="1:4" x14ac:dyDescent="0.35">
      <c r="A219" s="172"/>
      <c r="B219" s="167" t="s">
        <v>1286</v>
      </c>
      <c r="C219" s="138" t="s">
        <v>1287</v>
      </c>
      <c r="D219" s="138">
        <f>0.01*0.19</f>
        <v>1.9E-3</v>
      </c>
    </row>
    <row r="220" spans="1:4" x14ac:dyDescent="0.35">
      <c r="A220" s="172"/>
      <c r="B220" s="167" t="s">
        <v>1288</v>
      </c>
      <c r="C220" s="138" t="s">
        <v>1287</v>
      </c>
      <c r="D220" s="138">
        <f>0.01*0.26</f>
        <v>2.6000000000000003E-3</v>
      </c>
    </row>
    <row r="221" spans="1:4" x14ac:dyDescent="0.35">
      <c r="A221" s="172"/>
      <c r="B221" s="167" t="s">
        <v>1289</v>
      </c>
      <c r="C221" s="138" t="s">
        <v>1287</v>
      </c>
      <c r="D221" s="138">
        <f>0.01*0.22</f>
        <v>2.2000000000000001E-3</v>
      </c>
    </row>
    <row r="222" spans="1:4" x14ac:dyDescent="0.35">
      <c r="A222" s="172" t="s">
        <v>1290</v>
      </c>
      <c r="B222" s="167" t="s">
        <v>1284</v>
      </c>
      <c r="D222" s="138">
        <v>0.34</v>
      </c>
    </row>
    <row r="223" spans="1:4" x14ac:dyDescent="0.35">
      <c r="A223" s="172"/>
      <c r="B223" s="167" t="s">
        <v>1285</v>
      </c>
      <c r="D223" s="138">
        <v>0.4</v>
      </c>
    </row>
    <row r="224" spans="1:4" x14ac:dyDescent="0.35">
      <c r="A224" s="172"/>
      <c r="B224" s="167" t="s">
        <v>1286</v>
      </c>
      <c r="D224" s="138">
        <v>0.09</v>
      </c>
    </row>
    <row r="225" spans="1:4" x14ac:dyDescent="0.35">
      <c r="A225" s="172"/>
      <c r="B225" s="167" t="s">
        <v>1288</v>
      </c>
      <c r="D225" s="138">
        <v>0.04</v>
      </c>
    </row>
    <row r="226" spans="1:4" x14ac:dyDescent="0.35">
      <c r="A226" s="172"/>
      <c r="B226" s="167" t="s">
        <v>1284</v>
      </c>
      <c r="C226" s="138" t="s">
        <v>1287</v>
      </c>
      <c r="D226" s="138">
        <f>0.13*0.01</f>
        <v>1.3000000000000002E-3</v>
      </c>
    </row>
    <row r="227" spans="1:4" x14ac:dyDescent="0.35">
      <c r="A227" s="172"/>
      <c r="B227" s="167" t="s">
        <v>1285</v>
      </c>
      <c r="C227" s="138" t="s">
        <v>1287</v>
      </c>
      <c r="D227" s="138">
        <f>0.13*0.32</f>
        <v>4.1600000000000005E-2</v>
      </c>
    </row>
    <row r="228" spans="1:4" x14ac:dyDescent="0.35">
      <c r="A228" s="172"/>
      <c r="B228" s="167" t="s">
        <v>1286</v>
      </c>
      <c r="C228" s="138" t="s">
        <v>1287</v>
      </c>
      <c r="D228" s="138">
        <f>0.13*0.19</f>
        <v>2.47E-2</v>
      </c>
    </row>
    <row r="229" spans="1:4" x14ac:dyDescent="0.35">
      <c r="A229" s="172"/>
      <c r="B229" s="167" t="s">
        <v>1288</v>
      </c>
      <c r="C229" s="138" t="s">
        <v>1287</v>
      </c>
      <c r="D229" s="138">
        <f>0.13*0.26</f>
        <v>3.3800000000000004E-2</v>
      </c>
    </row>
    <row r="230" spans="1:4" x14ac:dyDescent="0.35">
      <c r="A230" s="172"/>
      <c r="B230" s="167" t="s">
        <v>1289</v>
      </c>
      <c r="C230" s="138" t="s">
        <v>1287</v>
      </c>
      <c r="D230" s="138">
        <f>0.13*0.22</f>
        <v>2.86E-2</v>
      </c>
    </row>
    <row r="231" spans="1:4" x14ac:dyDescent="0.35">
      <c r="A231" s="172" t="s">
        <v>1291</v>
      </c>
      <c r="B231" s="167" t="s">
        <v>1284</v>
      </c>
      <c r="D231" s="138">
        <v>0.08</v>
      </c>
    </row>
    <row r="232" spans="1:4" x14ac:dyDescent="0.35">
      <c r="A232" s="172"/>
      <c r="B232" s="167" t="s">
        <v>1285</v>
      </c>
      <c r="D232" s="138">
        <v>0.42</v>
      </c>
    </row>
    <row r="233" spans="1:4" x14ac:dyDescent="0.35">
      <c r="A233" s="172"/>
      <c r="B233" s="167" t="s">
        <v>1286</v>
      </c>
      <c r="D233" s="138">
        <v>7.0000000000000007E-2</v>
      </c>
    </row>
    <row r="234" spans="1:4" x14ac:dyDescent="0.35">
      <c r="A234" s="172"/>
      <c r="B234" s="167" t="s">
        <v>1284</v>
      </c>
      <c r="C234" s="138" t="s">
        <v>1287</v>
      </c>
      <c r="D234" s="138">
        <f>0.43*0.01</f>
        <v>4.3E-3</v>
      </c>
    </row>
    <row r="235" spans="1:4" x14ac:dyDescent="0.35">
      <c r="A235" s="172"/>
      <c r="B235" s="167" t="s">
        <v>1285</v>
      </c>
      <c r="C235" s="138" t="s">
        <v>1287</v>
      </c>
      <c r="D235" s="138">
        <f>0.43*0.32</f>
        <v>0.1376</v>
      </c>
    </row>
    <row r="236" spans="1:4" x14ac:dyDescent="0.35">
      <c r="A236" s="172"/>
      <c r="B236" s="167" t="s">
        <v>1286</v>
      </c>
      <c r="C236" s="138" t="s">
        <v>1287</v>
      </c>
      <c r="D236" s="138">
        <f>0.43*0.19</f>
        <v>8.1699999999999995E-2</v>
      </c>
    </row>
    <row r="237" spans="1:4" x14ac:dyDescent="0.35">
      <c r="A237" s="172"/>
      <c r="B237" s="167" t="s">
        <v>1288</v>
      </c>
      <c r="C237" s="138" t="s">
        <v>1287</v>
      </c>
      <c r="D237" s="138">
        <f>0.43*0.26</f>
        <v>0.1118</v>
      </c>
    </row>
    <row r="238" spans="1:4" x14ac:dyDescent="0.35">
      <c r="A238" s="172"/>
      <c r="B238" s="167" t="s">
        <v>1289</v>
      </c>
      <c r="C238" s="138" t="s">
        <v>1287</v>
      </c>
      <c r="D238" s="138">
        <f>0.43*0.22</f>
        <v>9.4600000000000004E-2</v>
      </c>
    </row>
    <row r="239" spans="1:4" x14ac:dyDescent="0.35">
      <c r="A239" s="172" t="s">
        <v>1292</v>
      </c>
      <c r="B239" s="167" t="s">
        <v>1284</v>
      </c>
      <c r="D239" s="138">
        <v>0.1</v>
      </c>
    </row>
    <row r="240" spans="1:4" x14ac:dyDescent="0.35">
      <c r="A240" s="172"/>
      <c r="B240" s="167" t="s">
        <v>1285</v>
      </c>
      <c r="D240" s="138">
        <v>0.37</v>
      </c>
    </row>
    <row r="241" spans="1:5" x14ac:dyDescent="0.35">
      <c r="A241" s="172"/>
      <c r="B241" s="167" t="s">
        <v>1286</v>
      </c>
      <c r="D241" s="138">
        <v>0.03</v>
      </c>
    </row>
    <row r="242" spans="1:5" x14ac:dyDescent="0.35">
      <c r="A242" s="172"/>
      <c r="B242" s="167" t="s">
        <v>1288</v>
      </c>
      <c r="D242" s="138">
        <v>0.01</v>
      </c>
    </row>
    <row r="243" spans="1:5" x14ac:dyDescent="0.35">
      <c r="A243" s="172"/>
      <c r="B243" s="167" t="s">
        <v>1284</v>
      </c>
      <c r="C243" s="138" t="s">
        <v>1287</v>
      </c>
      <c r="D243" s="138">
        <f>0.49*0.01</f>
        <v>4.8999999999999998E-3</v>
      </c>
    </row>
    <row r="244" spans="1:5" x14ac:dyDescent="0.35">
      <c r="A244" s="172"/>
      <c r="B244" s="167" t="s">
        <v>1285</v>
      </c>
      <c r="C244" s="138" t="s">
        <v>1287</v>
      </c>
      <c r="D244" s="138">
        <f>0.49*0.32</f>
        <v>0.15679999999999999</v>
      </c>
    </row>
    <row r="245" spans="1:5" x14ac:dyDescent="0.35">
      <c r="A245" s="172"/>
      <c r="B245" s="167" t="s">
        <v>1286</v>
      </c>
      <c r="C245" s="138" t="s">
        <v>1287</v>
      </c>
      <c r="D245" s="138">
        <f>0.49*0.19</f>
        <v>9.3100000000000002E-2</v>
      </c>
    </row>
    <row r="246" spans="1:5" x14ac:dyDescent="0.35">
      <c r="A246" s="172"/>
      <c r="B246" s="167" t="s">
        <v>1288</v>
      </c>
      <c r="C246" s="138" t="s">
        <v>1287</v>
      </c>
      <c r="D246" s="138">
        <f>0.49*0.26</f>
        <v>0.12740000000000001</v>
      </c>
    </row>
    <row r="247" spans="1:5" x14ac:dyDescent="0.35">
      <c r="A247" s="172"/>
      <c r="B247" s="167" t="s">
        <v>1289</v>
      </c>
      <c r="C247" s="138" t="s">
        <v>1287</v>
      </c>
      <c r="D247" s="138">
        <f>0.49*0.22</f>
        <v>0.10779999999999999</v>
      </c>
    </row>
    <row r="251" spans="1:5" x14ac:dyDescent="0.35">
      <c r="A251" s="11" t="s">
        <v>1293</v>
      </c>
      <c r="B251" s="11" t="s">
        <v>1294</v>
      </c>
      <c r="C251" s="11" t="s">
        <v>1295</v>
      </c>
      <c r="D251" s="11" t="s">
        <v>356</v>
      </c>
      <c r="E251" s="11" t="s">
        <v>371</v>
      </c>
    </row>
    <row r="252" spans="1:5" x14ac:dyDescent="0.35">
      <c r="A252" t="s">
        <v>1296</v>
      </c>
      <c r="B252" t="s">
        <v>1297</v>
      </c>
      <c r="C252">
        <v>2.8</v>
      </c>
      <c r="D252" t="s">
        <v>1298</v>
      </c>
      <c r="E252" s="151" t="s">
        <v>1299</v>
      </c>
    </row>
    <row r="253" spans="1:5" x14ac:dyDescent="0.35">
      <c r="A253" t="s">
        <v>1231</v>
      </c>
      <c r="B253" t="s">
        <v>1300</v>
      </c>
      <c r="C253">
        <v>1</v>
      </c>
      <c r="D253" t="s">
        <v>1301</v>
      </c>
      <c r="E253" s="151" t="s">
        <v>1299</v>
      </c>
    </row>
    <row r="254" spans="1:5" x14ac:dyDescent="0.35">
      <c r="A254" t="s">
        <v>1302</v>
      </c>
      <c r="B254" t="s">
        <v>1303</v>
      </c>
      <c r="C254">
        <v>1</v>
      </c>
      <c r="D254" t="s">
        <v>1304</v>
      </c>
      <c r="E254" s="151"/>
    </row>
    <row r="255" spans="1:5" x14ac:dyDescent="0.35">
      <c r="A255" t="s">
        <v>1231</v>
      </c>
      <c r="B255" t="s">
        <v>1285</v>
      </c>
      <c r="C255">
        <v>1.05</v>
      </c>
      <c r="D255" t="s">
        <v>1298</v>
      </c>
      <c r="E255" s="151" t="s">
        <v>1299</v>
      </c>
    </row>
    <row r="256" spans="1:5" x14ac:dyDescent="0.35">
      <c r="A256" t="s">
        <v>1231</v>
      </c>
      <c r="B256" t="s">
        <v>1305</v>
      </c>
      <c r="C256">
        <v>1.01</v>
      </c>
      <c r="D256" t="s">
        <v>1306</v>
      </c>
      <c r="E256" s="151" t="s">
        <v>1299</v>
      </c>
    </row>
    <row r="257" spans="1:5" x14ac:dyDescent="0.35">
      <c r="A257" t="s">
        <v>1307</v>
      </c>
      <c r="B257" t="s">
        <v>1297</v>
      </c>
      <c r="C257">
        <v>1.35</v>
      </c>
      <c r="D257" t="s">
        <v>1308</v>
      </c>
      <c r="E257" s="151" t="s">
        <v>1299</v>
      </c>
    </row>
    <row r="258" spans="1:5" x14ac:dyDescent="0.35">
      <c r="A258" t="s">
        <v>1309</v>
      </c>
      <c r="B258" t="s">
        <v>1297</v>
      </c>
      <c r="C258">
        <v>1.0900000000000001</v>
      </c>
      <c r="D258" t="s">
        <v>1310</v>
      </c>
      <c r="E258" s="151" t="s">
        <v>1299</v>
      </c>
    </row>
    <row r="259" spans="1:5" x14ac:dyDescent="0.35">
      <c r="A259" t="s">
        <v>1311</v>
      </c>
      <c r="B259" t="s">
        <v>1297</v>
      </c>
      <c r="C259">
        <v>1.2</v>
      </c>
      <c r="D259" t="s">
        <v>1312</v>
      </c>
      <c r="E259" s="151" t="s">
        <v>1299</v>
      </c>
    </row>
    <row r="260" spans="1:5" x14ac:dyDescent="0.35">
      <c r="A260" t="s">
        <v>1313</v>
      </c>
      <c r="B260" t="s">
        <v>1297</v>
      </c>
      <c r="C260">
        <v>1.2</v>
      </c>
      <c r="D260" t="s">
        <v>1314</v>
      </c>
      <c r="E260" s="151" t="s">
        <v>1299</v>
      </c>
    </row>
    <row r="261" spans="1:5" x14ac:dyDescent="0.35">
      <c r="A261" t="s">
        <v>1315</v>
      </c>
      <c r="B261" t="s">
        <v>1297</v>
      </c>
      <c r="C261">
        <v>0.88</v>
      </c>
      <c r="D261" t="s">
        <v>1316</v>
      </c>
      <c r="E261" s="151" t="s">
        <v>1299</v>
      </c>
    </row>
    <row r="262" spans="1:5" x14ac:dyDescent="0.35">
      <c r="A262" t="s">
        <v>1317</v>
      </c>
      <c r="B262" t="s">
        <v>1234</v>
      </c>
      <c r="C262">
        <v>1.1100000000000001</v>
      </c>
      <c r="D262"/>
      <c r="E262" s="151" t="s">
        <v>1299</v>
      </c>
    </row>
    <row r="263" spans="1:5" x14ac:dyDescent="0.35">
      <c r="A263" t="s">
        <v>1318</v>
      </c>
      <c r="B263" t="s">
        <v>1297</v>
      </c>
      <c r="C263">
        <v>0.91</v>
      </c>
      <c r="D263" t="s">
        <v>1319</v>
      </c>
      <c r="E263" s="151" t="s">
        <v>1299</v>
      </c>
    </row>
  </sheetData>
  <mergeCells count="1">
    <mergeCell ref="A65:Q65"/>
  </mergeCells>
  <phoneticPr fontId="13" type="noConversion"/>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0836B-3FFE-441F-B73F-22D58A81C232}">
  <sheetPr>
    <tabColor rgb="FFFF0000"/>
  </sheetPr>
  <dimension ref="A1:Z264"/>
  <sheetViews>
    <sheetView topLeftCell="A36" zoomScale="66" zoomScaleNormal="66" workbookViewId="0">
      <pane xSplit="1" topLeftCell="B1" activePane="topRight" state="frozen"/>
      <selection pane="topRight" activeCell="B64" sqref="B64"/>
    </sheetView>
  </sheetViews>
  <sheetFormatPr defaultColWidth="9.1796875" defaultRowHeight="14.5" x14ac:dyDescent="0.35"/>
  <cols>
    <col min="1" max="1" width="30.26953125" style="138" customWidth="1"/>
    <col min="2" max="2" width="23" style="167" customWidth="1"/>
    <col min="3" max="3" width="25.1796875" style="138" customWidth="1"/>
    <col min="4" max="4" width="20" style="138" customWidth="1"/>
    <col min="5" max="5" width="26.81640625" style="138" customWidth="1"/>
    <col min="6" max="6" width="20.54296875" style="138" customWidth="1"/>
    <col min="7" max="7" width="20.7265625" style="138" customWidth="1"/>
    <col min="8" max="8" width="15.453125" style="138" customWidth="1"/>
    <col min="9" max="9" width="15.81640625" style="138" customWidth="1"/>
    <col min="10" max="10" width="18.1796875" style="138" customWidth="1"/>
    <col min="11" max="11" width="26.7265625" style="138" customWidth="1"/>
    <col min="12" max="12" width="28" style="138" customWidth="1"/>
    <col min="13" max="13" width="23.1796875" style="138" customWidth="1"/>
    <col min="14" max="14" width="34.26953125" style="138" customWidth="1"/>
    <col min="15" max="15" width="27.54296875" style="138" customWidth="1"/>
    <col min="16" max="16" width="11" style="138" customWidth="1"/>
    <col min="17" max="17" width="15.81640625" style="138" customWidth="1"/>
    <col min="18" max="16384" width="9.1796875" style="138"/>
  </cols>
  <sheetData>
    <row r="1" spans="1:15" s="152" customFormat="1" ht="83.25" customHeight="1" x14ac:dyDescent="0.35">
      <c r="A1" s="152" t="s">
        <v>923</v>
      </c>
      <c r="B1" s="166" t="s">
        <v>924</v>
      </c>
      <c r="C1" s="166" t="s">
        <v>925</v>
      </c>
      <c r="D1" s="152" t="s">
        <v>926</v>
      </c>
      <c r="E1" s="152" t="s">
        <v>927</v>
      </c>
      <c r="F1" s="152" t="s">
        <v>928</v>
      </c>
      <c r="G1" s="152" t="s">
        <v>929</v>
      </c>
      <c r="H1" s="184" t="s">
        <v>930</v>
      </c>
      <c r="I1" s="184" t="s">
        <v>931</v>
      </c>
      <c r="J1" s="184" t="s">
        <v>932</v>
      </c>
      <c r="K1" s="152" t="s">
        <v>933</v>
      </c>
      <c r="L1" s="152" t="s">
        <v>934</v>
      </c>
      <c r="M1" s="152" t="s">
        <v>935</v>
      </c>
      <c r="N1" s="152" t="s">
        <v>356</v>
      </c>
      <c r="O1" s="152" t="s">
        <v>371</v>
      </c>
    </row>
    <row r="2" spans="1:15" s="172" customFormat="1" x14ac:dyDescent="0.35">
      <c r="B2" s="166"/>
      <c r="C2" s="185" t="s">
        <v>315</v>
      </c>
      <c r="D2" s="172" t="s">
        <v>840</v>
      </c>
      <c r="E2" s="172" t="s">
        <v>936</v>
      </c>
      <c r="F2" s="172" t="s">
        <v>937</v>
      </c>
      <c r="G2" s="172" t="s">
        <v>937</v>
      </c>
      <c r="H2" s="172" t="s">
        <v>938</v>
      </c>
      <c r="I2" s="172" t="s">
        <v>938</v>
      </c>
      <c r="J2" s="172" t="s">
        <v>938</v>
      </c>
      <c r="K2" s="153"/>
      <c r="L2" s="172" t="s">
        <v>939</v>
      </c>
      <c r="M2" s="172" t="s">
        <v>939</v>
      </c>
    </row>
    <row r="3" spans="1:15" x14ac:dyDescent="0.35">
      <c r="A3" s="138" t="s">
        <v>940</v>
      </c>
      <c r="B3" s="167">
        <v>2</v>
      </c>
      <c r="C3" s="153">
        <f>'EoL Material Flow Analysis'!C64</f>
        <v>3654000</v>
      </c>
      <c r="D3" s="138">
        <f>K102</f>
        <v>2.2000000000000001E-3</v>
      </c>
      <c r="E3" s="138">
        <v>8760</v>
      </c>
      <c r="F3" s="195">
        <f>D3*C3/E3</f>
        <v>0.91767123287671237</v>
      </c>
      <c r="G3" s="203">
        <f>((F3*0.336*$D$232*$C$257)+(F3*0.336*$D$233*$C$256)+(F3*0.336*$D$234*$C$254)+(F3*0.336*SUM($D$235:$D$239)*$C$253))+((F3*0.108*$D$223*$C$257)+(F3*0.108*$D$224*$C$256)+(F3*0.108*$D$225*$C$254)+(F3*0.108*SUM($D$226:$D$231)*$C$253))+((F3*0.556*$D$240*$C$257)+(F3*0.556*$D$241*$C$256)+(F3*0.556*$D$242*$C$254)+(F3*0.556*$D$243*$C$253)+(F3*0.556*SUM($D$244:$D$248)*$C$253))</f>
        <v>1.664844656712329</v>
      </c>
      <c r="H3" s="138">
        <v>1</v>
      </c>
      <c r="I3" s="138">
        <f t="shared" ref="I3:I14" si="0">1-H3</f>
        <v>0</v>
      </c>
      <c r="J3" s="138">
        <f>1-H3-I3</f>
        <v>0</v>
      </c>
      <c r="K3" s="153">
        <f>G3*E3*1000</f>
        <v>14584039.1928</v>
      </c>
      <c r="L3" s="153">
        <f>(((F3*0.336*$D$232*$C$257)+(F3*0.336*$D$233*$C$256)+(F3*0.336*$D$234*$C$254))+((F3*0.108*$D$223*$C$257)+(F3*0.108*$D$224*$C$256)+(F3*0.108*$D$225*$C$254)+((F3*0.556*$D$240*$C$257)+(F3*0.556*$D$241*$C$256)+(F3*0.556*$D$242*$C$254)+(F3*0.556*$D$243*$C$253))))*E3*1000</f>
        <v>4786478.3736000005</v>
      </c>
      <c r="M3" s="153">
        <f>(((F3*0.336*SUM($D$235:$D$239)*$C$253))+((F3*0.108*SUM($D$226:$D$231)*$C$253))+((F3*0.556*SUM($D$244:$D$248)*$C$253)))*E3*1000</f>
        <v>9797560.8192000017</v>
      </c>
      <c r="N3" s="138" t="s">
        <v>13</v>
      </c>
    </row>
    <row r="4" spans="1:15" x14ac:dyDescent="0.35">
      <c r="A4" s="138" t="s">
        <v>1785</v>
      </c>
      <c r="B4" s="167">
        <v>3</v>
      </c>
      <c r="C4" s="153">
        <f>'Energy Consumption'!C4</f>
        <v>21435277.5</v>
      </c>
      <c r="D4" s="169">
        <f>K109+'GREENSCOPE Calculation'!C130</f>
        <v>13.00004558910598</v>
      </c>
      <c r="E4" s="138">
        <v>8760</v>
      </c>
      <c r="F4" s="195">
        <f t="shared" ref="F4:F6" si="1">D4*C4/E4</f>
        <v>31810.454876157266</v>
      </c>
      <c r="G4" s="203">
        <f t="shared" ref="G4:G6" si="2">((F4*0.336*$D$232*$C$257)+(F4*0.336*$D$233*$C$256)+(F4*0.336*$D$234*$C$254)+(F4*0.336*SUM($D$235:$D$239)*$C$253))+((F4*0.108*$D$223*$C$257)+(F4*0.108*$D$224*$C$256)+(F4*0.108*$D$225*$C$254)+(F4*0.108*SUM($D$226:$D$231)*$C$253))+((F4*0.556*$D$240*$C$257)+(F4*0.556*$D$241*$C$256)+(F4*0.556*$D$242*$C$254)+(F4*0.556*$D$243*$C$253)+(F4*0.556*SUM($D$244:$D$248)*$C$253))</f>
        <v>57710.718099053774</v>
      </c>
      <c r="H4" s="138">
        <v>1</v>
      </c>
      <c r="I4" s="138">
        <f t="shared" si="0"/>
        <v>0</v>
      </c>
      <c r="J4" s="138">
        <f t="shared" ref="J4:J14" si="3">1-H4-I4</f>
        <v>0</v>
      </c>
      <c r="K4" s="153">
        <f t="shared" ref="K4:K49" si="4">G4*E4*1000</f>
        <v>505545890547.71106</v>
      </c>
      <c r="L4" s="153">
        <f>(((F4*0.336*$D$232*$C$257)+(F4*0.336*$D$233*$C$256)+(F4*0.336*$D$234*$C$254))+((F4*0.108*$D$223*$C$257)+(F4*0.108*$D$224*$C$256)+(F4*0.108*$D$225*$C$254)+((F4*0.556*$D$240*$C$257)+(F4*0.556*$D$241*$C$256)+(F4*0.556*$D$242*$C$254)+(F4*0.556*$D$243*$C$253))))*E4*1000</f>
        <v>165920047250.25668</v>
      </c>
      <c r="M4" s="153">
        <f t="shared" ref="M4:M6" si="5">(((F4*0.336*SUM($D$235:$D$239)*$C$253))+((F4*0.108*SUM($D$226:$D$231)*$C$253))+((F4*0.556*SUM($D$244:$D$248)*$C$253)))*E4*1000</f>
        <v>339625843297.45428</v>
      </c>
      <c r="N4" s="138" t="s">
        <v>1784</v>
      </c>
    </row>
    <row r="5" spans="1:15" x14ac:dyDescent="0.35">
      <c r="A5" s="138" t="s">
        <v>940</v>
      </c>
      <c r="B5" s="167">
        <v>4</v>
      </c>
      <c r="C5" s="153">
        <f>'EoL Material Flow Analysis'!E64</f>
        <v>6112412.1779859485</v>
      </c>
      <c r="D5" s="153">
        <f>AVERAGE(K68,AVERAGE(61.1,7708),AVERAGE(83,588),AVERAGE(60,176.67),K85,AVERAGE(240,350),AVERAGE(16.8,600),K88,K89,K90,K91,K92)</f>
        <v>813.93658333333326</v>
      </c>
      <c r="E5" s="138">
        <v>8760</v>
      </c>
      <c r="F5" s="195">
        <f>D5*C5/E5</f>
        <v>567935.60320490191</v>
      </c>
      <c r="G5" s="155">
        <f t="shared" si="2"/>
        <v>1030352.1789479523</v>
      </c>
      <c r="H5" s="138">
        <v>1</v>
      </c>
      <c r="I5" s="138">
        <f t="shared" si="0"/>
        <v>0</v>
      </c>
      <c r="J5" s="138">
        <f t="shared" si="3"/>
        <v>0</v>
      </c>
      <c r="K5" s="153">
        <f t="shared" si="4"/>
        <v>9025885087584.0625</v>
      </c>
      <c r="L5" s="153">
        <f t="shared" ref="L5:L6" si="6">(((F5*0.336*$D$232*$C$257)+(F5*0.336*$D$233*$C$256)+(F5*0.336*$D$234*$C$254))+((F5*0.108*$D$223*$C$257)+(F5*0.108*$D$224*$C$256)+(F5*0.108*$D$225*$C$254)+((F5*0.556*$D$240*$C$257)+(F5*0.556*$D$241*$C$256)+(F5*0.556*$D$242*$C$254)+(F5*0.556*$D$243*$C$253))))*E5*1000</f>
        <v>2962293449927.6694</v>
      </c>
      <c r="M5" s="153">
        <f t="shared" si="5"/>
        <v>6063591637656.3926</v>
      </c>
      <c r="N5" s="138" t="s">
        <v>942</v>
      </c>
    </row>
    <row r="6" spans="1:15" x14ac:dyDescent="0.35">
      <c r="A6" s="138" t="s">
        <v>940</v>
      </c>
      <c r="B6" s="167">
        <v>8</v>
      </c>
      <c r="C6" s="153">
        <f>'EoL Material Flow Analysis'!I64</f>
        <v>208415.02499999999</v>
      </c>
      <c r="D6" s="138">
        <f>K102</f>
        <v>2.2000000000000001E-3</v>
      </c>
      <c r="E6" s="138">
        <v>8760</v>
      </c>
      <c r="F6" s="195">
        <f t="shared" si="1"/>
        <v>5.2341672945205482E-2</v>
      </c>
      <c r="G6" s="203">
        <f t="shared" si="2"/>
        <v>9.4958577107229464E-2</v>
      </c>
      <c r="H6" s="138">
        <f>1-J6</f>
        <v>0.92999999999999994</v>
      </c>
      <c r="I6" s="138">
        <v>0</v>
      </c>
      <c r="J6" s="138">
        <v>7.0000000000000007E-2</v>
      </c>
      <c r="K6" s="153">
        <f t="shared" si="4"/>
        <v>831837.13545933005</v>
      </c>
      <c r="L6" s="153">
        <f t="shared" si="6"/>
        <v>273008.76023421006</v>
      </c>
      <c r="M6" s="153">
        <f t="shared" si="5"/>
        <v>558828.37522512011</v>
      </c>
      <c r="N6" s="138" t="s">
        <v>13</v>
      </c>
      <c r="O6" s="138" t="s">
        <v>943</v>
      </c>
    </row>
    <row r="7" spans="1:15" x14ac:dyDescent="0.35">
      <c r="A7" s="138" t="s">
        <v>944</v>
      </c>
      <c r="B7" s="167">
        <v>19</v>
      </c>
      <c r="C7" s="153">
        <f>'EoL Material Flow Analysis'!T64</f>
        <v>9043402.4473067932</v>
      </c>
      <c r="D7" s="138">
        <v>0</v>
      </c>
      <c r="E7" s="138">
        <v>8760</v>
      </c>
      <c r="F7" s="195">
        <f>D7*C7/E7</f>
        <v>0</v>
      </c>
      <c r="G7" s="155">
        <v>0</v>
      </c>
      <c r="H7" s="138" t="s">
        <v>945</v>
      </c>
      <c r="I7" s="138" t="s">
        <v>945</v>
      </c>
      <c r="J7" s="138" t="s">
        <v>945</v>
      </c>
      <c r="K7" s="153">
        <f t="shared" si="4"/>
        <v>0</v>
      </c>
      <c r="L7" s="153">
        <v>0</v>
      </c>
      <c r="M7" s="153">
        <v>0</v>
      </c>
      <c r="N7" s="138" t="s">
        <v>26</v>
      </c>
    </row>
    <row r="8" spans="1:15" x14ac:dyDescent="0.35">
      <c r="A8" s="138" t="s">
        <v>946</v>
      </c>
      <c r="B8" s="167">
        <v>27</v>
      </c>
      <c r="C8" s="153">
        <f>'EoL Material Flow Analysis'!AB64</f>
        <v>10632194.214636227</v>
      </c>
      <c r="D8" s="170">
        <f>K110</f>
        <v>0.13458477310924369</v>
      </c>
      <c r="E8" s="138">
        <v>8760</v>
      </c>
      <c r="F8" s="195">
        <f>D8*C8/E8</f>
        <v>163.34833858792581</v>
      </c>
      <c r="G8" s="155">
        <f t="shared" ref="G8:G14" si="7">(F8*$D$223*$C$257)+(F8*$D$224*$C$256)+(F8*$D$225*$C$254)+(F8*$D$226*$C$253)+(F8*SUM($D$227:$D$231)*$C$253)</f>
        <v>217.15528131878858</v>
      </c>
      <c r="H8" s="138">
        <v>1</v>
      </c>
      <c r="I8" s="138">
        <f t="shared" si="0"/>
        <v>0</v>
      </c>
      <c r="J8" s="138">
        <f t="shared" si="3"/>
        <v>0</v>
      </c>
      <c r="K8" s="153">
        <f>G8*E8*1000</f>
        <v>1902280264.3525879</v>
      </c>
      <c r="L8" s="153">
        <f>((F8*$D$223*$C$257)+(F8*$D$224*$C$256)+(F8*$D$225*$C$254)+(F8*$D$226*$C$253))*E8*1000</f>
        <v>1381421217.9975843</v>
      </c>
      <c r="M8" s="153">
        <f>((F8*SUM($D$227:$D$231)*$C$253))*E8*1000</f>
        <v>520859046.35500371</v>
      </c>
      <c r="N8" s="138" t="s">
        <v>947</v>
      </c>
    </row>
    <row r="9" spans="1:15" x14ac:dyDescent="0.35">
      <c r="A9" s="138" t="s">
        <v>948</v>
      </c>
      <c r="B9" s="167" t="s">
        <v>949</v>
      </c>
      <c r="C9" s="268">
        <f>SUM('EoL Material Flow Analysis'!AC57:AC59)*0.209</f>
        <v>542803.70924579189</v>
      </c>
      <c r="D9" s="154" t="str">
        <f>K163</f>
        <v>1.8 - 8.313</v>
      </c>
      <c r="E9" s="138">
        <v>2528</v>
      </c>
      <c r="F9" s="195">
        <f>AVERAGE(1.8,8.313)*C9/E9</f>
        <v>1085.7147768201532</v>
      </c>
      <c r="G9" s="155">
        <f t="shared" si="7"/>
        <v>1443.3492243047117</v>
      </c>
      <c r="H9" s="138">
        <v>1</v>
      </c>
      <c r="I9" s="138">
        <f t="shared" si="0"/>
        <v>0</v>
      </c>
      <c r="J9" s="138">
        <f t="shared" si="3"/>
        <v>0</v>
      </c>
      <c r="K9" s="153">
        <f t="shared" si="4"/>
        <v>3648786839.0423112</v>
      </c>
      <c r="L9" s="153">
        <f>((F9*$D$223*$C$257)+(F9*$D$224*$C$256)+(F9*$D$225*$C$254)+(F9*$D$226*$C$253))*E9*1000</f>
        <v>2649720787.1306205</v>
      </c>
      <c r="M9" s="153">
        <f>((F9*SUM($D$227:$D$231)*$C$253))*E9*1000</f>
        <v>999066051.91169035</v>
      </c>
      <c r="N9" s="138" t="s">
        <v>950</v>
      </c>
    </row>
    <row r="10" spans="1:15" x14ac:dyDescent="0.35">
      <c r="A10" s="138" t="s">
        <v>951</v>
      </c>
      <c r="B10" s="167" t="s">
        <v>952</v>
      </c>
      <c r="C10" s="268">
        <f>SUM('EoL Material Flow Analysis'!AC57:AC59)*0.586</f>
        <v>1521928.1034355697</v>
      </c>
      <c r="D10" s="154">
        <f>AVERAGE(K181,K182,K186)</f>
        <v>22.613066666666668</v>
      </c>
      <c r="E10" s="138">
        <v>2528</v>
      </c>
      <c r="F10" s="155">
        <f>D10*C10/E10</f>
        <v>13613.711101606845</v>
      </c>
      <c r="G10" s="155">
        <f t="shared" si="7"/>
        <v>18098.067538476138</v>
      </c>
      <c r="H10" s="138">
        <v>1</v>
      </c>
      <c r="I10" s="138">
        <f t="shared" si="0"/>
        <v>0</v>
      </c>
      <c r="J10" s="138">
        <f t="shared" si="3"/>
        <v>0</v>
      </c>
      <c r="K10" s="153">
        <f t="shared" si="4"/>
        <v>45751914737.267677</v>
      </c>
      <c r="L10" s="153">
        <f t="shared" ref="L10:L11" si="8">((F10*$D$223*$C$257)+(F10*$D$224*$C$256)+(F10*$D$225*$C$254)+(F10*$D$226*$C$253))*E10*1000</f>
        <v>33224686691.257874</v>
      </c>
      <c r="M10" s="153">
        <f t="shared" ref="M10:M11" si="9">((F10*SUM($D$227:$D$231)*$C$253))*E10*1000</f>
        <v>12527228046.009806</v>
      </c>
      <c r="N10" s="138" t="s">
        <v>950</v>
      </c>
    </row>
    <row r="11" spans="1:15" x14ac:dyDescent="0.35">
      <c r="A11" s="138" t="s">
        <v>953</v>
      </c>
      <c r="B11" s="167" t="s">
        <v>954</v>
      </c>
      <c r="C11" s="268">
        <f>SUM('EoL Material Flow Analysis'!AC57:AC59)*0.205</f>
        <v>532415.12150903034</v>
      </c>
      <c r="D11" s="138">
        <f>K187</f>
        <v>8.4820000000000011</v>
      </c>
      <c r="E11" s="138">
        <v>2528</v>
      </c>
      <c r="F11" s="155">
        <f>D11*C11/E11</f>
        <v>1786.3706727213589</v>
      </c>
      <c r="G11" s="155">
        <f t="shared" si="7"/>
        <v>2374.8011723157747</v>
      </c>
      <c r="H11" s="138">
        <v>1</v>
      </c>
      <c r="I11" s="138">
        <f t="shared" si="0"/>
        <v>0</v>
      </c>
      <c r="J11" s="138">
        <f t="shared" si="3"/>
        <v>0</v>
      </c>
      <c r="K11" s="153">
        <f t="shared" si="4"/>
        <v>6003497363.6142788</v>
      </c>
      <c r="L11" s="153">
        <f t="shared" si="8"/>
        <v>4359693361.5414658</v>
      </c>
      <c r="M11" s="153">
        <f t="shared" si="9"/>
        <v>1643804002.0728126</v>
      </c>
      <c r="N11" s="138" t="s">
        <v>950</v>
      </c>
      <c r="O11" s="138" t="s">
        <v>955</v>
      </c>
    </row>
    <row r="12" spans="1:15" x14ac:dyDescent="0.35">
      <c r="A12" s="138" t="s">
        <v>956</v>
      </c>
      <c r="B12" s="167" t="s">
        <v>957</v>
      </c>
      <c r="C12" s="268">
        <f>SUM('EoL Material Flow Analysis'!AE56,'EoL Material Flow Analysis'!AE54,(SUM('EoL Material Flow Analysis'!AE57:AE59)*0.209))</f>
        <v>1504624.5455324058</v>
      </c>
      <c r="D12" s="154" t="s">
        <v>958</v>
      </c>
      <c r="E12" s="138">
        <v>7500</v>
      </c>
      <c r="F12" s="155">
        <f>AVERAGE(3.55,5.95)*C12/E12</f>
        <v>952.92887883719027</v>
      </c>
      <c r="G12" s="155">
        <f t="shared" si="7"/>
        <v>1266.8236515261608</v>
      </c>
      <c r="I12" s="138">
        <f t="shared" si="0"/>
        <v>1</v>
      </c>
      <c r="J12" s="138">
        <f t="shared" si="3"/>
        <v>0</v>
      </c>
      <c r="K12" s="153">
        <f t="shared" si="4"/>
        <v>9501177386.4462051</v>
      </c>
      <c r="L12" s="153">
        <f>((F12*$D$223*$C$257)+(F12*$D$224*$C$256)+(F12*$D$225*$C$254)+(F12*$D$226*$C$253))*E12*1000</f>
        <v>6899681547.2206764</v>
      </c>
      <c r="M12" s="153">
        <f>((F12*SUM($D$227:$D$231)*$C$253))*E12*1000</f>
        <v>2601495839.2255292</v>
      </c>
      <c r="N12" s="138" t="s">
        <v>959</v>
      </c>
    </row>
    <row r="13" spans="1:15" x14ac:dyDescent="0.35">
      <c r="A13" s="138" t="s">
        <v>960</v>
      </c>
      <c r="B13" s="167">
        <v>32</v>
      </c>
      <c r="C13" s="268">
        <f>'EoL Material Flow Analysis'!AG64</f>
        <v>431218.31221207517</v>
      </c>
      <c r="D13" s="154">
        <f>K204</f>
        <v>0.14425087108013937</v>
      </c>
      <c r="E13" s="138">
        <v>8760</v>
      </c>
      <c r="F13" s="155">
        <f>D13*C13/E13</f>
        <v>7.1008695390752674</v>
      </c>
      <c r="G13" s="155">
        <f t="shared" si="7"/>
        <v>9.4398959652466612</v>
      </c>
      <c r="H13" s="138">
        <v>1</v>
      </c>
      <c r="I13" s="138">
        <f t="shared" si="0"/>
        <v>0</v>
      </c>
      <c r="J13" s="138">
        <f t="shared" si="3"/>
        <v>0</v>
      </c>
      <c r="K13" s="153">
        <f t="shared" si="4"/>
        <v>82693488.655560747</v>
      </c>
      <c r="L13" s="153">
        <f>((F13*$D$223*$C$257)+(F13*$D$224*$C$256)+(F13*$D$225*$C$254)+(F13*$D$226*$C$253))*E13*1000</f>
        <v>60051372.00848379</v>
      </c>
      <c r="M13" s="153">
        <f>((F13*SUM($D$227:$D$231)*$C$253))*E13*1000</f>
        <v>22642116.647076961</v>
      </c>
      <c r="N13" s="138" t="s">
        <v>961</v>
      </c>
    </row>
    <row r="14" spans="1:15" x14ac:dyDescent="0.35">
      <c r="A14" s="138" t="s">
        <v>960</v>
      </c>
      <c r="B14" s="167">
        <v>34</v>
      </c>
      <c r="C14" s="268">
        <f>'EoL Material Flow Analysis'!AI64</f>
        <v>5502514.5034461282</v>
      </c>
      <c r="D14" s="154">
        <f>K204</f>
        <v>0.14425087108013937</v>
      </c>
      <c r="E14" s="138">
        <v>8760</v>
      </c>
      <c r="F14" s="155">
        <f>D14*C14/E14</f>
        <v>90.609875599680876</v>
      </c>
      <c r="G14" s="155">
        <f t="shared" si="7"/>
        <v>120.45676862221575</v>
      </c>
      <c r="H14" s="138">
        <v>1</v>
      </c>
      <c r="I14" s="138">
        <f t="shared" si="0"/>
        <v>0</v>
      </c>
      <c r="J14" s="138">
        <f t="shared" si="3"/>
        <v>0</v>
      </c>
      <c r="K14" s="153">
        <f t="shared" si="4"/>
        <v>1055201293.1306099</v>
      </c>
      <c r="L14" s="153">
        <f>((F14*$D$223*$C$257)+(F14*$D$224*$C$256)+(F14*$D$225*$C$254)+(F14*$D$226*$C$253))*E14*1000</f>
        <v>766279019.39844358</v>
      </c>
      <c r="M14" s="153">
        <f>((F14*SUM($D$227:$D$231)*$C$253))*E14*1000</f>
        <v>288922273.73216641</v>
      </c>
      <c r="N14" s="138" t="s">
        <v>961</v>
      </c>
    </row>
    <row r="15" spans="1:15" x14ac:dyDescent="0.35">
      <c r="A15" s="138" t="s">
        <v>962</v>
      </c>
      <c r="B15" s="155">
        <f>1</f>
        <v>1</v>
      </c>
      <c r="C15" s="155">
        <f>'Stream Transport Energy-Cost2'!C3</f>
        <v>10440000</v>
      </c>
      <c r="D15" s="138" t="s">
        <v>963</v>
      </c>
      <c r="E15" s="138">
        <v>8760</v>
      </c>
      <c r="F15" s="155">
        <f>'Stream Transport Energy-Cost'!E3</f>
        <v>1115.5532544</v>
      </c>
      <c r="G15" s="155">
        <f>(F15*(SUM($D$218:$D$222)*$C$253)+(F15*$D$215*$C$257)+(F15*$D$216*$C$256)+(F15*$D$217*$C$254))</f>
        <v>1147.9042987776002</v>
      </c>
      <c r="H15" s="138" t="s">
        <v>945</v>
      </c>
      <c r="I15" s="138" t="s">
        <v>945</v>
      </c>
      <c r="J15" s="138" t="s">
        <v>945</v>
      </c>
      <c r="K15" s="153">
        <f t="shared" si="4"/>
        <v>10055641657.291777</v>
      </c>
      <c r="L15" s="153">
        <f>((F15*$D$215*$C$257)+(F15*$D$216*$C$256)+(F15*$D$217*$C$254))*E15*1000</f>
        <v>9782018755.0525436</v>
      </c>
      <c r="M15" s="153">
        <f>((F15*(SUM($D$218:$D$222)*$C$253)))*E15*1000</f>
        <v>273622902.239232</v>
      </c>
    </row>
    <row r="16" spans="1:15" x14ac:dyDescent="0.35">
      <c r="A16" s="138" t="s">
        <v>962</v>
      </c>
      <c r="B16" s="155">
        <f>B15+1</f>
        <v>2</v>
      </c>
      <c r="C16" s="155">
        <f>'Stream Transport Energy-Cost2'!C4</f>
        <v>3654000</v>
      </c>
      <c r="D16" s="138" t="s">
        <v>964</v>
      </c>
      <c r="E16" s="138">
        <v>8760</v>
      </c>
      <c r="F16" s="155">
        <f>'Stream Transport Energy-Cost'!E4</f>
        <v>390.44363903999999</v>
      </c>
      <c r="G16" s="155">
        <f t="shared" ref="G16:G49" si="10">(F16*(SUM($D$218:$D$222)*$C$253)+(F16*$D$215*$C$257)+(F16*$D$216*$C$256)+(F16*$D$217*$C$254))</f>
        <v>401.76650457215999</v>
      </c>
      <c r="H16" s="138" t="s">
        <v>945</v>
      </c>
      <c r="I16" s="138" t="s">
        <v>945</v>
      </c>
      <c r="J16" s="138" t="s">
        <v>945</v>
      </c>
      <c r="K16" s="153">
        <f t="shared" si="4"/>
        <v>3519474580.0521216</v>
      </c>
      <c r="L16" s="153">
        <f t="shared" ref="L16:L49" si="11">((F16*$D$215*$C$257)+(F16*$D$216*$C$256)+(F16*$D$217*$C$254))*E16*1000</f>
        <v>3423706564.2683902</v>
      </c>
      <c r="M16" s="153">
        <f t="shared" ref="M16:M49" si="12">((F16*(SUM($D$218:$D$222)*$C$253)))*E16*1000</f>
        <v>95768015.783731192</v>
      </c>
      <c r="N16" s="153"/>
    </row>
    <row r="17" spans="1:14" x14ac:dyDescent="0.35">
      <c r="A17" s="138" t="s">
        <v>962</v>
      </c>
      <c r="B17" s="155">
        <f t="shared" ref="B17:B49" si="13">B16+1</f>
        <v>3</v>
      </c>
      <c r="C17" s="155">
        <f>'Stream Transport Energy-Cost2'!C5</f>
        <v>1071763.875</v>
      </c>
      <c r="D17" s="138" t="s">
        <v>965</v>
      </c>
      <c r="E17" s="138">
        <v>8760</v>
      </c>
      <c r="F17" s="155">
        <f>'Stream Transport Energy-Cost'!E5</f>
        <v>2290.4399975184001</v>
      </c>
      <c r="G17" s="155">
        <f t="shared" si="10"/>
        <v>2356.8627574464335</v>
      </c>
      <c r="H17" s="138" t="s">
        <v>945</v>
      </c>
      <c r="I17" s="138" t="s">
        <v>945</v>
      </c>
      <c r="J17" s="138" t="s">
        <v>945</v>
      </c>
      <c r="K17" s="153">
        <f t="shared" si="4"/>
        <v>20646117755.230759</v>
      </c>
      <c r="L17" s="153">
        <f t="shared" si="11"/>
        <v>20084318632.639446</v>
      </c>
      <c r="M17" s="153">
        <f t="shared" si="12"/>
        <v>561799122.59131312</v>
      </c>
    </row>
    <row r="18" spans="1:14" x14ac:dyDescent="0.35">
      <c r="A18" s="138" t="s">
        <v>962</v>
      </c>
      <c r="B18" s="155">
        <f t="shared" si="13"/>
        <v>4</v>
      </c>
      <c r="C18" s="155">
        <f>'Stream Transport Energy-Cost2'!C6</f>
        <v>6112412.1779859485</v>
      </c>
      <c r="D18" s="138" t="s">
        <v>966</v>
      </c>
      <c r="E18" s="138">
        <v>8760</v>
      </c>
      <c r="F18" s="155">
        <f>'Stream Transport Energy-Cost'!E6</f>
        <v>725.10961536000002</v>
      </c>
      <c r="G18" s="155">
        <f t="shared" si="10"/>
        <v>746.13779420544006</v>
      </c>
      <c r="H18" s="138" t="s">
        <v>945</v>
      </c>
      <c r="I18" s="138" t="s">
        <v>945</v>
      </c>
      <c r="J18" s="138" t="s">
        <v>945</v>
      </c>
      <c r="K18" s="153">
        <f t="shared" si="4"/>
        <v>6536167077.2396545</v>
      </c>
      <c r="L18" s="153">
        <f t="shared" si="11"/>
        <v>6358312190.7841539</v>
      </c>
      <c r="M18" s="153">
        <f t="shared" si="12"/>
        <v>177854886.45550078</v>
      </c>
      <c r="N18" s="153"/>
    </row>
    <row r="19" spans="1:14" x14ac:dyDescent="0.35">
      <c r="A19" s="138" t="s">
        <v>962</v>
      </c>
      <c r="B19" s="155">
        <f t="shared" si="13"/>
        <v>5</v>
      </c>
      <c r="C19" s="155">
        <f>'Stream Transport Energy-Cost2'!C7</f>
        <v>4725763.875</v>
      </c>
      <c r="D19" s="138" t="s">
        <v>967</v>
      </c>
      <c r="E19" s="138">
        <v>8760</v>
      </c>
      <c r="F19" s="155">
        <f>'Stream Transport Energy-Cost'!E7</f>
        <v>2680.8836365583998</v>
      </c>
      <c r="G19" s="155">
        <f t="shared" si="10"/>
        <v>2758.6292620185936</v>
      </c>
      <c r="H19" s="138" t="s">
        <v>945</v>
      </c>
      <c r="I19" s="138" t="s">
        <v>945</v>
      </c>
      <c r="J19" s="138" t="s">
        <v>945</v>
      </c>
      <c r="K19" s="153">
        <f t="shared" si="4"/>
        <v>24165592335.282883</v>
      </c>
      <c r="L19" s="153">
        <f t="shared" si="11"/>
        <v>23508025196.907833</v>
      </c>
      <c r="M19" s="153">
        <f t="shared" si="12"/>
        <v>657567138.37504423</v>
      </c>
      <c r="N19" s="153"/>
    </row>
    <row r="20" spans="1:14" x14ac:dyDescent="0.35">
      <c r="A20" s="138" t="s">
        <v>962</v>
      </c>
      <c r="B20" s="155">
        <f t="shared" si="13"/>
        <v>6</v>
      </c>
      <c r="C20" s="155">
        <f>'Stream Transport Energy-Cost2'!C8</f>
        <v>3305956.5</v>
      </c>
      <c r="D20" s="138" t="s">
        <v>968</v>
      </c>
      <c r="E20" s="138">
        <v>8760</v>
      </c>
      <c r="F20" s="155">
        <f>'Stream Transport Energy-Cost'!E8</f>
        <v>353.25388242143998</v>
      </c>
      <c r="G20" s="155">
        <f t="shared" si="10"/>
        <v>363.49824501166171</v>
      </c>
      <c r="H20" s="138" t="s">
        <v>945</v>
      </c>
      <c r="I20" s="138" t="s">
        <v>945</v>
      </c>
      <c r="J20" s="138" t="s">
        <v>945</v>
      </c>
      <c r="K20" s="153">
        <f t="shared" si="4"/>
        <v>3184244626.3021564</v>
      </c>
      <c r="L20" s="153">
        <f t="shared" si="11"/>
        <v>3097598514.0218258</v>
      </c>
      <c r="M20" s="153">
        <f t="shared" si="12"/>
        <v>86646112.280330792</v>
      </c>
      <c r="N20" s="153"/>
    </row>
    <row r="21" spans="1:14" x14ac:dyDescent="0.35">
      <c r="A21" s="138" t="s">
        <v>962</v>
      </c>
      <c r="B21" s="155">
        <f t="shared" si="13"/>
        <v>7</v>
      </c>
      <c r="C21" s="155">
        <f>'Stream Transport Energy-Cost2'!C9</f>
        <v>1419807.375</v>
      </c>
      <c r="D21" s="138" t="s">
        <v>969</v>
      </c>
      <c r="E21" s="138">
        <v>8760</v>
      </c>
      <c r="F21" s="155">
        <f>'Stream Transport Energy-Cost'!E9</f>
        <v>2327.6297541369599</v>
      </c>
      <c r="G21" s="155">
        <f t="shared" si="10"/>
        <v>2395.1310170069319</v>
      </c>
      <c r="H21" s="138" t="s">
        <v>945</v>
      </c>
      <c r="I21" s="138" t="s">
        <v>945</v>
      </c>
      <c r="J21" s="138" t="s">
        <v>945</v>
      </c>
      <c r="K21" s="153">
        <f t="shared" si="4"/>
        <v>20981347708.980724</v>
      </c>
      <c r="L21" s="153">
        <f t="shared" si="11"/>
        <v>20410426682.886009</v>
      </c>
      <c r="M21" s="153">
        <f t="shared" si="12"/>
        <v>570921026.09471345</v>
      </c>
      <c r="N21" s="153"/>
    </row>
    <row r="22" spans="1:14" x14ac:dyDescent="0.35">
      <c r="A22" s="138" t="s">
        <v>962</v>
      </c>
      <c r="B22" s="155">
        <f t="shared" si="13"/>
        <v>8</v>
      </c>
      <c r="C22" s="155">
        <f>'Stream Transport Energy-Cost2'!C10</f>
        <v>208415.02499999999</v>
      </c>
      <c r="D22" s="138" t="s">
        <v>970</v>
      </c>
      <c r="E22" s="138">
        <v>8760</v>
      </c>
      <c r="F22" s="155">
        <f>'Stream Transport Energy-Cost'!E10</f>
        <v>19.478257042607996</v>
      </c>
      <c r="G22" s="155">
        <f>(F22*(SUM($D$218:$D$222)*$C$253)+(F22*$D$215*$C$257)+(F22*$D$216*$C$256)+(F22*$D$217*$C$254))</f>
        <v>20.043126496843627</v>
      </c>
      <c r="H22" s="138" t="s">
        <v>945</v>
      </c>
      <c r="I22" s="138" t="s">
        <v>945</v>
      </c>
      <c r="J22" s="138" t="s">
        <v>945</v>
      </c>
      <c r="K22" s="153">
        <f t="shared" si="4"/>
        <v>175577788.11235017</v>
      </c>
      <c r="L22" s="153">
        <f t="shared" si="11"/>
        <v>170800161.22493929</v>
      </c>
      <c r="M22" s="153">
        <f t="shared" si="12"/>
        <v>4777626.8874108894</v>
      </c>
      <c r="N22" s="153"/>
    </row>
    <row r="23" spans="1:14" x14ac:dyDescent="0.35">
      <c r="A23" s="138" t="s">
        <v>962</v>
      </c>
      <c r="B23" s="155">
        <f t="shared" si="13"/>
        <v>9</v>
      </c>
      <c r="C23" s="155">
        <f>'Stream Transport Energy-Cost2'!C11</f>
        <v>0</v>
      </c>
      <c r="D23" s="138" t="s">
        <v>971</v>
      </c>
      <c r="E23" s="138">
        <v>8760</v>
      </c>
      <c r="F23" s="155">
        <f>'Stream Transport Energy-Cost'!E11</f>
        <v>0</v>
      </c>
      <c r="G23" s="155">
        <f t="shared" si="10"/>
        <v>0</v>
      </c>
      <c r="H23" s="138" t="s">
        <v>945</v>
      </c>
      <c r="I23" s="138" t="s">
        <v>945</v>
      </c>
      <c r="J23" s="138" t="s">
        <v>945</v>
      </c>
      <c r="K23" s="153">
        <f t="shared" si="4"/>
        <v>0</v>
      </c>
      <c r="L23" s="153">
        <f t="shared" si="11"/>
        <v>0</v>
      </c>
      <c r="M23" s="153">
        <f t="shared" si="12"/>
        <v>0</v>
      </c>
      <c r="N23" s="153"/>
    </row>
    <row r="24" spans="1:14" x14ac:dyDescent="0.35">
      <c r="A24" s="138" t="s">
        <v>962</v>
      </c>
      <c r="B24" s="155">
        <f t="shared" si="13"/>
        <v>10</v>
      </c>
      <c r="C24" s="155">
        <f>'Stream Transport Energy-Cost2'!C12</f>
        <v>208414.99965951001</v>
      </c>
      <c r="D24" s="138" t="s">
        <v>972</v>
      </c>
      <c r="E24" s="138">
        <v>8760</v>
      </c>
      <c r="F24" s="155">
        <f>'Stream Transport Energy-Cost'!E12</f>
        <v>19.478135194909346</v>
      </c>
      <c r="G24" s="155">
        <f t="shared" si="10"/>
        <v>20.043001115561715</v>
      </c>
      <c r="H24" s="138" t="s">
        <v>945</v>
      </c>
      <c r="I24" s="138" t="s">
        <v>945</v>
      </c>
      <c r="J24" s="138" t="s">
        <v>945</v>
      </c>
      <c r="K24" s="153">
        <f t="shared" si="4"/>
        <v>175576689.77232063</v>
      </c>
      <c r="L24" s="153">
        <f t="shared" si="11"/>
        <v>170799092.77171329</v>
      </c>
      <c r="M24" s="153">
        <f t="shared" si="12"/>
        <v>4777597.0006073629</v>
      </c>
      <c r="N24" s="153"/>
    </row>
    <row r="25" spans="1:14" x14ac:dyDescent="0.35">
      <c r="A25" s="138" t="s">
        <v>962</v>
      </c>
      <c r="B25" s="155">
        <f t="shared" si="13"/>
        <v>11</v>
      </c>
      <c r="C25" s="155">
        <f>'Stream Transport Energy-Cost2'!C13</f>
        <v>1211392.3500000001</v>
      </c>
      <c r="D25" s="138" t="s">
        <v>973</v>
      </c>
      <c r="E25" s="138">
        <v>8760</v>
      </c>
      <c r="F25" s="155">
        <f>'Stream Transport Energy-Cost'!E13</f>
        <v>2308.1514970943522</v>
      </c>
      <c r="G25" s="155">
        <f t="shared" si="10"/>
        <v>2375.0878905100885</v>
      </c>
      <c r="H25" s="138" t="s">
        <v>945</v>
      </c>
      <c r="I25" s="138" t="s">
        <v>945</v>
      </c>
      <c r="J25" s="138" t="s">
        <v>945</v>
      </c>
      <c r="K25" s="153">
        <f t="shared" si="4"/>
        <v>20805769920.868374</v>
      </c>
      <c r="L25" s="153">
        <f t="shared" si="11"/>
        <v>20239626521.661072</v>
      </c>
      <c r="M25" s="153">
        <f t="shared" si="12"/>
        <v>566143399.20730257</v>
      </c>
      <c r="N25" s="153"/>
    </row>
    <row r="26" spans="1:14" x14ac:dyDescent="0.35">
      <c r="A26" s="138" t="s">
        <v>962</v>
      </c>
      <c r="B26" s="155">
        <f t="shared" si="13"/>
        <v>12</v>
      </c>
      <c r="C26" s="155">
        <f>'Stream Transport Energy-Cost2'!C14</f>
        <v>0</v>
      </c>
      <c r="D26" s="138" t="s">
        <v>974</v>
      </c>
      <c r="E26" s="138">
        <v>8760</v>
      </c>
      <c r="F26" s="155">
        <f>'Stream Transport Energy-Cost'!E14</f>
        <v>0</v>
      </c>
      <c r="G26" s="155">
        <f t="shared" si="10"/>
        <v>0</v>
      </c>
      <c r="H26" s="138" t="s">
        <v>945</v>
      </c>
      <c r="I26" s="138" t="s">
        <v>945</v>
      </c>
      <c r="J26" s="138" t="s">
        <v>945</v>
      </c>
      <c r="K26" s="153">
        <f t="shared" si="4"/>
        <v>0</v>
      </c>
      <c r="L26" s="153">
        <f t="shared" si="11"/>
        <v>0</v>
      </c>
      <c r="M26" s="153">
        <f t="shared" si="12"/>
        <v>0</v>
      </c>
      <c r="N26" s="153"/>
    </row>
    <row r="27" spans="1:14" x14ac:dyDescent="0.35">
      <c r="A27" s="138" t="s">
        <v>962</v>
      </c>
      <c r="B27" s="155">
        <f t="shared" si="13"/>
        <v>13</v>
      </c>
      <c r="C27" s="155">
        <f>'Stream Transport Energy-Cost2'!C15</f>
        <v>1199278.4265000001</v>
      </c>
      <c r="D27" s="138" t="s">
        <v>975</v>
      </c>
      <c r="E27" s="138">
        <v>8760</v>
      </c>
      <c r="F27" s="155">
        <f>'Stream Transport Energy-Cost'!E15</f>
        <v>2285.0699821234084</v>
      </c>
      <c r="G27" s="155">
        <f t="shared" si="10"/>
        <v>2351.3370116049873</v>
      </c>
      <c r="H27" s="138" t="s">
        <v>945</v>
      </c>
      <c r="I27" s="138" t="s">
        <v>945</v>
      </c>
      <c r="J27" s="138" t="s">
        <v>945</v>
      </c>
      <c r="K27" s="153">
        <f t="shared" si="4"/>
        <v>20597712221.659691</v>
      </c>
      <c r="L27" s="153">
        <f t="shared" si="11"/>
        <v>20037230256.444458</v>
      </c>
      <c r="M27" s="153">
        <f t="shared" si="12"/>
        <v>560481965.21522951</v>
      </c>
      <c r="N27" s="153"/>
    </row>
    <row r="28" spans="1:14" x14ac:dyDescent="0.35">
      <c r="A28" s="138" t="s">
        <v>962</v>
      </c>
      <c r="B28" s="155">
        <f t="shared" si="13"/>
        <v>14</v>
      </c>
      <c r="C28" s="155">
        <f>'Stream Transport Energy-Cost2'!C16</f>
        <v>84.558127499999998</v>
      </c>
      <c r="D28" s="138" t="s">
        <v>976</v>
      </c>
      <c r="E28" s="138">
        <v>8760</v>
      </c>
      <c r="F28" s="155">
        <f>'Stream Transport Energy-Cost'!E16</f>
        <v>8.2622754566352E-2</v>
      </c>
      <c r="G28" s="155">
        <f t="shared" si="10"/>
        <v>8.5018814448776195E-2</v>
      </c>
      <c r="H28" s="138" t="s">
        <v>945</v>
      </c>
      <c r="I28" s="138" t="s">
        <v>945</v>
      </c>
      <c r="J28" s="138" t="s">
        <v>945</v>
      </c>
      <c r="K28" s="153">
        <f t="shared" si="4"/>
        <v>744764.81457127945</v>
      </c>
      <c r="L28" s="153">
        <f t="shared" si="11"/>
        <v>724499.10533124465</v>
      </c>
      <c r="M28" s="153">
        <f t="shared" si="12"/>
        <v>20265.709240034816</v>
      </c>
      <c r="N28" s="153"/>
    </row>
    <row r="29" spans="1:14" x14ac:dyDescent="0.35">
      <c r="A29" s="138" t="s">
        <v>962</v>
      </c>
      <c r="B29" s="155">
        <f t="shared" si="13"/>
        <v>15</v>
      </c>
      <c r="C29" s="155">
        <f>'Stream Transport Energy-Cost2'!C17</f>
        <v>0</v>
      </c>
      <c r="D29" s="138" t="s">
        <v>977</v>
      </c>
      <c r="E29" s="138">
        <v>8760</v>
      </c>
      <c r="F29" s="155">
        <f>'Stream Transport Energy-Cost'!E17</f>
        <v>0</v>
      </c>
      <c r="G29" s="155">
        <f t="shared" si="10"/>
        <v>0</v>
      </c>
      <c r="H29" s="138" t="s">
        <v>945</v>
      </c>
      <c r="I29" s="138" t="s">
        <v>945</v>
      </c>
      <c r="J29" s="138" t="s">
        <v>945</v>
      </c>
      <c r="K29" s="153">
        <f t="shared" si="4"/>
        <v>0</v>
      </c>
      <c r="L29" s="153">
        <f t="shared" si="11"/>
        <v>0</v>
      </c>
      <c r="M29" s="153">
        <f t="shared" si="12"/>
        <v>0</v>
      </c>
      <c r="N29" s="153"/>
    </row>
    <row r="30" spans="1:14" x14ac:dyDescent="0.35">
      <c r="A30" s="138" t="s">
        <v>962</v>
      </c>
      <c r="B30" s="155">
        <f t="shared" si="13"/>
        <v>16</v>
      </c>
      <c r="C30" s="155">
        <f>'Stream Transport Energy-Cost2'!C18</f>
        <v>1199193.8683725002</v>
      </c>
      <c r="D30" s="138" t="s">
        <v>978</v>
      </c>
      <c r="E30" s="138">
        <v>8760</v>
      </c>
      <c r="F30" s="155">
        <f>'Stream Transport Energy-Cost'!E18</f>
        <v>2284.9873593688421</v>
      </c>
      <c r="G30" s="155">
        <f t="shared" si="10"/>
        <v>2351.2519927905382</v>
      </c>
      <c r="H30" s="138" t="s">
        <v>945</v>
      </c>
      <c r="I30" s="138" t="s">
        <v>945</v>
      </c>
      <c r="J30" s="138" t="s">
        <v>945</v>
      </c>
      <c r="K30" s="153">
        <f t="shared" si="4"/>
        <v>20596967456.845116</v>
      </c>
      <c r="L30" s="153">
        <f t="shared" si="11"/>
        <v>20036505757.339127</v>
      </c>
      <c r="M30" s="153">
        <f t="shared" si="12"/>
        <v>560461699.50598955</v>
      </c>
      <c r="N30" s="153"/>
    </row>
    <row r="31" spans="1:14" x14ac:dyDescent="0.35">
      <c r="A31" s="138" t="s">
        <v>962</v>
      </c>
      <c r="B31" s="155">
        <f t="shared" si="13"/>
        <v>17</v>
      </c>
      <c r="C31" s="155">
        <f>'Stream Transport Energy-Cost2'!C19</f>
        <v>6112412.1779859485</v>
      </c>
      <c r="D31" s="138" t="s">
        <v>979</v>
      </c>
      <c r="E31" s="138">
        <v>8760</v>
      </c>
      <c r="F31" s="155">
        <f>'Stream Transport Energy-Cost'!E19</f>
        <v>725.10961536000002</v>
      </c>
      <c r="G31" s="155">
        <f t="shared" si="10"/>
        <v>746.13779420544006</v>
      </c>
      <c r="H31" s="138" t="s">
        <v>945</v>
      </c>
      <c r="I31" s="138" t="s">
        <v>945</v>
      </c>
      <c r="J31" s="138" t="s">
        <v>945</v>
      </c>
      <c r="K31" s="153">
        <f t="shared" si="4"/>
        <v>6536167077.2396545</v>
      </c>
      <c r="L31" s="153">
        <f t="shared" si="11"/>
        <v>6358312190.7841539</v>
      </c>
      <c r="M31" s="153">
        <f t="shared" si="12"/>
        <v>177854886.45550078</v>
      </c>
      <c r="N31" s="153"/>
    </row>
    <row r="32" spans="1:14" x14ac:dyDescent="0.35">
      <c r="A32" s="138" t="s">
        <v>962</v>
      </c>
      <c r="B32" s="155">
        <f t="shared" si="13"/>
        <v>18</v>
      </c>
      <c r="C32" s="155">
        <f>'Stream Transport Energy-Cost2'!C20</f>
        <v>5745667.4473067923</v>
      </c>
      <c r="D32" s="138" t="s">
        <v>980</v>
      </c>
      <c r="E32" s="138">
        <v>8760</v>
      </c>
      <c r="F32" s="155">
        <f>'Stream Transport Energy-Cost'!E20</f>
        <v>652.59865382399994</v>
      </c>
      <c r="G32" s="155">
        <f t="shared" si="10"/>
        <v>671.52401478489594</v>
      </c>
      <c r="H32" s="138" t="s">
        <v>945</v>
      </c>
      <c r="I32" s="138" t="s">
        <v>945</v>
      </c>
      <c r="J32" s="138" t="s">
        <v>945</v>
      </c>
      <c r="K32" s="153">
        <f t="shared" si="4"/>
        <v>5882550369.5156879</v>
      </c>
      <c r="L32" s="153">
        <f t="shared" si="11"/>
        <v>5722480971.7057381</v>
      </c>
      <c r="M32" s="153">
        <f t="shared" si="12"/>
        <v>160069397.80995068</v>
      </c>
      <c r="N32" s="153"/>
    </row>
    <row r="33" spans="1:17" x14ac:dyDescent="0.35">
      <c r="A33" s="138" t="s">
        <v>962</v>
      </c>
      <c r="B33" s="155">
        <f t="shared" si="13"/>
        <v>19</v>
      </c>
      <c r="C33" s="155">
        <f>'Stream Transport Energy-Cost2'!C21</f>
        <v>9043402.4473067932</v>
      </c>
      <c r="D33" s="138" t="s">
        <v>981</v>
      </c>
      <c r="E33" s="138">
        <v>8760</v>
      </c>
      <c r="F33" s="155">
        <f>'Stream Transport Energy-Cost'!E21</f>
        <v>1004.9740380576</v>
      </c>
      <c r="G33" s="155">
        <f t="shared" si="10"/>
        <v>1034.1182851612703</v>
      </c>
      <c r="H33" s="138" t="s">
        <v>945</v>
      </c>
      <c r="I33" s="138" t="s">
        <v>945</v>
      </c>
      <c r="J33" s="138" t="s">
        <v>945</v>
      </c>
      <c r="K33" s="153">
        <f t="shared" si="4"/>
        <v>9058876178.0127277</v>
      </c>
      <c r="L33" s="153">
        <f t="shared" si="11"/>
        <v>8812376145.9579601</v>
      </c>
      <c r="M33" s="153">
        <f t="shared" si="12"/>
        <v>246500032.05476809</v>
      </c>
      <c r="N33" s="153"/>
    </row>
    <row r="34" spans="1:17" x14ac:dyDescent="0.35">
      <c r="A34" s="138" t="s">
        <v>962</v>
      </c>
      <c r="B34" s="155">
        <f t="shared" si="13"/>
        <v>20</v>
      </c>
      <c r="C34" s="155">
        <f>'Stream Transport Energy-Cost2'!C22</f>
        <v>9043402.4473067932</v>
      </c>
      <c r="D34" s="138" t="s">
        <v>982</v>
      </c>
      <c r="E34" s="138">
        <v>8760</v>
      </c>
      <c r="F34" s="155">
        <f>'Stream Transport Energy-Cost'!E22</f>
        <v>1004.9740380576</v>
      </c>
      <c r="G34" s="155">
        <f t="shared" si="10"/>
        <v>1034.1182851612703</v>
      </c>
      <c r="H34" s="138" t="s">
        <v>945</v>
      </c>
      <c r="I34" s="138" t="s">
        <v>945</v>
      </c>
      <c r="J34" s="138" t="s">
        <v>945</v>
      </c>
      <c r="K34" s="153">
        <f t="shared" si="4"/>
        <v>9058876178.0127277</v>
      </c>
      <c r="L34" s="153">
        <f t="shared" si="11"/>
        <v>8812376145.9579601</v>
      </c>
      <c r="M34" s="153">
        <f t="shared" si="12"/>
        <v>246500032.05476809</v>
      </c>
      <c r="N34" s="153"/>
    </row>
    <row r="35" spans="1:17" x14ac:dyDescent="0.35">
      <c r="A35" s="138" t="s">
        <v>962</v>
      </c>
      <c r="B35" s="155">
        <f t="shared" si="13"/>
        <v>21</v>
      </c>
      <c r="C35" s="155">
        <f>'Stream Transport Energy-Cost2'!C23</f>
        <v>366744.7306791569</v>
      </c>
      <c r="D35" s="138" t="s">
        <v>983</v>
      </c>
      <c r="E35" s="138">
        <v>8760</v>
      </c>
      <c r="F35" s="155">
        <f>'Stream Transport Energy-Cost'!E23</f>
        <v>72.510961535999996</v>
      </c>
      <c r="G35" s="155">
        <f t="shared" si="10"/>
        <v>74.613779420543992</v>
      </c>
      <c r="H35" s="138" t="s">
        <v>945</v>
      </c>
      <c r="I35" s="138" t="s">
        <v>945</v>
      </c>
      <c r="J35" s="138" t="s">
        <v>945</v>
      </c>
      <c r="K35" s="153">
        <f t="shared" si="4"/>
        <v>653616707.72396541</v>
      </c>
      <c r="L35" s="153">
        <f t="shared" si="11"/>
        <v>635831219.07841527</v>
      </c>
      <c r="M35" s="153">
        <f t="shared" si="12"/>
        <v>17785488.64555008</v>
      </c>
      <c r="N35" s="153"/>
    </row>
    <row r="36" spans="1:17" x14ac:dyDescent="0.35">
      <c r="A36" s="138" t="s">
        <v>962</v>
      </c>
      <c r="B36" s="155">
        <f t="shared" si="13"/>
        <v>22</v>
      </c>
      <c r="C36" s="155">
        <f>'Stream Transport Energy-Cost2'!C24</f>
        <v>0</v>
      </c>
      <c r="D36" s="138" t="s">
        <v>984</v>
      </c>
      <c r="E36" s="138">
        <v>8760</v>
      </c>
      <c r="F36" s="155">
        <f>'Stream Transport Energy-Cost'!E24</f>
        <v>0</v>
      </c>
      <c r="G36" s="155">
        <f t="shared" si="10"/>
        <v>0</v>
      </c>
      <c r="H36" s="138" t="s">
        <v>945</v>
      </c>
      <c r="I36" s="138" t="s">
        <v>945</v>
      </c>
      <c r="J36" s="138" t="s">
        <v>945</v>
      </c>
      <c r="K36" s="153">
        <f t="shared" si="4"/>
        <v>0</v>
      </c>
      <c r="L36" s="153">
        <f t="shared" si="11"/>
        <v>0</v>
      </c>
      <c r="M36" s="153">
        <f t="shared" si="12"/>
        <v>0</v>
      </c>
      <c r="N36" s="153"/>
    </row>
    <row r="37" spans="1:17" x14ac:dyDescent="0.35">
      <c r="A37" s="138" t="s">
        <v>962</v>
      </c>
      <c r="B37" s="155">
        <f t="shared" si="13"/>
        <v>23</v>
      </c>
      <c r="C37" s="155">
        <f>'Stream Transport Energy-Cost2'!C25</f>
        <v>366744.7306791569</v>
      </c>
      <c r="D37" s="138" t="s">
        <v>985</v>
      </c>
      <c r="E37" s="138">
        <v>8760</v>
      </c>
      <c r="F37" s="155">
        <f>'Stream Transport Energy-Cost'!E25</f>
        <v>72.510961535999996</v>
      </c>
      <c r="G37" s="155">
        <f t="shared" si="10"/>
        <v>74.613779420543992</v>
      </c>
      <c r="H37" s="138" t="s">
        <v>945</v>
      </c>
      <c r="I37" s="138" t="s">
        <v>945</v>
      </c>
      <c r="J37" s="138" t="s">
        <v>945</v>
      </c>
      <c r="K37" s="153">
        <f t="shared" si="4"/>
        <v>653616707.72396541</v>
      </c>
      <c r="L37" s="153">
        <f t="shared" si="11"/>
        <v>635831219.07841527</v>
      </c>
      <c r="M37" s="153">
        <f t="shared" si="12"/>
        <v>17785488.64555008</v>
      </c>
      <c r="N37" s="153"/>
    </row>
    <row r="38" spans="1:17" x14ac:dyDescent="0.35">
      <c r="A38" s="138" t="s">
        <v>962</v>
      </c>
      <c r="B38" s="155">
        <f t="shared" si="13"/>
        <v>24</v>
      </c>
      <c r="C38" s="155">
        <f>'Stream Transport Energy-Cost2'!C26</f>
        <v>9618562.1776454598</v>
      </c>
      <c r="D38" s="138" t="s">
        <v>986</v>
      </c>
      <c r="E38" s="138">
        <v>8760</v>
      </c>
      <c r="F38" s="155">
        <f>'Stream Transport Energy-Cost'!E26</f>
        <v>1096.9631347885093</v>
      </c>
      <c r="G38" s="155">
        <f t="shared" si="10"/>
        <v>1128.7750656973762</v>
      </c>
      <c r="H38" s="138" t="s">
        <v>945</v>
      </c>
      <c r="I38" s="138" t="s">
        <v>945</v>
      </c>
      <c r="J38" s="138" t="s">
        <v>945</v>
      </c>
      <c r="K38" s="153">
        <f t="shared" si="4"/>
        <v>9888069575.509016</v>
      </c>
      <c r="L38" s="153">
        <f t="shared" si="11"/>
        <v>9619006457.8080883</v>
      </c>
      <c r="M38" s="153">
        <f t="shared" si="12"/>
        <v>269063117.70092553</v>
      </c>
      <c r="N38" s="153"/>
    </row>
    <row r="39" spans="1:17" x14ac:dyDescent="0.35">
      <c r="A39" s="138" t="s">
        <v>962</v>
      </c>
      <c r="B39" s="155">
        <f t="shared" si="13"/>
        <v>25</v>
      </c>
      <c r="C39" s="155">
        <f>'Stream Transport Energy-Cost2'!C27</f>
        <v>0</v>
      </c>
      <c r="D39" s="138" t="s">
        <v>987</v>
      </c>
      <c r="E39" s="138">
        <v>8760</v>
      </c>
      <c r="F39" s="155">
        <f>'Stream Transport Energy-Cost'!E27</f>
        <v>0</v>
      </c>
      <c r="G39" s="155">
        <f t="shared" si="10"/>
        <v>0</v>
      </c>
      <c r="H39" s="138" t="s">
        <v>945</v>
      </c>
      <c r="I39" s="138" t="s">
        <v>945</v>
      </c>
      <c r="J39" s="138" t="s">
        <v>945</v>
      </c>
      <c r="K39" s="153">
        <f t="shared" si="4"/>
        <v>0</v>
      </c>
      <c r="L39" s="153">
        <f t="shared" si="11"/>
        <v>0</v>
      </c>
      <c r="M39" s="153">
        <f t="shared" si="12"/>
        <v>0</v>
      </c>
      <c r="N39" s="153"/>
    </row>
    <row r="40" spans="1:17" x14ac:dyDescent="0.35">
      <c r="A40" s="138" t="s">
        <v>962</v>
      </c>
      <c r="B40" s="155">
        <f t="shared" si="13"/>
        <v>26</v>
      </c>
      <c r="C40" s="155">
        <f>'Stream Transport Energy-Cost2'!C28</f>
        <v>9433000.3462637272</v>
      </c>
      <c r="D40" s="138" t="s">
        <v>988</v>
      </c>
      <c r="E40" s="138">
        <v>8760</v>
      </c>
      <c r="F40" s="155">
        <f>'Stream Transport Energy-Cost'!E28</f>
        <v>1075.7676229549093</v>
      </c>
      <c r="G40" s="155">
        <f t="shared" si="10"/>
        <v>1106.9648840206016</v>
      </c>
      <c r="H40" s="138" t="s">
        <v>945</v>
      </c>
      <c r="I40" s="138" t="s">
        <v>945</v>
      </c>
      <c r="J40" s="138" t="s">
        <v>945</v>
      </c>
      <c r="K40" s="153">
        <f t="shared" si="4"/>
        <v>9697012384.0204697</v>
      </c>
      <c r="L40" s="153">
        <f t="shared" si="11"/>
        <v>9433148101.4620895</v>
      </c>
      <c r="M40" s="153">
        <f t="shared" si="12"/>
        <v>263864282.5583801</v>
      </c>
      <c r="N40" s="153"/>
    </row>
    <row r="41" spans="1:17" x14ac:dyDescent="0.35">
      <c r="A41" s="138" t="s">
        <v>962</v>
      </c>
      <c r="B41" s="155">
        <f t="shared" si="13"/>
        <v>27</v>
      </c>
      <c r="C41" s="155">
        <f>'Stream Transport Energy-Cost2'!C29</f>
        <v>10632194.214636227</v>
      </c>
      <c r="D41" s="138" t="s">
        <v>989</v>
      </c>
      <c r="E41" s="138">
        <v>8760</v>
      </c>
      <c r="F41" s="155">
        <f>'Stream Transport Energy-Cost'!E29</f>
        <v>3360.7549823237518</v>
      </c>
      <c r="G41" s="155">
        <f t="shared" si="10"/>
        <v>3458.216876811141</v>
      </c>
      <c r="H41" s="138" t="s">
        <v>945</v>
      </c>
      <c r="I41" s="138" t="s">
        <v>945</v>
      </c>
      <c r="J41" s="138" t="s">
        <v>945</v>
      </c>
      <c r="K41" s="153">
        <f t="shared" si="4"/>
        <v>30293979840.865593</v>
      </c>
      <c r="L41" s="153">
        <f t="shared" si="11"/>
        <v>29469653858.801228</v>
      </c>
      <c r="M41" s="153">
        <f t="shared" si="12"/>
        <v>824325982.06436968</v>
      </c>
      <c r="N41" s="153"/>
    </row>
    <row r="42" spans="1:17" x14ac:dyDescent="0.35">
      <c r="A42" s="138" t="s">
        <v>962</v>
      </c>
      <c r="B42" s="155">
        <f t="shared" si="13"/>
        <v>28</v>
      </c>
      <c r="C42" s="155">
        <f>'Stream Transport Energy-Cost2'!C30</f>
        <v>2597146.934190392</v>
      </c>
      <c r="D42" s="138" t="s">
        <v>990</v>
      </c>
      <c r="E42" s="138">
        <v>8760</v>
      </c>
      <c r="F42" s="155">
        <f>'Stream Transport Energy-Cost'!E30</f>
        <v>297.02715726580607</v>
      </c>
      <c r="G42" s="155">
        <f t="shared" si="10"/>
        <v>305.64094482651444</v>
      </c>
      <c r="H42" s="138" t="s">
        <v>945</v>
      </c>
      <c r="I42" s="138" t="s">
        <v>945</v>
      </c>
      <c r="J42" s="138" t="s">
        <v>945</v>
      </c>
      <c r="K42" s="153">
        <f t="shared" si="4"/>
        <v>2677414676.6802664</v>
      </c>
      <c r="L42" s="153">
        <f t="shared" si="11"/>
        <v>2604559855.5461092</v>
      </c>
      <c r="M42" s="153">
        <f t="shared" si="12"/>
        <v>72854821.134156898</v>
      </c>
      <c r="N42" s="153"/>
    </row>
    <row r="43" spans="1:17" x14ac:dyDescent="0.35">
      <c r="A43" s="138" t="s">
        <v>962</v>
      </c>
      <c r="B43" s="155">
        <f t="shared" si="13"/>
        <v>29</v>
      </c>
      <c r="C43" s="155">
        <f>'Stream Transport Energy-Cost2'!C31</f>
        <v>0</v>
      </c>
      <c r="D43" s="138" t="s">
        <v>991</v>
      </c>
      <c r="E43" s="138">
        <v>8760</v>
      </c>
      <c r="F43" s="155">
        <f>'Stream Transport Energy-Cost'!E31</f>
        <v>0</v>
      </c>
      <c r="G43" s="155">
        <f t="shared" si="10"/>
        <v>0</v>
      </c>
      <c r="H43" s="138" t="s">
        <v>945</v>
      </c>
      <c r="I43" s="138" t="s">
        <v>945</v>
      </c>
      <c r="J43" s="138" t="s">
        <v>945</v>
      </c>
      <c r="K43" s="153">
        <f t="shared" si="4"/>
        <v>0</v>
      </c>
      <c r="L43" s="153">
        <f t="shared" si="11"/>
        <v>0</v>
      </c>
      <c r="M43" s="153">
        <f t="shared" si="12"/>
        <v>0</v>
      </c>
      <c r="N43" s="153"/>
    </row>
    <row r="44" spans="1:17" x14ac:dyDescent="0.35">
      <c r="A44" s="138" t="s">
        <v>962</v>
      </c>
      <c r="B44" s="155">
        <f t="shared" si="13"/>
        <v>30</v>
      </c>
      <c r="C44" s="155">
        <f>'Stream Transport Energy-Cost2'!C32</f>
        <v>2532617.3351272065</v>
      </c>
      <c r="D44" s="138" t="s">
        <v>992</v>
      </c>
      <c r="E44" s="138">
        <v>8760</v>
      </c>
      <c r="F44" s="155">
        <f>'Stream Transport Energy-Cost'!E32</f>
        <v>2434.4330003422547</v>
      </c>
      <c r="G44" s="155">
        <f t="shared" si="10"/>
        <v>2505.0315573521802</v>
      </c>
      <c r="H44" s="138" t="s">
        <v>945</v>
      </c>
      <c r="I44" s="138" t="s">
        <v>945</v>
      </c>
      <c r="J44" s="138" t="s">
        <v>945</v>
      </c>
      <c r="K44" s="153">
        <f t="shared" si="4"/>
        <v>21944076442.405098</v>
      </c>
      <c r="L44" s="153">
        <f t="shared" si="11"/>
        <v>21346958716.08115</v>
      </c>
      <c r="M44" s="153">
        <f t="shared" si="12"/>
        <v>597117726.32394814</v>
      </c>
      <c r="N44" s="153"/>
      <c r="Q44" s="138" t="s">
        <v>993</v>
      </c>
    </row>
    <row r="45" spans="1:17" x14ac:dyDescent="0.35">
      <c r="A45" s="138" t="s">
        <v>962</v>
      </c>
      <c r="B45" s="155">
        <f t="shared" si="13"/>
        <v>31</v>
      </c>
      <c r="C45" s="155">
        <f>'Stream Transport Energy-Cost2'!C33</f>
        <v>0</v>
      </c>
      <c r="D45" s="138" t="s">
        <v>994</v>
      </c>
      <c r="E45" s="138">
        <v>8760</v>
      </c>
      <c r="F45" s="155">
        <f>'Stream Transport Energy-Cost'!E33</f>
        <v>0</v>
      </c>
      <c r="G45" s="155">
        <f t="shared" si="10"/>
        <v>0</v>
      </c>
      <c r="H45" s="138" t="s">
        <v>945</v>
      </c>
      <c r="I45" s="138" t="s">
        <v>945</v>
      </c>
      <c r="J45" s="138" t="s">
        <v>945</v>
      </c>
      <c r="K45" s="153">
        <f t="shared" si="4"/>
        <v>0</v>
      </c>
      <c r="L45" s="153">
        <f t="shared" si="11"/>
        <v>0</v>
      </c>
      <c r="M45" s="153">
        <f t="shared" si="12"/>
        <v>0</v>
      </c>
      <c r="N45" s="153"/>
    </row>
    <row r="46" spans="1:17" x14ac:dyDescent="0.35">
      <c r="A46" s="138" t="s">
        <v>962</v>
      </c>
      <c r="B46" s="155">
        <f t="shared" si="13"/>
        <v>32</v>
      </c>
      <c r="C46" s="155">
        <f>'Stream Transport Energy-Cost2'!C34</f>
        <v>431218.31221207517</v>
      </c>
      <c r="D46" s="138" t="s">
        <v>995</v>
      </c>
      <c r="E46" s="138">
        <v>8760</v>
      </c>
      <c r="F46" s="155">
        <f>'Stream Transport Energy-Cost'!E34</f>
        <v>483.24607973194003</v>
      </c>
      <c r="G46" s="155">
        <f t="shared" si="10"/>
        <v>497.26021604416627</v>
      </c>
      <c r="H46" s="138" t="s">
        <v>945</v>
      </c>
      <c r="I46" s="138" t="s">
        <v>945</v>
      </c>
      <c r="J46" s="138" t="s">
        <v>945</v>
      </c>
      <c r="K46" s="153">
        <f t="shared" si="4"/>
        <v>4355999492.546896</v>
      </c>
      <c r="L46" s="153">
        <f t="shared" si="11"/>
        <v>4237468894.1102467</v>
      </c>
      <c r="M46" s="153">
        <f t="shared" si="12"/>
        <v>118530598.43665023</v>
      </c>
      <c r="N46" s="153"/>
    </row>
    <row r="47" spans="1:17" x14ac:dyDescent="0.35">
      <c r="A47" s="138" t="s">
        <v>962</v>
      </c>
      <c r="B47" s="155">
        <f t="shared" si="13"/>
        <v>33</v>
      </c>
      <c r="C47" s="155">
        <f>'Stream Transport Energy-Cost2'!C35</f>
        <v>5502429.9453186281</v>
      </c>
      <c r="D47" s="138" t="s">
        <v>996</v>
      </c>
      <c r="E47" s="138">
        <v>8760</v>
      </c>
      <c r="F47" s="155">
        <f>'Stream Transport Energy-Cost'!E35</f>
        <v>629.29482471569077</v>
      </c>
      <c r="G47" s="155">
        <f t="shared" si="10"/>
        <v>647.54437463244585</v>
      </c>
      <c r="H47" s="138" t="s">
        <v>945</v>
      </c>
      <c r="I47" s="138" t="s">
        <v>945</v>
      </c>
      <c r="J47" s="138" t="s">
        <v>945</v>
      </c>
      <c r="K47" s="153">
        <f t="shared" si="4"/>
        <v>5672488721.7802258</v>
      </c>
      <c r="L47" s="153">
        <f t="shared" si="11"/>
        <v>5518135287.1739616</v>
      </c>
      <c r="M47" s="153">
        <f t="shared" si="12"/>
        <v>154353434.60626462</v>
      </c>
      <c r="N47" s="153"/>
    </row>
    <row r="48" spans="1:17" x14ac:dyDescent="0.35">
      <c r="A48" s="138" t="s">
        <v>962</v>
      </c>
      <c r="B48" s="155">
        <f t="shared" si="13"/>
        <v>34</v>
      </c>
      <c r="C48" s="155">
        <f>'Stream Transport Energy-Cost2'!C36</f>
        <v>5502514.5034461282</v>
      </c>
      <c r="D48" s="138" t="s">
        <v>997</v>
      </c>
      <c r="E48" s="138">
        <v>8760</v>
      </c>
      <c r="F48" s="155">
        <f>'Stream Transport Energy-Cost'!E36</f>
        <v>629.37744747025715</v>
      </c>
      <c r="G48" s="155">
        <f t="shared" si="10"/>
        <v>647.62939344689471</v>
      </c>
      <c r="H48" s="138" t="s">
        <v>945</v>
      </c>
      <c r="I48" s="138" t="s">
        <v>945</v>
      </c>
      <c r="J48" s="138" t="s">
        <v>945</v>
      </c>
      <c r="K48" s="153">
        <f t="shared" si="4"/>
        <v>5673233486.5947981</v>
      </c>
      <c r="L48" s="153">
        <f t="shared" si="11"/>
        <v>5518859786.2792931</v>
      </c>
      <c r="M48" s="153">
        <f t="shared" si="12"/>
        <v>154373700.31550467</v>
      </c>
      <c r="N48" s="153"/>
    </row>
    <row r="49" spans="1:13" x14ac:dyDescent="0.35">
      <c r="A49" s="138" t="s">
        <v>962</v>
      </c>
      <c r="B49" s="155">
        <f t="shared" si="13"/>
        <v>35</v>
      </c>
      <c r="C49" s="155">
        <f>'Stream Transport Energy-Cost2'!C37</f>
        <v>0</v>
      </c>
      <c r="D49" s="138" t="s">
        <v>998</v>
      </c>
      <c r="E49" s="138">
        <v>8760</v>
      </c>
      <c r="F49" s="155">
        <f>'Stream Transport Energy-Cost'!E37</f>
        <v>0</v>
      </c>
      <c r="G49" s="155">
        <f t="shared" si="10"/>
        <v>0</v>
      </c>
      <c r="H49" s="138" t="s">
        <v>945</v>
      </c>
      <c r="I49" s="138" t="s">
        <v>945</v>
      </c>
      <c r="J49" s="138" t="s">
        <v>945</v>
      </c>
      <c r="K49" s="153">
        <f t="shared" si="4"/>
        <v>0</v>
      </c>
      <c r="L49" s="153">
        <f t="shared" si="11"/>
        <v>0</v>
      </c>
      <c r="M49" s="153">
        <f t="shared" si="12"/>
        <v>0</v>
      </c>
    </row>
    <row r="52" spans="1:13" x14ac:dyDescent="0.35">
      <c r="B52" s="152" t="s">
        <v>999</v>
      </c>
      <c r="C52" s="172" t="s">
        <v>999</v>
      </c>
    </row>
    <row r="53" spans="1:13" ht="29" x14ac:dyDescent="0.35">
      <c r="A53" s="175" t="s">
        <v>1000</v>
      </c>
      <c r="B53" s="176" t="s">
        <v>1001</v>
      </c>
      <c r="C53" s="176" t="s">
        <v>1002</v>
      </c>
    </row>
    <row r="54" spans="1:13" x14ac:dyDescent="0.35">
      <c r="A54" s="173" t="s">
        <v>940</v>
      </c>
      <c r="B54" s="178">
        <f>SUM(G3,G5:G6)</f>
        <v>1030353.9387511861</v>
      </c>
      <c r="C54" s="177">
        <v>0</v>
      </c>
    </row>
    <row r="55" spans="1:13" x14ac:dyDescent="0.35">
      <c r="A55" s="173" t="s">
        <v>6</v>
      </c>
      <c r="B55" s="178">
        <f>G4</f>
        <v>57710.718099053774</v>
      </c>
      <c r="C55" s="177"/>
    </row>
    <row r="56" spans="1:13" x14ac:dyDescent="0.35">
      <c r="A56" s="173" t="s">
        <v>944</v>
      </c>
      <c r="B56" s="178">
        <f>G7</f>
        <v>0</v>
      </c>
      <c r="C56" s="178">
        <v>0</v>
      </c>
    </row>
    <row r="57" spans="1:13" x14ac:dyDescent="0.35">
      <c r="A57" s="173" t="s">
        <v>946</v>
      </c>
      <c r="B57" s="178">
        <f>G8</f>
        <v>217.15528131878858</v>
      </c>
      <c r="C57" s="178">
        <v>0</v>
      </c>
      <c r="E57" s="194"/>
      <c r="F57" s="194"/>
    </row>
    <row r="58" spans="1:13" x14ac:dyDescent="0.35">
      <c r="A58" s="173" t="s">
        <v>893</v>
      </c>
      <c r="B58" s="178">
        <f>SUM(G9:G11)</f>
        <v>21916.217935096625</v>
      </c>
      <c r="C58" s="178">
        <v>0</v>
      </c>
      <c r="E58" s="194"/>
    </row>
    <row r="59" spans="1:13" x14ac:dyDescent="0.35">
      <c r="A59" s="173" t="s">
        <v>1003</v>
      </c>
      <c r="B59" s="178">
        <f>G12</f>
        <v>1266.8236515261608</v>
      </c>
      <c r="C59" s="178">
        <f>H196*C12/E12</f>
        <v>6279.7411265552628</v>
      </c>
      <c r="E59" s="194"/>
    </row>
    <row r="60" spans="1:13" customFormat="1" x14ac:dyDescent="0.35">
      <c r="A60" s="173" t="s">
        <v>960</v>
      </c>
      <c r="B60" s="179">
        <f>SUM(G13:G14)</f>
        <v>129.8966645874624</v>
      </c>
      <c r="C60" s="179">
        <f>H204*SUM(C13:C14)/E13</f>
        <v>9625.7381652710574</v>
      </c>
      <c r="D60" t="s">
        <v>1004</v>
      </c>
      <c r="E60" s="194"/>
    </row>
    <row r="61" spans="1:13" x14ac:dyDescent="0.35">
      <c r="A61" s="174" t="s">
        <v>962</v>
      </c>
      <c r="B61" s="180">
        <f>SUM(G15:G49)</f>
        <v>31219.967171356573</v>
      </c>
      <c r="C61" s="180">
        <v>0</v>
      </c>
      <c r="E61" s="194"/>
    </row>
    <row r="62" spans="1:13" x14ac:dyDescent="0.35">
      <c r="A62" s="174" t="s">
        <v>1005</v>
      </c>
      <c r="B62" s="180">
        <f>SUM(B54:B61)</f>
        <v>1142814.7175541257</v>
      </c>
      <c r="C62" s="180">
        <f>SUM(C54:C61)</f>
        <v>15905.479291826319</v>
      </c>
    </row>
    <row r="63" spans="1:13" x14ac:dyDescent="0.35">
      <c r="A63" s="174" t="s">
        <v>1006</v>
      </c>
      <c r="B63" s="180">
        <f>SUM(B55:B60)</f>
        <v>81240.811631582808</v>
      </c>
      <c r="C63" s="180">
        <f>SUM(C56:C60)</f>
        <v>15905.479291826319</v>
      </c>
    </row>
    <row r="66" spans="1:26" ht="18.5" x14ac:dyDescent="0.35">
      <c r="A66" s="274" t="s">
        <v>1007</v>
      </c>
      <c r="B66" s="274"/>
      <c r="C66" s="274"/>
      <c r="D66" s="274"/>
      <c r="E66" s="274"/>
      <c r="F66" s="274"/>
      <c r="G66" s="274"/>
      <c r="H66" s="274"/>
      <c r="I66" s="274"/>
      <c r="J66" s="274"/>
      <c r="K66" s="274"/>
      <c r="L66" s="274"/>
      <c r="M66" s="274"/>
      <c r="N66" s="274"/>
      <c r="O66" s="274"/>
      <c r="P66" s="274"/>
      <c r="Q66" s="274"/>
    </row>
    <row r="67" spans="1:26" ht="52.5" customHeight="1" x14ac:dyDescent="0.35">
      <c r="A67" s="147" t="s">
        <v>923</v>
      </c>
      <c r="B67" s="147" t="s">
        <v>1008</v>
      </c>
      <c r="C67" s="147" t="s">
        <v>1009</v>
      </c>
      <c r="D67" s="147" t="s">
        <v>1010</v>
      </c>
      <c r="E67" s="147" t="s">
        <v>1011</v>
      </c>
      <c r="F67" s="147" t="s">
        <v>1012</v>
      </c>
      <c r="G67" s="147" t="s">
        <v>1013</v>
      </c>
      <c r="H67" s="147" t="s">
        <v>1014</v>
      </c>
      <c r="I67" s="147" t="s">
        <v>1015</v>
      </c>
      <c r="J67" s="147" t="s">
        <v>1016</v>
      </c>
      <c r="K67" s="165" t="s">
        <v>1017</v>
      </c>
      <c r="L67" s="147" t="s">
        <v>1018</v>
      </c>
      <c r="M67" s="147" t="s">
        <v>1019</v>
      </c>
      <c r="N67" s="147" t="s">
        <v>1020</v>
      </c>
      <c r="O67" s="147" t="s">
        <v>1021</v>
      </c>
      <c r="P67" s="147" t="s">
        <v>356</v>
      </c>
      <c r="Q67" s="147" t="s">
        <v>371</v>
      </c>
      <c r="R67" s="147"/>
      <c r="S67" s="147"/>
      <c r="T67" s="147"/>
      <c r="U67" s="147"/>
      <c r="V67" s="147"/>
      <c r="W67" s="147"/>
      <c r="X67" s="147"/>
      <c r="Y67" s="147"/>
      <c r="Z67" s="147"/>
    </row>
    <row r="68" spans="1:26" x14ac:dyDescent="0.35">
      <c r="A68" s="156" t="s">
        <v>940</v>
      </c>
      <c r="B68" s="156" t="s">
        <v>1022</v>
      </c>
      <c r="C68" s="156"/>
      <c r="D68" s="156">
        <v>30</v>
      </c>
      <c r="E68" s="156"/>
      <c r="F68" s="156">
        <v>9.6499999999999986</v>
      </c>
      <c r="G68" s="156"/>
      <c r="H68" s="156"/>
      <c r="I68" s="156"/>
      <c r="J68" s="156">
        <v>100</v>
      </c>
      <c r="K68" s="156">
        <v>1.1579999999999999</v>
      </c>
      <c r="L68" s="156"/>
      <c r="M68" s="156"/>
      <c r="N68" s="156"/>
      <c r="O68" s="156"/>
      <c r="P68" s="156"/>
      <c r="Q68" s="156" t="s">
        <v>943</v>
      </c>
      <c r="R68" s="156" t="s">
        <v>1023</v>
      </c>
      <c r="S68" s="156"/>
      <c r="T68" s="156"/>
      <c r="U68" s="156"/>
      <c r="V68" s="156"/>
      <c r="W68" s="156"/>
      <c r="X68" s="156"/>
      <c r="Y68" s="156"/>
      <c r="Z68" s="156"/>
    </row>
    <row r="69" spans="1:26" x14ac:dyDescent="0.35">
      <c r="A69" s="148" t="s">
        <v>940</v>
      </c>
      <c r="B69" s="148"/>
      <c r="C69" s="148" t="s">
        <v>1024</v>
      </c>
      <c r="D69" s="148"/>
      <c r="E69" s="148"/>
      <c r="F69" s="148">
        <v>2.25</v>
      </c>
      <c r="G69" s="148"/>
      <c r="H69" s="148"/>
      <c r="I69" s="148"/>
      <c r="J69" s="148">
        <v>12</v>
      </c>
      <c r="K69" s="148">
        <v>0.26999999999999996</v>
      </c>
      <c r="L69" s="148"/>
      <c r="M69" s="148"/>
      <c r="N69" s="148"/>
      <c r="O69" s="148"/>
      <c r="P69" s="148"/>
      <c r="Q69" s="148" t="s">
        <v>1025</v>
      </c>
      <c r="R69" s="148"/>
      <c r="S69" s="148"/>
      <c r="T69" s="148"/>
      <c r="U69" s="148"/>
      <c r="V69" s="148"/>
      <c r="W69" s="148"/>
      <c r="X69" s="148"/>
      <c r="Y69" s="148"/>
      <c r="Z69" s="148"/>
    </row>
    <row r="70" spans="1:26" x14ac:dyDescent="0.35">
      <c r="A70" s="148" t="s">
        <v>940</v>
      </c>
      <c r="B70" s="148"/>
      <c r="C70" s="148" t="s">
        <v>1026</v>
      </c>
      <c r="D70" s="148"/>
      <c r="E70" s="148"/>
      <c r="F70" s="148">
        <v>3.25</v>
      </c>
      <c r="G70" s="148"/>
      <c r="H70" s="148"/>
      <c r="I70" s="148"/>
      <c r="J70" s="148">
        <v>68</v>
      </c>
      <c r="K70" s="148">
        <v>0.38999999999999996</v>
      </c>
      <c r="L70" s="148"/>
      <c r="M70" s="148"/>
      <c r="N70" s="148"/>
      <c r="O70" s="148"/>
      <c r="P70" s="148"/>
      <c r="Q70" s="148" t="s">
        <v>1027</v>
      </c>
      <c r="R70" s="148"/>
      <c r="S70" s="148"/>
      <c r="T70" s="148"/>
      <c r="U70" s="148"/>
      <c r="V70" s="148"/>
      <c r="W70" s="148"/>
      <c r="X70" s="148"/>
      <c r="Y70" s="148"/>
      <c r="Z70" s="148"/>
    </row>
    <row r="71" spans="1:26" x14ac:dyDescent="0.35">
      <c r="A71" s="148" t="s">
        <v>940</v>
      </c>
      <c r="B71" s="148"/>
      <c r="C71" s="148" t="s">
        <v>1028</v>
      </c>
      <c r="D71" s="148"/>
      <c r="E71" s="148"/>
      <c r="F71" s="148">
        <v>3.45</v>
      </c>
      <c r="G71" s="148"/>
      <c r="H71" s="148"/>
      <c r="I71" s="148"/>
      <c r="J71" s="148">
        <v>5</v>
      </c>
      <c r="K71" s="148">
        <v>0.41399999999999998</v>
      </c>
      <c r="L71" s="148"/>
      <c r="M71" s="148"/>
      <c r="N71" s="148"/>
      <c r="O71" s="148"/>
      <c r="P71" s="148"/>
      <c r="Q71" s="148" t="s">
        <v>1029</v>
      </c>
      <c r="R71" s="148"/>
      <c r="S71" s="148"/>
      <c r="T71" s="148"/>
      <c r="U71" s="148"/>
      <c r="V71" s="148"/>
      <c r="W71" s="148"/>
      <c r="X71" s="148"/>
      <c r="Y71" s="148"/>
      <c r="Z71" s="148"/>
    </row>
    <row r="72" spans="1:26" x14ac:dyDescent="0.35">
      <c r="A72" s="148" t="s">
        <v>940</v>
      </c>
      <c r="B72" s="148"/>
      <c r="C72" s="148" t="s">
        <v>1030</v>
      </c>
      <c r="D72" s="148"/>
      <c r="E72" s="148"/>
      <c r="F72" s="148">
        <v>0.7</v>
      </c>
      <c r="G72" s="148"/>
      <c r="H72" s="148"/>
      <c r="I72" s="148"/>
      <c r="J72" s="148">
        <v>15</v>
      </c>
      <c r="K72" s="148">
        <v>8.4000000000000005E-2</v>
      </c>
      <c r="L72" s="148"/>
      <c r="M72" s="148"/>
      <c r="N72" s="148"/>
      <c r="O72" s="148"/>
      <c r="P72" s="148"/>
      <c r="Q72" s="148" t="s">
        <v>1031</v>
      </c>
      <c r="R72" s="148"/>
      <c r="S72" s="148"/>
      <c r="T72" s="148"/>
      <c r="U72" s="148"/>
      <c r="V72" s="148"/>
      <c r="W72" s="148"/>
      <c r="X72" s="148"/>
      <c r="Y72" s="148"/>
      <c r="Z72" s="148"/>
    </row>
    <row r="73" spans="1:26" x14ac:dyDescent="0.35">
      <c r="A73" s="156" t="s">
        <v>940</v>
      </c>
      <c r="B73" s="156" t="s">
        <v>1032</v>
      </c>
      <c r="C73" s="156"/>
      <c r="D73" s="156">
        <v>30</v>
      </c>
      <c r="E73" s="156"/>
      <c r="F73" s="156"/>
      <c r="G73" s="156"/>
      <c r="H73" s="156"/>
      <c r="I73" s="156"/>
      <c r="J73" s="156"/>
      <c r="K73" s="156" t="s">
        <v>1033</v>
      </c>
      <c r="L73" s="156"/>
      <c r="M73" s="156"/>
      <c r="N73" s="156"/>
      <c r="O73" s="156"/>
      <c r="P73" s="156" t="s">
        <v>1034</v>
      </c>
      <c r="Q73" s="156" t="s">
        <v>943</v>
      </c>
      <c r="R73" s="156"/>
      <c r="S73" s="156"/>
      <c r="T73" s="156"/>
      <c r="U73" s="156"/>
      <c r="V73" s="156"/>
      <c r="W73" s="156"/>
      <c r="X73" s="156"/>
      <c r="Y73" s="156"/>
      <c r="Z73" s="156"/>
    </row>
    <row r="74" spans="1:26" x14ac:dyDescent="0.35">
      <c r="A74" s="156" t="s">
        <v>940</v>
      </c>
      <c r="B74" s="156" t="s">
        <v>1035</v>
      </c>
      <c r="C74" s="156"/>
      <c r="D74" s="156"/>
      <c r="E74" s="156"/>
      <c r="F74" s="156">
        <v>1.96</v>
      </c>
      <c r="G74" s="156"/>
      <c r="H74" s="156"/>
      <c r="I74" s="156"/>
      <c r="J74" s="156"/>
      <c r="K74" s="156" t="s">
        <v>1036</v>
      </c>
      <c r="L74" s="156"/>
      <c r="M74" s="156"/>
      <c r="N74" s="156"/>
      <c r="O74" s="156"/>
      <c r="P74" s="156" t="s">
        <v>1037</v>
      </c>
      <c r="Q74" s="156" t="s">
        <v>943</v>
      </c>
      <c r="R74" s="156"/>
      <c r="S74" s="156"/>
      <c r="T74" s="156"/>
      <c r="U74" s="156"/>
      <c r="V74" s="156"/>
      <c r="W74" s="156"/>
      <c r="X74" s="156"/>
      <c r="Y74" s="156"/>
      <c r="Z74" s="156"/>
    </row>
    <row r="75" spans="1:26" x14ac:dyDescent="0.35">
      <c r="A75" s="148" t="s">
        <v>940</v>
      </c>
      <c r="B75" s="148"/>
      <c r="C75" s="148" t="s">
        <v>1038</v>
      </c>
      <c r="D75" s="148"/>
      <c r="E75" s="148"/>
      <c r="F75" s="148">
        <v>0.03</v>
      </c>
      <c r="G75" s="148"/>
      <c r="H75" s="148"/>
      <c r="I75" s="148">
        <v>2828</v>
      </c>
      <c r="J75" s="148"/>
      <c r="K75" s="148"/>
      <c r="L75" s="148"/>
      <c r="M75" s="148"/>
      <c r="N75" s="148"/>
      <c r="O75" s="148"/>
      <c r="P75" s="148" t="s">
        <v>1039</v>
      </c>
      <c r="Q75" s="148" t="s">
        <v>1040</v>
      </c>
      <c r="R75" s="148"/>
      <c r="S75" s="148"/>
      <c r="T75" s="148"/>
      <c r="U75" s="148"/>
      <c r="V75" s="148"/>
      <c r="W75" s="148"/>
      <c r="X75" s="148"/>
      <c r="Y75" s="148"/>
      <c r="Z75" s="148"/>
    </row>
    <row r="76" spans="1:26" x14ac:dyDescent="0.35">
      <c r="A76" s="148" t="s">
        <v>940</v>
      </c>
      <c r="B76" s="148"/>
      <c r="C76" s="148" t="s">
        <v>1026</v>
      </c>
      <c r="D76" s="148"/>
      <c r="E76" s="148"/>
      <c r="F76" s="148">
        <v>0.4</v>
      </c>
      <c r="G76" s="148"/>
      <c r="H76" s="148"/>
      <c r="I76" s="148">
        <v>8250</v>
      </c>
      <c r="J76" s="148"/>
      <c r="K76" s="148"/>
      <c r="L76" s="148"/>
      <c r="M76" s="148"/>
      <c r="N76" s="148"/>
      <c r="O76" s="148"/>
      <c r="P76" s="148" t="s">
        <v>1039</v>
      </c>
      <c r="Q76" s="148" t="s">
        <v>1041</v>
      </c>
      <c r="R76" s="148"/>
      <c r="S76" s="148"/>
      <c r="T76" s="148"/>
      <c r="U76" s="148"/>
      <c r="V76" s="148"/>
      <c r="W76" s="148"/>
      <c r="X76" s="148"/>
      <c r="Y76" s="148"/>
      <c r="Z76" s="148"/>
    </row>
    <row r="77" spans="1:26" x14ac:dyDescent="0.35">
      <c r="A77" s="148" t="s">
        <v>940</v>
      </c>
      <c r="B77" s="148"/>
      <c r="C77" s="148" t="s">
        <v>1042</v>
      </c>
      <c r="D77" s="148"/>
      <c r="E77" s="148"/>
      <c r="F77" s="148">
        <v>0.06</v>
      </c>
      <c r="G77" s="148"/>
      <c r="H77" s="148"/>
      <c r="I77" s="148">
        <v>8250</v>
      </c>
      <c r="J77" s="148"/>
      <c r="K77" s="148"/>
      <c r="L77" s="148"/>
      <c r="M77" s="148"/>
      <c r="N77" s="148"/>
      <c r="O77" s="148"/>
      <c r="P77" s="148" t="s">
        <v>1039</v>
      </c>
      <c r="Q77" s="148" t="s">
        <v>1043</v>
      </c>
      <c r="R77" s="148"/>
      <c r="S77" s="148"/>
      <c r="T77" s="148"/>
      <c r="U77" s="148"/>
      <c r="V77" s="148"/>
      <c r="W77" s="148"/>
      <c r="X77" s="148"/>
      <c r="Y77" s="148"/>
      <c r="Z77" s="148"/>
    </row>
    <row r="78" spans="1:26" x14ac:dyDescent="0.35">
      <c r="A78" s="148" t="s">
        <v>940</v>
      </c>
      <c r="B78" s="148"/>
      <c r="C78" s="148" t="s">
        <v>1044</v>
      </c>
      <c r="D78" s="148"/>
      <c r="E78" s="148"/>
      <c r="F78" s="148">
        <v>0.1</v>
      </c>
      <c r="G78" s="148"/>
      <c r="H78" s="148"/>
      <c r="I78" s="148">
        <v>14850</v>
      </c>
      <c r="J78" s="148"/>
      <c r="K78" s="148"/>
      <c r="L78" s="148"/>
      <c r="M78" s="148"/>
      <c r="N78" s="148"/>
      <c r="O78" s="148"/>
      <c r="P78" s="148" t="s">
        <v>1039</v>
      </c>
      <c r="Q78" s="148" t="s">
        <v>1045</v>
      </c>
      <c r="R78" s="148"/>
      <c r="S78" s="148"/>
      <c r="T78" s="148"/>
      <c r="U78" s="148"/>
      <c r="V78" s="148"/>
      <c r="W78" s="148"/>
      <c r="X78" s="148"/>
      <c r="Y78" s="148"/>
      <c r="Z78" s="148"/>
    </row>
    <row r="79" spans="1:26" x14ac:dyDescent="0.35">
      <c r="A79" s="148" t="s">
        <v>940</v>
      </c>
      <c r="B79" s="148"/>
      <c r="C79" s="148" t="s">
        <v>1046</v>
      </c>
      <c r="D79" s="148"/>
      <c r="E79" s="148"/>
      <c r="F79" s="148">
        <v>0.1</v>
      </c>
      <c r="G79" s="148"/>
      <c r="H79" s="148"/>
      <c r="I79" s="148">
        <v>3300</v>
      </c>
      <c r="J79" s="148"/>
      <c r="K79" s="148"/>
      <c r="L79" s="148"/>
      <c r="M79" s="148"/>
      <c r="N79" s="148"/>
      <c r="O79" s="148"/>
      <c r="P79" s="148" t="s">
        <v>1039</v>
      </c>
      <c r="Q79" s="148" t="s">
        <v>1047</v>
      </c>
      <c r="R79" s="148"/>
      <c r="S79" s="148"/>
      <c r="T79" s="148"/>
      <c r="U79" s="148"/>
      <c r="V79" s="148"/>
      <c r="W79" s="148"/>
      <c r="X79" s="148"/>
      <c r="Y79" s="148"/>
      <c r="Z79" s="148"/>
    </row>
    <row r="80" spans="1:26" x14ac:dyDescent="0.35">
      <c r="A80" s="148" t="s">
        <v>940</v>
      </c>
      <c r="B80" s="148"/>
      <c r="C80" s="148" t="s">
        <v>1048</v>
      </c>
      <c r="D80" s="148"/>
      <c r="E80" s="148"/>
      <c r="F80" s="148">
        <v>0.1</v>
      </c>
      <c r="G80" s="148"/>
      <c r="H80" s="148"/>
      <c r="I80" s="148">
        <v>3300</v>
      </c>
      <c r="J80" s="148"/>
      <c r="K80" s="148"/>
      <c r="L80" s="148"/>
      <c r="M80" s="148"/>
      <c r="N80" s="148"/>
      <c r="O80" s="148"/>
      <c r="P80" s="148" t="s">
        <v>1039</v>
      </c>
      <c r="Q80" s="148" t="s">
        <v>1049</v>
      </c>
      <c r="R80" s="148"/>
      <c r="S80" s="148"/>
      <c r="T80" s="148"/>
      <c r="U80" s="148"/>
      <c r="V80" s="148"/>
      <c r="W80" s="148"/>
      <c r="X80" s="148"/>
      <c r="Y80" s="148"/>
      <c r="Z80" s="148"/>
    </row>
    <row r="81" spans="1:26" x14ac:dyDescent="0.35">
      <c r="A81" s="148" t="s">
        <v>940</v>
      </c>
      <c r="B81" s="148"/>
      <c r="C81" s="148" t="s">
        <v>1050</v>
      </c>
      <c r="D81" s="148"/>
      <c r="E81" s="148"/>
      <c r="F81" s="148">
        <v>0.5</v>
      </c>
      <c r="G81" s="148"/>
      <c r="H81" s="148"/>
      <c r="I81" s="148">
        <v>9460</v>
      </c>
      <c r="J81" s="148"/>
      <c r="K81" s="148"/>
      <c r="L81" s="148"/>
      <c r="M81" s="148"/>
      <c r="N81" s="148"/>
      <c r="O81" s="148"/>
      <c r="P81" s="148" t="s">
        <v>1039</v>
      </c>
      <c r="Q81" s="148" t="s">
        <v>1051</v>
      </c>
      <c r="R81" s="148"/>
      <c r="S81" s="148"/>
      <c r="T81" s="148"/>
      <c r="U81" s="148"/>
      <c r="V81" s="148"/>
      <c r="W81" s="148"/>
      <c r="X81" s="148"/>
      <c r="Y81" s="148"/>
      <c r="Z81" s="148"/>
    </row>
    <row r="82" spans="1:26" x14ac:dyDescent="0.35">
      <c r="A82" s="148" t="s">
        <v>940</v>
      </c>
      <c r="B82" s="148"/>
      <c r="C82" s="148" t="s">
        <v>1052</v>
      </c>
      <c r="D82" s="148"/>
      <c r="E82" s="148"/>
      <c r="F82" s="148">
        <v>0.67</v>
      </c>
      <c r="G82" s="148"/>
      <c r="H82" s="148"/>
      <c r="I82" s="148">
        <v>29458</v>
      </c>
      <c r="J82" s="148"/>
      <c r="K82" s="148"/>
      <c r="L82" s="148"/>
      <c r="M82" s="148"/>
      <c r="N82" s="148"/>
      <c r="O82" s="148"/>
      <c r="P82" s="148" t="s">
        <v>1039</v>
      </c>
      <c r="Q82" s="148" t="s">
        <v>1053</v>
      </c>
      <c r="R82" s="148"/>
      <c r="S82" s="148"/>
      <c r="T82" s="148"/>
      <c r="U82" s="148"/>
      <c r="V82" s="148"/>
      <c r="W82" s="148"/>
      <c r="X82" s="148"/>
      <c r="Y82" s="148"/>
      <c r="Z82" s="148"/>
    </row>
    <row r="83" spans="1:26" x14ac:dyDescent="0.35">
      <c r="A83" s="148" t="s">
        <v>940</v>
      </c>
      <c r="B83" s="148"/>
      <c r="C83" s="148" t="s">
        <v>1054</v>
      </c>
      <c r="D83" s="148"/>
      <c r="E83" s="148"/>
      <c r="F83" s="148"/>
      <c r="G83" s="148"/>
      <c r="H83" s="148"/>
      <c r="I83" s="148"/>
      <c r="J83" s="148"/>
      <c r="K83" s="148"/>
      <c r="L83" s="148"/>
      <c r="M83" s="148"/>
      <c r="N83" s="148"/>
      <c r="O83" s="148"/>
      <c r="P83" s="148" t="s">
        <v>1039</v>
      </c>
      <c r="Q83" s="148" t="s">
        <v>1055</v>
      </c>
      <c r="R83" s="148"/>
      <c r="S83" s="148"/>
      <c r="T83" s="148"/>
      <c r="U83" s="148"/>
      <c r="V83" s="148"/>
      <c r="W83" s="148"/>
      <c r="X83" s="148"/>
      <c r="Y83" s="148"/>
      <c r="Z83" s="148"/>
    </row>
    <row r="84" spans="1:26" x14ac:dyDescent="0.35">
      <c r="A84" s="156" t="s">
        <v>940</v>
      </c>
      <c r="B84" s="156" t="s">
        <v>1056</v>
      </c>
      <c r="C84" s="156"/>
      <c r="D84" s="156"/>
      <c r="E84" s="156"/>
      <c r="F84" s="156"/>
      <c r="G84" s="156"/>
      <c r="H84" s="156"/>
      <c r="I84" s="156"/>
      <c r="J84" s="156"/>
      <c r="K84" s="156" t="s">
        <v>1057</v>
      </c>
      <c r="L84" s="156"/>
      <c r="M84" s="156"/>
      <c r="N84" s="156"/>
      <c r="O84" s="156"/>
      <c r="P84" s="156" t="s">
        <v>1037</v>
      </c>
      <c r="Q84" s="156" t="s">
        <v>943</v>
      </c>
      <c r="R84" s="156"/>
      <c r="S84" s="156"/>
      <c r="T84" s="156"/>
      <c r="U84" s="156"/>
      <c r="V84" s="156"/>
      <c r="W84" s="156"/>
      <c r="X84" s="156"/>
      <c r="Y84" s="156"/>
      <c r="Z84" s="156"/>
    </row>
    <row r="85" spans="1:26" x14ac:dyDescent="0.35">
      <c r="A85" s="156" t="s">
        <v>940</v>
      </c>
      <c r="B85" s="156" t="s">
        <v>1058</v>
      </c>
      <c r="C85" s="156"/>
      <c r="D85" s="156"/>
      <c r="E85" s="156"/>
      <c r="F85" s="156"/>
      <c r="G85" s="156"/>
      <c r="H85" s="156"/>
      <c r="I85" s="156"/>
      <c r="J85" s="156"/>
      <c r="K85" s="156">
        <v>32.299999999999997</v>
      </c>
      <c r="L85" s="156"/>
      <c r="M85" s="156"/>
      <c r="N85" s="156"/>
      <c r="O85" s="156"/>
      <c r="P85" s="156" t="s">
        <v>1037</v>
      </c>
      <c r="Q85" s="156" t="s">
        <v>943</v>
      </c>
      <c r="R85" s="156"/>
      <c r="S85" s="156"/>
      <c r="T85" s="156"/>
      <c r="U85" s="156"/>
      <c r="V85" s="156"/>
      <c r="W85" s="156"/>
      <c r="X85" s="156"/>
      <c r="Y85" s="156"/>
      <c r="Z85" s="156"/>
    </row>
    <row r="86" spans="1:26" x14ac:dyDescent="0.35">
      <c r="A86" s="156" t="s">
        <v>940</v>
      </c>
      <c r="B86" s="156" t="s">
        <v>1059</v>
      </c>
      <c r="C86" s="156"/>
      <c r="D86" s="156"/>
      <c r="E86" s="156"/>
      <c r="F86" s="156"/>
      <c r="G86" s="156"/>
      <c r="H86" s="156"/>
      <c r="I86" s="156"/>
      <c r="J86" s="156"/>
      <c r="K86" s="156" t="s">
        <v>1060</v>
      </c>
      <c r="L86" s="156"/>
      <c r="M86" s="156"/>
      <c r="N86" s="156"/>
      <c r="O86" s="156"/>
      <c r="P86" s="156" t="s">
        <v>1037</v>
      </c>
      <c r="Q86" s="156" t="s">
        <v>1025</v>
      </c>
      <c r="R86" s="156"/>
      <c r="S86" s="156"/>
      <c r="T86" s="156"/>
      <c r="U86" s="156"/>
      <c r="V86" s="156"/>
      <c r="W86" s="156"/>
      <c r="X86" s="156"/>
      <c r="Y86" s="156"/>
      <c r="Z86" s="156"/>
    </row>
    <row r="87" spans="1:26" x14ac:dyDescent="0.35">
      <c r="A87" s="156" t="s">
        <v>940</v>
      </c>
      <c r="B87" s="156" t="s">
        <v>1061</v>
      </c>
      <c r="C87" s="156"/>
      <c r="D87" s="156"/>
      <c r="E87" s="156"/>
      <c r="F87" s="156"/>
      <c r="G87" s="156"/>
      <c r="H87" s="156"/>
      <c r="I87" s="156"/>
      <c r="J87" s="156"/>
      <c r="K87" s="156" t="s">
        <v>1062</v>
      </c>
      <c r="L87" s="156"/>
      <c r="M87" s="156"/>
      <c r="N87" s="156"/>
      <c r="O87" s="156"/>
      <c r="P87" s="156"/>
      <c r="Q87" s="156" t="s">
        <v>943</v>
      </c>
      <c r="R87" s="156"/>
      <c r="S87" s="156"/>
      <c r="T87" s="156"/>
      <c r="U87" s="156"/>
      <c r="V87" s="156"/>
      <c r="W87" s="156"/>
      <c r="X87" s="156"/>
      <c r="Y87" s="156"/>
      <c r="Z87" s="156"/>
    </row>
    <row r="88" spans="1:26" x14ac:dyDescent="0.35">
      <c r="A88" s="156" t="s">
        <v>940</v>
      </c>
      <c r="B88" s="156" t="s">
        <v>1063</v>
      </c>
      <c r="C88" s="156"/>
      <c r="D88" s="156"/>
      <c r="E88" s="156"/>
      <c r="F88" s="156"/>
      <c r="G88" s="156"/>
      <c r="H88" s="156"/>
      <c r="I88" s="156"/>
      <c r="J88" s="156"/>
      <c r="K88" s="156">
        <v>1292.4000000000001</v>
      </c>
      <c r="L88" s="156"/>
      <c r="M88" s="156"/>
      <c r="N88" s="156"/>
      <c r="O88" s="156"/>
      <c r="P88" s="156" t="s">
        <v>1064</v>
      </c>
      <c r="Q88" s="156" t="s">
        <v>1065</v>
      </c>
      <c r="R88" s="156"/>
      <c r="S88" s="156"/>
      <c r="T88" s="156"/>
      <c r="U88" s="156"/>
      <c r="V88" s="156"/>
      <c r="W88" s="156"/>
      <c r="X88" s="156"/>
      <c r="Y88" s="156"/>
      <c r="Z88" s="156"/>
    </row>
    <row r="89" spans="1:26" x14ac:dyDescent="0.35">
      <c r="A89" s="156" t="s">
        <v>940</v>
      </c>
      <c r="B89" s="156" t="s">
        <v>1066</v>
      </c>
      <c r="C89" s="156"/>
      <c r="D89" s="156"/>
      <c r="E89" s="156"/>
      <c r="F89" s="156"/>
      <c r="G89" s="156"/>
      <c r="H89" s="156"/>
      <c r="I89" s="156"/>
      <c r="J89" s="156"/>
      <c r="K89" s="156">
        <v>1582.2</v>
      </c>
      <c r="L89" s="156"/>
      <c r="M89" s="156"/>
      <c r="N89" s="156"/>
      <c r="O89" s="156"/>
      <c r="P89" s="156" t="s">
        <v>1064</v>
      </c>
      <c r="Q89" s="156" t="s">
        <v>1065</v>
      </c>
      <c r="R89" s="156"/>
      <c r="S89" s="156"/>
      <c r="T89" s="156"/>
      <c r="U89" s="156"/>
      <c r="V89" s="156"/>
      <c r="W89" s="156"/>
      <c r="X89" s="156"/>
      <c r="Y89" s="156"/>
      <c r="Z89" s="156"/>
    </row>
    <row r="90" spans="1:26" x14ac:dyDescent="0.35">
      <c r="A90" s="156" t="s">
        <v>940</v>
      </c>
      <c r="B90" s="156" t="s">
        <v>120</v>
      </c>
      <c r="C90" s="156"/>
      <c r="D90" s="156"/>
      <c r="E90" s="156"/>
      <c r="F90" s="156"/>
      <c r="G90" s="156"/>
      <c r="H90" s="156"/>
      <c r="I90" s="156"/>
      <c r="J90" s="156"/>
      <c r="K90" s="156">
        <v>1001.16</v>
      </c>
      <c r="L90" s="156"/>
      <c r="M90" s="156"/>
      <c r="N90" s="156"/>
      <c r="O90" s="156"/>
      <c r="P90" s="156" t="s">
        <v>1064</v>
      </c>
      <c r="Q90" s="156" t="s">
        <v>1065</v>
      </c>
      <c r="R90" s="156"/>
      <c r="S90" s="156"/>
      <c r="T90" s="156"/>
      <c r="U90" s="156"/>
      <c r="V90" s="156"/>
      <c r="W90" s="156"/>
      <c r="X90" s="156"/>
      <c r="Y90" s="156"/>
      <c r="Z90" s="156"/>
    </row>
    <row r="91" spans="1:26" x14ac:dyDescent="0.35">
      <c r="A91" s="156" t="s">
        <v>940</v>
      </c>
      <c r="B91" s="156" t="s">
        <v>1067</v>
      </c>
      <c r="C91" s="156"/>
      <c r="D91" s="156"/>
      <c r="E91" s="156"/>
      <c r="F91" s="156"/>
      <c r="G91" s="156"/>
      <c r="H91" s="156"/>
      <c r="I91" s="156"/>
      <c r="J91" s="156"/>
      <c r="K91" s="156">
        <v>895.32</v>
      </c>
      <c r="L91" s="156"/>
      <c r="M91" s="156"/>
      <c r="N91" s="156"/>
      <c r="O91" s="156"/>
      <c r="P91" s="156" t="s">
        <v>1064</v>
      </c>
      <c r="Q91" s="156" t="s">
        <v>1065</v>
      </c>
      <c r="R91" s="156"/>
      <c r="S91" s="156"/>
      <c r="T91" s="156"/>
      <c r="U91" s="156"/>
      <c r="V91" s="156"/>
      <c r="W91" s="156"/>
      <c r="X91" s="156"/>
      <c r="Y91" s="156"/>
      <c r="Z91" s="156"/>
    </row>
    <row r="92" spans="1:26" x14ac:dyDescent="0.35">
      <c r="A92" s="156" t="s">
        <v>940</v>
      </c>
      <c r="B92" s="156" t="s">
        <v>1068</v>
      </c>
      <c r="C92" s="156"/>
      <c r="D92" s="156">
        <v>0.1</v>
      </c>
      <c r="E92" s="156"/>
      <c r="F92" s="156">
        <v>0.58100000000000007</v>
      </c>
      <c r="G92" s="156"/>
      <c r="H92" s="156"/>
      <c r="I92" s="156"/>
      <c r="J92" s="156"/>
      <c r="K92" s="157">
        <v>20.916000000000004</v>
      </c>
      <c r="L92" s="156"/>
      <c r="M92" s="156"/>
      <c r="N92" s="156"/>
      <c r="O92" s="156"/>
      <c r="P92" s="156" t="s">
        <v>1069</v>
      </c>
      <c r="Q92" s="156" t="s">
        <v>1070</v>
      </c>
      <c r="R92" s="156" t="s">
        <v>1071</v>
      </c>
      <c r="S92" s="156"/>
      <c r="T92" s="156"/>
      <c r="U92" s="156"/>
      <c r="V92" s="156"/>
      <c r="W92" s="156"/>
      <c r="X92" s="156"/>
      <c r="Y92" s="156"/>
      <c r="Z92" s="156"/>
    </row>
    <row r="93" spans="1:26" x14ac:dyDescent="0.35">
      <c r="A93" s="148" t="s">
        <v>940</v>
      </c>
      <c r="B93" s="148"/>
      <c r="C93" s="148" t="s">
        <v>1072</v>
      </c>
      <c r="D93" s="148"/>
      <c r="E93" s="148"/>
      <c r="F93" s="148">
        <v>0.36</v>
      </c>
      <c r="G93" s="148"/>
      <c r="H93" s="148"/>
      <c r="I93" s="148">
        <v>120</v>
      </c>
      <c r="J93" s="148"/>
      <c r="K93" s="168">
        <v>12.96</v>
      </c>
      <c r="L93" s="149"/>
      <c r="M93" s="149"/>
      <c r="N93" s="149"/>
      <c r="O93" s="149"/>
      <c r="P93" s="148" t="s">
        <v>1073</v>
      </c>
      <c r="Q93" s="148" t="s">
        <v>1040</v>
      </c>
      <c r="R93" s="148"/>
      <c r="S93" s="148"/>
      <c r="T93" s="148"/>
      <c r="U93" s="148"/>
      <c r="V93" s="148"/>
      <c r="W93" s="148"/>
      <c r="X93" s="148"/>
      <c r="Y93" s="148"/>
      <c r="Z93" s="148"/>
    </row>
    <row r="94" spans="1:26" x14ac:dyDescent="0.35">
      <c r="A94" s="148" t="s">
        <v>940</v>
      </c>
      <c r="B94" s="148"/>
      <c r="C94" s="148" t="s">
        <v>1074</v>
      </c>
      <c r="D94" s="148"/>
      <c r="E94" s="148"/>
      <c r="F94" s="148">
        <v>0.11</v>
      </c>
      <c r="G94" s="148"/>
      <c r="H94" s="148"/>
      <c r="I94" s="148">
        <v>7075.9</v>
      </c>
      <c r="J94" s="148"/>
      <c r="K94" s="168">
        <v>3.9600000000000004</v>
      </c>
      <c r="L94" s="149"/>
      <c r="M94" s="149"/>
      <c r="N94" s="149"/>
      <c r="O94" s="149"/>
      <c r="P94" s="148" t="s">
        <v>1073</v>
      </c>
      <c r="Q94" s="148" t="s">
        <v>1041</v>
      </c>
      <c r="R94" s="148"/>
      <c r="S94" s="148"/>
      <c r="T94" s="148"/>
      <c r="U94" s="148"/>
      <c r="V94" s="148"/>
      <c r="W94" s="148"/>
      <c r="X94" s="148"/>
      <c r="Y94" s="148"/>
      <c r="Z94" s="148"/>
    </row>
    <row r="95" spans="1:26" x14ac:dyDescent="0.35">
      <c r="A95" s="148" t="s">
        <v>940</v>
      </c>
      <c r="B95" s="148"/>
      <c r="C95" s="148" t="s">
        <v>1075</v>
      </c>
      <c r="D95" s="148"/>
      <c r="E95" s="148"/>
      <c r="F95" s="148">
        <v>0.04</v>
      </c>
      <c r="G95" s="148"/>
      <c r="H95" s="148"/>
      <c r="I95" s="148">
        <v>90</v>
      </c>
      <c r="J95" s="148"/>
      <c r="K95" s="168">
        <v>1.4400000000000002</v>
      </c>
      <c r="L95" s="149"/>
      <c r="M95" s="149"/>
      <c r="N95" s="149"/>
      <c r="O95" s="149"/>
      <c r="P95" s="148" t="s">
        <v>1073</v>
      </c>
      <c r="Q95" s="148" t="s">
        <v>1043</v>
      </c>
      <c r="R95" s="148"/>
      <c r="S95" s="148"/>
      <c r="T95" s="148"/>
      <c r="U95" s="148"/>
      <c r="V95" s="148"/>
      <c r="W95" s="148"/>
      <c r="X95" s="148"/>
      <c r="Y95" s="148"/>
      <c r="Z95" s="148"/>
    </row>
    <row r="96" spans="1:26" x14ac:dyDescent="0.35">
      <c r="A96" s="148" t="s">
        <v>940</v>
      </c>
      <c r="B96" s="148"/>
      <c r="C96" s="148" t="s">
        <v>1076</v>
      </c>
      <c r="D96" s="148"/>
      <c r="E96" s="148"/>
      <c r="F96" s="148">
        <v>1.7000000000000001E-2</v>
      </c>
      <c r="G96" s="148"/>
      <c r="H96" s="148"/>
      <c r="I96" s="148">
        <v>6985.9</v>
      </c>
      <c r="J96" s="148"/>
      <c r="K96" s="168">
        <v>0.6120000000000001</v>
      </c>
      <c r="L96" s="149"/>
      <c r="M96" s="149"/>
      <c r="N96" s="149"/>
      <c r="O96" s="149"/>
      <c r="P96" s="148" t="s">
        <v>1073</v>
      </c>
      <c r="Q96" s="148" t="s">
        <v>1045</v>
      </c>
      <c r="R96" s="148"/>
      <c r="S96" s="148"/>
      <c r="T96" s="148"/>
      <c r="U96" s="148"/>
      <c r="V96" s="148"/>
      <c r="W96" s="148"/>
      <c r="X96" s="148"/>
      <c r="Y96" s="148"/>
      <c r="Z96" s="148"/>
    </row>
    <row r="97" spans="1:26" x14ac:dyDescent="0.35">
      <c r="A97" s="148" t="s">
        <v>940</v>
      </c>
      <c r="B97" s="148"/>
      <c r="C97" s="148" t="s">
        <v>1077</v>
      </c>
      <c r="D97" s="148"/>
      <c r="E97" s="148"/>
      <c r="F97" s="148">
        <v>3.0000000000000001E-3</v>
      </c>
      <c r="G97" s="148"/>
      <c r="H97" s="148"/>
      <c r="I97" s="148">
        <v>6675.9</v>
      </c>
      <c r="J97" s="148"/>
      <c r="K97" s="168">
        <v>0.10800000000000001</v>
      </c>
      <c r="L97" s="149"/>
      <c r="M97" s="149"/>
      <c r="N97" s="149"/>
      <c r="O97" s="149"/>
      <c r="P97" s="148" t="s">
        <v>1073</v>
      </c>
      <c r="Q97" s="148" t="s">
        <v>1047</v>
      </c>
      <c r="R97" s="148"/>
      <c r="S97" s="148"/>
      <c r="T97" s="148"/>
      <c r="U97" s="148"/>
      <c r="V97" s="148"/>
      <c r="W97" s="148"/>
      <c r="X97" s="148"/>
      <c r="Y97" s="148"/>
      <c r="Z97" s="148"/>
    </row>
    <row r="98" spans="1:26" x14ac:dyDescent="0.35">
      <c r="A98" s="148" t="s">
        <v>940</v>
      </c>
      <c r="B98" s="148"/>
      <c r="C98" s="148" t="s">
        <v>1078</v>
      </c>
      <c r="D98" s="148"/>
      <c r="E98" s="148"/>
      <c r="F98" s="148">
        <v>3.0000000000000001E-3</v>
      </c>
      <c r="G98" s="148"/>
      <c r="H98" s="148"/>
      <c r="I98" s="148">
        <v>6675.9</v>
      </c>
      <c r="J98" s="148"/>
      <c r="K98" s="168">
        <v>0.10800000000000001</v>
      </c>
      <c r="L98" s="149"/>
      <c r="M98" s="149"/>
      <c r="N98" s="149"/>
      <c r="O98" s="149"/>
      <c r="P98" s="148" t="s">
        <v>1073</v>
      </c>
      <c r="Q98" s="148" t="s">
        <v>1049</v>
      </c>
      <c r="R98" s="148"/>
      <c r="S98" s="148"/>
      <c r="T98" s="148"/>
      <c r="U98" s="148"/>
      <c r="V98" s="148"/>
      <c r="W98" s="148"/>
      <c r="X98" s="148"/>
      <c r="Y98" s="148"/>
      <c r="Z98" s="148"/>
    </row>
    <row r="99" spans="1:26" x14ac:dyDescent="0.35">
      <c r="A99" s="148" t="s">
        <v>940</v>
      </c>
      <c r="B99" s="148"/>
      <c r="C99" s="148" t="s">
        <v>1046</v>
      </c>
      <c r="D99" s="148"/>
      <c r="E99" s="148"/>
      <c r="F99" s="148">
        <v>3.0000000000000001E-3</v>
      </c>
      <c r="G99" s="148"/>
      <c r="H99" s="148"/>
      <c r="I99" s="148">
        <v>310</v>
      </c>
      <c r="J99" s="148"/>
      <c r="K99" s="168">
        <v>0.10800000000000001</v>
      </c>
      <c r="L99" s="149"/>
      <c r="M99" s="149"/>
      <c r="N99" s="149"/>
      <c r="O99" s="149"/>
      <c r="P99" s="148" t="s">
        <v>1073</v>
      </c>
      <c r="Q99" s="148" t="s">
        <v>1051</v>
      </c>
      <c r="R99" s="148"/>
      <c r="S99" s="148"/>
      <c r="T99" s="148"/>
      <c r="U99" s="148"/>
      <c r="V99" s="148"/>
      <c r="W99" s="148"/>
      <c r="X99" s="148"/>
      <c r="Y99" s="148"/>
      <c r="Z99" s="148"/>
    </row>
    <row r="100" spans="1:26" x14ac:dyDescent="0.35">
      <c r="A100" s="148" t="s">
        <v>940</v>
      </c>
      <c r="B100" s="148"/>
      <c r="C100" s="148" t="s">
        <v>1052</v>
      </c>
      <c r="D100" s="148"/>
      <c r="E100" s="148"/>
      <c r="F100" s="148">
        <v>4.4999999999999998E-2</v>
      </c>
      <c r="G100" s="148"/>
      <c r="H100" s="148"/>
      <c r="I100" s="148">
        <v>7237.9</v>
      </c>
      <c r="J100" s="148"/>
      <c r="K100" s="168">
        <v>1.62</v>
      </c>
      <c r="L100" s="149"/>
      <c r="M100" s="149"/>
      <c r="N100" s="149"/>
      <c r="O100" s="149"/>
      <c r="P100" s="148" t="s">
        <v>1073</v>
      </c>
      <c r="Q100" s="148" t="s">
        <v>1053</v>
      </c>
      <c r="R100" s="148"/>
      <c r="S100" s="148"/>
      <c r="T100" s="148"/>
      <c r="U100" s="148"/>
      <c r="V100" s="148"/>
      <c r="W100" s="148"/>
      <c r="X100" s="148"/>
      <c r="Y100" s="148"/>
      <c r="Z100" s="148"/>
    </row>
    <row r="101" spans="1:26" x14ac:dyDescent="0.35">
      <c r="A101" s="148" t="s">
        <v>940</v>
      </c>
      <c r="B101" s="148"/>
      <c r="C101" s="148" t="s">
        <v>1054</v>
      </c>
      <c r="D101" s="148"/>
      <c r="E101" s="148"/>
      <c r="F101" s="148"/>
      <c r="G101" s="148"/>
      <c r="H101" s="148"/>
      <c r="I101" s="148"/>
      <c r="J101" s="148"/>
      <c r="K101" s="168">
        <v>0</v>
      </c>
      <c r="L101" s="148"/>
      <c r="M101" s="148"/>
      <c r="N101" s="148"/>
      <c r="O101" s="148"/>
      <c r="P101" s="148" t="s">
        <v>1073</v>
      </c>
      <c r="Q101" s="148" t="s">
        <v>1055</v>
      </c>
      <c r="R101" s="148"/>
      <c r="S101" s="148"/>
      <c r="T101" s="148"/>
      <c r="U101" s="148"/>
      <c r="V101" s="148"/>
      <c r="W101" s="148"/>
      <c r="X101" s="148"/>
      <c r="Y101" s="148"/>
      <c r="Z101" s="148"/>
    </row>
    <row r="102" spans="1:26" x14ac:dyDescent="0.35">
      <c r="A102" s="156" t="s">
        <v>940</v>
      </c>
      <c r="B102" s="156" t="s">
        <v>1079</v>
      </c>
      <c r="C102" s="156"/>
      <c r="D102" s="156"/>
      <c r="E102" s="156"/>
      <c r="F102" s="156">
        <v>0.33779999999999999</v>
      </c>
      <c r="G102" s="156"/>
      <c r="H102" s="156"/>
      <c r="I102" s="156"/>
      <c r="J102" s="156"/>
      <c r="K102" s="156">
        <v>2.2000000000000001E-3</v>
      </c>
      <c r="L102" s="156"/>
      <c r="M102" s="156"/>
      <c r="N102" s="156"/>
      <c r="O102" s="156"/>
      <c r="P102" s="156" t="s">
        <v>1080</v>
      </c>
      <c r="Q102" s="156" t="s">
        <v>1040</v>
      </c>
      <c r="R102" s="156" t="s">
        <v>1081</v>
      </c>
      <c r="S102" s="156"/>
      <c r="T102" s="156"/>
      <c r="U102" s="156"/>
      <c r="V102" s="156"/>
      <c r="W102" s="156"/>
      <c r="X102" s="156"/>
      <c r="Y102" s="156"/>
      <c r="Z102" s="156"/>
    </row>
    <row r="103" spans="1:26" x14ac:dyDescent="0.35">
      <c r="A103" s="148" t="s">
        <v>940</v>
      </c>
      <c r="B103" s="148"/>
      <c r="C103" s="148" t="s">
        <v>1026</v>
      </c>
      <c r="D103" s="148"/>
      <c r="E103" s="148"/>
      <c r="F103" s="148">
        <v>8.0000000000000004E-4</v>
      </c>
      <c r="G103" s="148"/>
      <c r="H103" s="148"/>
      <c r="I103" s="148">
        <v>3868</v>
      </c>
      <c r="J103" s="148"/>
      <c r="K103" s="171">
        <v>5.2101835405565435E-6</v>
      </c>
      <c r="L103" s="149"/>
      <c r="M103" s="149"/>
      <c r="N103" s="149"/>
      <c r="O103" s="149"/>
      <c r="P103" s="148" t="s">
        <v>1082</v>
      </c>
      <c r="Q103" s="148" t="s">
        <v>1041</v>
      </c>
      <c r="R103" s="148"/>
      <c r="S103" s="148"/>
      <c r="T103" s="148"/>
      <c r="U103" s="148"/>
      <c r="V103" s="148"/>
      <c r="W103" s="148"/>
      <c r="X103" s="148"/>
      <c r="Y103" s="148"/>
      <c r="Z103" s="148"/>
    </row>
    <row r="104" spans="1:26" x14ac:dyDescent="0.35">
      <c r="A104" s="148" t="s">
        <v>940</v>
      </c>
      <c r="B104" s="148"/>
      <c r="C104" s="148" t="s">
        <v>1042</v>
      </c>
      <c r="D104" s="148"/>
      <c r="E104" s="148"/>
      <c r="F104" s="148">
        <v>1.6E-2</v>
      </c>
      <c r="G104" s="148"/>
      <c r="H104" s="148"/>
      <c r="I104" s="148">
        <v>3868</v>
      </c>
      <c r="J104" s="148"/>
      <c r="K104" s="171">
        <v>1.0420367081113085E-4</v>
      </c>
      <c r="L104" s="149"/>
      <c r="M104" s="149"/>
      <c r="N104" s="149"/>
      <c r="O104" s="149"/>
      <c r="P104" s="148" t="s">
        <v>1082</v>
      </c>
      <c r="Q104" s="148" t="s">
        <v>1043</v>
      </c>
      <c r="R104" s="148"/>
      <c r="S104" s="148"/>
      <c r="T104" s="148"/>
      <c r="U104" s="148"/>
      <c r="V104" s="148"/>
      <c r="W104" s="148"/>
      <c r="X104" s="148"/>
      <c r="Y104" s="148"/>
      <c r="Z104" s="148"/>
    </row>
    <row r="105" spans="1:26" x14ac:dyDescent="0.35">
      <c r="A105" s="148" t="s">
        <v>940</v>
      </c>
      <c r="B105" s="148"/>
      <c r="C105" s="148" t="s">
        <v>1044</v>
      </c>
      <c r="D105" s="148"/>
      <c r="E105" s="148"/>
      <c r="F105" s="148">
        <v>1.7999999999999999E-2</v>
      </c>
      <c r="G105" s="148"/>
      <c r="H105" s="148"/>
      <c r="I105" s="148">
        <v>680</v>
      </c>
      <c r="J105" s="148"/>
      <c r="K105" s="171">
        <v>1.172291296625222E-4</v>
      </c>
      <c r="L105" s="149"/>
      <c r="M105" s="149"/>
      <c r="N105" s="149"/>
      <c r="O105" s="149"/>
      <c r="P105" s="148" t="s">
        <v>1082</v>
      </c>
      <c r="Q105" s="148" t="s">
        <v>1045</v>
      </c>
      <c r="R105" s="148"/>
      <c r="S105" s="148"/>
      <c r="T105" s="148"/>
      <c r="U105" s="148"/>
      <c r="V105" s="148"/>
      <c r="W105" s="148"/>
      <c r="X105" s="148"/>
      <c r="Y105" s="148"/>
      <c r="Z105" s="148"/>
    </row>
    <row r="106" spans="1:26" x14ac:dyDescent="0.35">
      <c r="A106" s="148" t="s">
        <v>940</v>
      </c>
      <c r="B106" s="148"/>
      <c r="C106" s="148" t="s">
        <v>1046</v>
      </c>
      <c r="D106" s="148"/>
      <c r="E106" s="148"/>
      <c r="F106" s="148">
        <v>1.7999999999999999E-2</v>
      </c>
      <c r="G106" s="148"/>
      <c r="H106" s="148"/>
      <c r="I106" s="148">
        <v>780</v>
      </c>
      <c r="J106" s="148"/>
      <c r="K106" s="171">
        <v>1.172291296625222E-4</v>
      </c>
      <c r="L106" s="149"/>
      <c r="M106" s="149"/>
      <c r="N106" s="149"/>
      <c r="O106" s="149"/>
      <c r="P106" s="148" t="s">
        <v>1082</v>
      </c>
      <c r="Q106" s="148" t="s">
        <v>1047</v>
      </c>
      <c r="R106" s="148"/>
      <c r="S106" s="148"/>
      <c r="T106" s="148"/>
      <c r="U106" s="148"/>
      <c r="V106" s="148"/>
      <c r="W106" s="148"/>
      <c r="X106" s="148"/>
      <c r="Y106" s="148"/>
      <c r="Z106" s="148"/>
    </row>
    <row r="107" spans="1:26" x14ac:dyDescent="0.35">
      <c r="A107" s="148" t="s">
        <v>940</v>
      </c>
      <c r="B107" s="148"/>
      <c r="C107" s="148" t="s">
        <v>1052</v>
      </c>
      <c r="D107" s="148"/>
      <c r="E107" s="148"/>
      <c r="F107" s="148">
        <v>0.28499999999999998</v>
      </c>
      <c r="G107" s="148"/>
      <c r="H107" s="148"/>
      <c r="I107" s="148">
        <v>5439</v>
      </c>
      <c r="J107" s="148"/>
      <c r="K107" s="171">
        <v>1.8561278863232682E-3</v>
      </c>
      <c r="L107" s="149"/>
      <c r="M107" s="149"/>
      <c r="N107" s="149"/>
      <c r="O107" s="149"/>
      <c r="P107" s="148" t="s">
        <v>1082</v>
      </c>
      <c r="Q107" s="148" t="s">
        <v>1049</v>
      </c>
      <c r="R107" s="148"/>
      <c r="S107" s="148"/>
      <c r="T107" s="148"/>
      <c r="U107" s="148"/>
      <c r="V107" s="148"/>
      <c r="W107" s="148"/>
      <c r="X107" s="148"/>
      <c r="Y107" s="148"/>
      <c r="Z107" s="148"/>
    </row>
    <row r="108" spans="1:26" x14ac:dyDescent="0.35">
      <c r="A108" s="148" t="s">
        <v>940</v>
      </c>
      <c r="B108" s="148"/>
      <c r="C108" s="148" t="s">
        <v>1054</v>
      </c>
      <c r="D108" s="148"/>
      <c r="E108" s="148"/>
      <c r="F108" s="148"/>
      <c r="G108" s="148"/>
      <c r="H108" s="148"/>
      <c r="I108" s="148"/>
      <c r="J108" s="148"/>
      <c r="K108" s="171">
        <v>0</v>
      </c>
      <c r="L108" s="148"/>
      <c r="M108" s="148"/>
      <c r="N108" s="148"/>
      <c r="O108" s="148"/>
      <c r="P108" s="148" t="s">
        <v>1082</v>
      </c>
      <c r="Q108" s="148" t="s">
        <v>1051</v>
      </c>
      <c r="R108" s="148"/>
      <c r="S108" s="148"/>
      <c r="T108" s="148"/>
      <c r="U108" s="148"/>
      <c r="V108" s="148"/>
      <c r="W108" s="148"/>
      <c r="X108" s="148"/>
      <c r="Y108" s="148"/>
      <c r="Z108" s="148"/>
    </row>
    <row r="109" spans="1:26" x14ac:dyDescent="0.35">
      <c r="A109" s="148" t="s">
        <v>940</v>
      </c>
      <c r="B109" s="148"/>
      <c r="C109" s="148" t="s">
        <v>1083</v>
      </c>
      <c r="D109" s="148"/>
      <c r="E109" s="148"/>
      <c r="F109" s="148">
        <v>7.0000000000000001E-3</v>
      </c>
      <c r="G109" s="148"/>
      <c r="H109" s="148"/>
      <c r="I109" s="148"/>
      <c r="J109" s="148"/>
      <c r="K109" s="171">
        <v>4.558910597986975E-5</v>
      </c>
      <c r="L109" s="148"/>
      <c r="M109" s="148"/>
      <c r="N109" s="148"/>
      <c r="O109" s="148"/>
      <c r="P109" s="148" t="s">
        <v>1084</v>
      </c>
      <c r="Q109" s="148" t="s">
        <v>1081</v>
      </c>
      <c r="R109" s="148"/>
      <c r="S109" s="148"/>
      <c r="T109" s="148"/>
      <c r="U109" s="148"/>
      <c r="V109" s="148"/>
      <c r="W109" s="148"/>
      <c r="X109" s="148"/>
      <c r="Y109" s="148"/>
      <c r="Z109" s="148"/>
    </row>
    <row r="110" spans="1:26" x14ac:dyDescent="0.35">
      <c r="A110" s="156" t="s">
        <v>946</v>
      </c>
      <c r="B110" s="156" t="s">
        <v>1085</v>
      </c>
      <c r="C110" s="156"/>
      <c r="D110" s="156"/>
      <c r="E110" s="156"/>
      <c r="F110" s="156">
        <v>562.6</v>
      </c>
      <c r="G110" s="156"/>
      <c r="H110" s="156"/>
      <c r="I110" s="156"/>
      <c r="J110" s="156"/>
      <c r="K110" s="158">
        <v>0.13458477310924369</v>
      </c>
      <c r="L110" s="156"/>
      <c r="M110" s="156"/>
      <c r="N110" s="156"/>
      <c r="O110" s="156"/>
      <c r="P110" s="156"/>
      <c r="Q110" s="156" t="s">
        <v>1086</v>
      </c>
      <c r="R110" s="156"/>
      <c r="S110" s="156"/>
      <c r="T110" s="156"/>
      <c r="U110" s="156"/>
      <c r="V110" s="156"/>
      <c r="W110" s="156"/>
      <c r="X110" s="156"/>
      <c r="Y110" s="156"/>
      <c r="Z110" s="156"/>
    </row>
    <row r="111" spans="1:26" x14ac:dyDescent="0.35">
      <c r="A111" s="148" t="s">
        <v>946</v>
      </c>
      <c r="B111" s="148"/>
      <c r="C111" s="148" t="s">
        <v>1087</v>
      </c>
      <c r="D111" s="148">
        <v>30000</v>
      </c>
      <c r="E111" s="148"/>
      <c r="F111" s="148">
        <v>5.6</v>
      </c>
      <c r="G111" s="148"/>
      <c r="H111" s="148"/>
      <c r="I111" s="148"/>
      <c r="J111" s="148"/>
      <c r="K111" s="159">
        <v>6.7199999999999996E-4</v>
      </c>
      <c r="L111" s="148">
        <v>46000</v>
      </c>
      <c r="M111" s="148">
        <v>10000</v>
      </c>
      <c r="N111" s="148"/>
      <c r="O111" s="148"/>
      <c r="P111" s="148" t="s">
        <v>1088</v>
      </c>
      <c r="Q111" s="148" t="s">
        <v>1089</v>
      </c>
      <c r="R111" s="148"/>
      <c r="S111" s="148"/>
      <c r="T111" s="148"/>
      <c r="U111" s="148"/>
      <c r="V111" s="148"/>
      <c r="W111" s="148"/>
      <c r="X111" s="148"/>
      <c r="Y111" s="148"/>
      <c r="Z111" s="148"/>
    </row>
    <row r="112" spans="1:26" x14ac:dyDescent="0.35">
      <c r="A112" s="148" t="s">
        <v>946</v>
      </c>
      <c r="B112" s="148"/>
      <c r="C112" s="148" t="s">
        <v>1090</v>
      </c>
      <c r="D112" s="148">
        <v>30000</v>
      </c>
      <c r="E112" s="148"/>
      <c r="F112" s="148">
        <v>15</v>
      </c>
      <c r="G112" s="148"/>
      <c r="H112" s="148"/>
      <c r="I112" s="148"/>
      <c r="J112" s="148"/>
      <c r="K112" s="159">
        <v>1.8E-3</v>
      </c>
      <c r="L112" s="148">
        <v>150000</v>
      </c>
      <c r="M112" s="148">
        <v>100</v>
      </c>
      <c r="N112" s="148"/>
      <c r="O112" s="148"/>
      <c r="P112" s="148" t="s">
        <v>1088</v>
      </c>
      <c r="Q112" s="148" t="s">
        <v>1091</v>
      </c>
      <c r="R112" s="148"/>
      <c r="S112" s="148"/>
      <c r="T112" s="148"/>
      <c r="U112" s="148"/>
      <c r="V112" s="148"/>
      <c r="W112" s="148"/>
      <c r="X112" s="148"/>
      <c r="Y112" s="148"/>
      <c r="Z112" s="148"/>
    </row>
    <row r="113" spans="1:26" x14ac:dyDescent="0.35">
      <c r="A113" s="148" t="s">
        <v>946</v>
      </c>
      <c r="B113" s="148"/>
      <c r="C113" s="148" t="s">
        <v>1092</v>
      </c>
      <c r="D113" s="148">
        <v>10000</v>
      </c>
      <c r="E113" s="148"/>
      <c r="F113" s="148">
        <v>5</v>
      </c>
      <c r="G113" s="148"/>
      <c r="H113" s="148"/>
      <c r="I113" s="148"/>
      <c r="J113" s="148"/>
      <c r="K113" s="159">
        <v>1.8E-3</v>
      </c>
      <c r="L113" s="148">
        <v>150000</v>
      </c>
      <c r="M113" s="148">
        <v>100</v>
      </c>
      <c r="N113" s="148"/>
      <c r="O113" s="148"/>
      <c r="P113" s="148" t="s">
        <v>1088</v>
      </c>
      <c r="Q113" s="148" t="s">
        <v>1093</v>
      </c>
      <c r="R113" s="148"/>
      <c r="S113" s="148"/>
      <c r="T113" s="148"/>
      <c r="U113" s="148"/>
      <c r="V113" s="148"/>
      <c r="W113" s="148"/>
      <c r="X113" s="148"/>
      <c r="Y113" s="148"/>
      <c r="Z113" s="148"/>
    </row>
    <row r="114" spans="1:26" x14ac:dyDescent="0.35">
      <c r="A114" s="148" t="s">
        <v>946</v>
      </c>
      <c r="B114" s="148"/>
      <c r="C114" s="148" t="s">
        <v>1094</v>
      </c>
      <c r="D114" s="148">
        <v>45000</v>
      </c>
      <c r="E114" s="148"/>
      <c r="F114" s="148">
        <v>8.5</v>
      </c>
      <c r="G114" s="148"/>
      <c r="H114" s="148"/>
      <c r="I114" s="148"/>
      <c r="J114" s="148"/>
      <c r="K114" s="159">
        <v>6.8000000000000005E-4</v>
      </c>
      <c r="L114" s="148">
        <v>175000</v>
      </c>
      <c r="M114" s="148">
        <v>10000</v>
      </c>
      <c r="N114" s="148"/>
      <c r="O114" s="148"/>
      <c r="P114" s="148" t="s">
        <v>1088</v>
      </c>
      <c r="Q114" s="148" t="s">
        <v>1095</v>
      </c>
      <c r="R114" s="148"/>
      <c r="S114" s="148"/>
      <c r="T114" s="148"/>
      <c r="U114" s="148"/>
      <c r="V114" s="148"/>
      <c r="W114" s="148"/>
      <c r="X114" s="148"/>
      <c r="Y114" s="148"/>
      <c r="Z114" s="148"/>
    </row>
    <row r="115" spans="1:26" x14ac:dyDescent="0.35">
      <c r="A115" s="148" t="s">
        <v>946</v>
      </c>
      <c r="B115" s="148"/>
      <c r="C115" s="148" t="s">
        <v>1096</v>
      </c>
      <c r="D115" s="148">
        <v>21000</v>
      </c>
      <c r="E115" s="148"/>
      <c r="F115" s="148">
        <v>5.5</v>
      </c>
      <c r="G115" s="148"/>
      <c r="H115" s="148"/>
      <c r="I115" s="148"/>
      <c r="J115" s="148"/>
      <c r="K115" s="159">
        <v>9.4285714285714285E-4</v>
      </c>
      <c r="L115" s="148">
        <v>400000</v>
      </c>
      <c r="M115" s="148">
        <v>13000</v>
      </c>
      <c r="N115" s="148"/>
      <c r="O115" s="148"/>
      <c r="P115" s="148" t="s">
        <v>1088</v>
      </c>
      <c r="Q115" s="148" t="s">
        <v>1097</v>
      </c>
      <c r="R115" s="148"/>
      <c r="S115" s="148"/>
      <c r="T115" s="148"/>
      <c r="U115" s="148"/>
      <c r="V115" s="148"/>
      <c r="W115" s="148"/>
      <c r="X115" s="148"/>
      <c r="Y115" s="148"/>
      <c r="Z115" s="148"/>
    </row>
    <row r="116" spans="1:26" x14ac:dyDescent="0.35">
      <c r="A116" s="148" t="s">
        <v>946</v>
      </c>
      <c r="B116" s="148"/>
      <c r="C116" s="148" t="s">
        <v>1098</v>
      </c>
      <c r="D116" s="148">
        <v>7000</v>
      </c>
      <c r="E116" s="148"/>
      <c r="F116" s="148">
        <v>10</v>
      </c>
      <c r="G116" s="148"/>
      <c r="H116" s="148"/>
      <c r="I116" s="148"/>
      <c r="J116" s="148"/>
      <c r="K116" s="159">
        <v>5.1428571428571426E-3</v>
      </c>
      <c r="L116" s="148">
        <v>280000</v>
      </c>
      <c r="M116" s="148">
        <v>10000</v>
      </c>
      <c r="N116" s="148"/>
      <c r="O116" s="148"/>
      <c r="P116" s="148" t="s">
        <v>1088</v>
      </c>
      <c r="Q116" s="148" t="s">
        <v>1099</v>
      </c>
      <c r="R116" s="148"/>
      <c r="S116" s="148"/>
      <c r="T116" s="148"/>
      <c r="U116" s="148"/>
      <c r="V116" s="148"/>
      <c r="W116" s="148"/>
      <c r="X116" s="148"/>
      <c r="Y116" s="148"/>
      <c r="Z116" s="148"/>
    </row>
    <row r="117" spans="1:26" x14ac:dyDescent="0.35">
      <c r="A117" s="148" t="s">
        <v>946</v>
      </c>
      <c r="B117" s="148"/>
      <c r="C117" s="148" t="s">
        <v>1100</v>
      </c>
      <c r="D117" s="148">
        <v>51000</v>
      </c>
      <c r="E117" s="148"/>
      <c r="F117" s="148">
        <v>63</v>
      </c>
      <c r="G117" s="148"/>
      <c r="H117" s="148"/>
      <c r="I117" s="148"/>
      <c r="J117" s="148"/>
      <c r="K117" s="159">
        <v>4.4470588235294116E-3</v>
      </c>
      <c r="L117" s="148">
        <v>550000</v>
      </c>
      <c r="M117" s="148">
        <v>5000</v>
      </c>
      <c r="N117" s="148"/>
      <c r="O117" s="148"/>
      <c r="P117" s="148" t="s">
        <v>1088</v>
      </c>
      <c r="Q117" s="148" t="s">
        <v>1101</v>
      </c>
      <c r="R117" s="148"/>
      <c r="S117" s="148"/>
      <c r="T117" s="148"/>
      <c r="U117" s="148"/>
      <c r="V117" s="148"/>
      <c r="W117" s="148"/>
      <c r="X117" s="148"/>
      <c r="Y117" s="148"/>
      <c r="Z117" s="148"/>
    </row>
    <row r="118" spans="1:26" x14ac:dyDescent="0.35">
      <c r="A118" s="148" t="s">
        <v>946</v>
      </c>
      <c r="B118" s="148"/>
      <c r="C118" s="148" t="s">
        <v>1102</v>
      </c>
      <c r="D118" s="148">
        <v>9000</v>
      </c>
      <c r="E118" s="148"/>
      <c r="F118" s="148">
        <v>30</v>
      </c>
      <c r="G118" s="148"/>
      <c r="H118" s="148"/>
      <c r="I118" s="148"/>
      <c r="J118" s="148"/>
      <c r="K118" s="159">
        <v>1.2E-2</v>
      </c>
      <c r="L118" s="148">
        <v>220000</v>
      </c>
      <c r="M118" s="148">
        <v>10000</v>
      </c>
      <c r="N118" s="148"/>
      <c r="O118" s="148"/>
      <c r="P118" s="148" t="s">
        <v>1088</v>
      </c>
      <c r="Q118" s="148" t="s">
        <v>1103</v>
      </c>
      <c r="R118" s="148"/>
      <c r="S118" s="148"/>
      <c r="T118" s="148"/>
      <c r="U118" s="148"/>
      <c r="V118" s="148"/>
      <c r="W118" s="148"/>
      <c r="X118" s="148"/>
      <c r="Y118" s="148"/>
      <c r="Z118" s="148"/>
    </row>
    <row r="119" spans="1:26" x14ac:dyDescent="0.35">
      <c r="A119" s="148" t="s">
        <v>946</v>
      </c>
      <c r="B119" s="148"/>
      <c r="C119" s="148" t="s">
        <v>1104</v>
      </c>
      <c r="D119" s="148">
        <v>36000</v>
      </c>
      <c r="E119" s="148"/>
      <c r="F119" s="148">
        <v>164</v>
      </c>
      <c r="G119" s="148"/>
      <c r="H119" s="148"/>
      <c r="I119" s="148"/>
      <c r="J119" s="148"/>
      <c r="K119" s="159">
        <v>1.6399999999999998E-2</v>
      </c>
      <c r="L119" s="148">
        <v>62500</v>
      </c>
      <c r="M119" s="148">
        <v>10000</v>
      </c>
      <c r="N119" s="148"/>
      <c r="O119" s="148"/>
      <c r="P119" s="148" t="s">
        <v>1088</v>
      </c>
      <c r="Q119" s="148" t="s">
        <v>1105</v>
      </c>
      <c r="R119" s="148"/>
      <c r="S119" s="148"/>
      <c r="T119" s="148"/>
      <c r="U119" s="148"/>
      <c r="V119" s="148"/>
      <c r="W119" s="148"/>
      <c r="X119" s="148"/>
      <c r="Y119" s="148"/>
      <c r="Z119" s="148"/>
    </row>
    <row r="120" spans="1:26" x14ac:dyDescent="0.35">
      <c r="A120" s="148" t="s">
        <v>946</v>
      </c>
      <c r="B120" s="148"/>
      <c r="C120" s="148" t="s">
        <v>1106</v>
      </c>
      <c r="D120" s="148">
        <v>5000</v>
      </c>
      <c r="E120" s="148"/>
      <c r="F120" s="148">
        <v>69</v>
      </c>
      <c r="G120" s="148"/>
      <c r="H120" s="148"/>
      <c r="I120" s="148"/>
      <c r="J120" s="148"/>
      <c r="K120" s="159">
        <v>4.9680000000000002E-2</v>
      </c>
      <c r="L120" s="148">
        <v>825000</v>
      </c>
      <c r="M120" s="148">
        <v>30000</v>
      </c>
      <c r="N120" s="148"/>
      <c r="O120" s="148"/>
      <c r="P120" s="148" t="s">
        <v>1088</v>
      </c>
      <c r="Q120" s="148" t="s">
        <v>1107</v>
      </c>
      <c r="R120" s="148"/>
      <c r="S120" s="148"/>
      <c r="T120" s="148"/>
      <c r="U120" s="148"/>
      <c r="V120" s="148"/>
      <c r="W120" s="148"/>
      <c r="X120" s="148"/>
      <c r="Y120" s="148"/>
      <c r="Z120" s="148"/>
    </row>
    <row r="121" spans="1:26" x14ac:dyDescent="0.35">
      <c r="A121" s="148" t="s">
        <v>946</v>
      </c>
      <c r="B121" s="148"/>
      <c r="C121" s="148" t="s">
        <v>1108</v>
      </c>
      <c r="D121" s="148">
        <v>10000</v>
      </c>
      <c r="E121" s="148"/>
      <c r="F121" s="148">
        <v>13</v>
      </c>
      <c r="G121" s="148"/>
      <c r="H121" s="148"/>
      <c r="I121" s="148"/>
      <c r="J121" s="148"/>
      <c r="K121" s="159">
        <v>4.6800000000000001E-3</v>
      </c>
      <c r="L121" s="148">
        <v>225000</v>
      </c>
      <c r="M121" s="148">
        <v>5000</v>
      </c>
      <c r="N121" s="148"/>
      <c r="O121" s="148"/>
      <c r="P121" s="148" t="s">
        <v>1088</v>
      </c>
      <c r="Q121" s="148" t="s">
        <v>1109</v>
      </c>
      <c r="R121" s="148"/>
      <c r="S121" s="148"/>
      <c r="T121" s="148"/>
      <c r="U121" s="148"/>
      <c r="V121" s="148"/>
      <c r="W121" s="148"/>
      <c r="X121" s="148"/>
      <c r="Y121" s="148"/>
      <c r="Z121" s="148"/>
    </row>
    <row r="122" spans="1:26" x14ac:dyDescent="0.35">
      <c r="A122" s="148" t="s">
        <v>946</v>
      </c>
      <c r="B122" s="148"/>
      <c r="C122" s="148" t="s">
        <v>1110</v>
      </c>
      <c r="D122" s="148">
        <v>10000</v>
      </c>
      <c r="E122" s="148"/>
      <c r="F122" s="148">
        <v>40</v>
      </c>
      <c r="G122" s="148"/>
      <c r="H122" s="148"/>
      <c r="I122" s="148"/>
      <c r="J122" s="148"/>
      <c r="K122" s="159">
        <v>1.44E-2</v>
      </c>
      <c r="L122" s="148">
        <v>450000</v>
      </c>
      <c r="M122" s="148">
        <v>10000</v>
      </c>
      <c r="N122" s="148"/>
      <c r="O122" s="148"/>
      <c r="P122" s="148" t="s">
        <v>1088</v>
      </c>
      <c r="Q122" s="148" t="s">
        <v>1111</v>
      </c>
      <c r="R122" s="148"/>
      <c r="S122" s="148"/>
      <c r="T122" s="148"/>
      <c r="U122" s="148"/>
      <c r="V122" s="148"/>
      <c r="W122" s="148"/>
      <c r="X122" s="148"/>
      <c r="Y122" s="148"/>
      <c r="Z122" s="148"/>
    </row>
    <row r="123" spans="1:26" x14ac:dyDescent="0.35">
      <c r="A123" s="148" t="s">
        <v>946</v>
      </c>
      <c r="B123" s="148"/>
      <c r="C123" s="148" t="s">
        <v>1112</v>
      </c>
      <c r="D123" s="148">
        <v>2000</v>
      </c>
      <c r="E123" s="148"/>
      <c r="F123" s="148">
        <v>4</v>
      </c>
      <c r="G123" s="148"/>
      <c r="H123" s="148"/>
      <c r="I123" s="148"/>
      <c r="J123" s="148"/>
      <c r="K123" s="159">
        <v>7.1999999999999998E-3</v>
      </c>
      <c r="L123" s="148">
        <v>35000</v>
      </c>
      <c r="M123" s="148">
        <v>5000</v>
      </c>
      <c r="N123" s="148"/>
      <c r="O123" s="148"/>
      <c r="P123" s="148" t="s">
        <v>1088</v>
      </c>
      <c r="Q123" s="148" t="s">
        <v>1113</v>
      </c>
      <c r="R123" s="148"/>
      <c r="S123" s="148"/>
      <c r="T123" s="148"/>
      <c r="U123" s="148"/>
      <c r="V123" s="148"/>
      <c r="W123" s="148"/>
      <c r="X123" s="148"/>
      <c r="Y123" s="148"/>
      <c r="Z123" s="148"/>
    </row>
    <row r="124" spans="1:26" x14ac:dyDescent="0.35">
      <c r="A124" s="148" t="s">
        <v>946</v>
      </c>
      <c r="B124" s="148"/>
      <c r="C124" s="148" t="s">
        <v>1114</v>
      </c>
      <c r="D124" s="148">
        <v>12000</v>
      </c>
      <c r="E124" s="148"/>
      <c r="F124" s="148">
        <v>9</v>
      </c>
      <c r="G124" s="148"/>
      <c r="H124" s="148"/>
      <c r="I124" s="148"/>
      <c r="J124" s="148"/>
      <c r="K124" s="159">
        <v>2.6999999999999997E-3</v>
      </c>
      <c r="L124" s="148">
        <v>128000</v>
      </c>
      <c r="M124" s="148">
        <v>5000</v>
      </c>
      <c r="N124" s="148"/>
      <c r="O124" s="148"/>
      <c r="P124" s="148" t="s">
        <v>1088</v>
      </c>
      <c r="Q124" s="148" t="s">
        <v>1115</v>
      </c>
      <c r="R124" s="148"/>
      <c r="S124" s="148"/>
      <c r="T124" s="148"/>
      <c r="U124" s="148"/>
      <c r="V124" s="148"/>
      <c r="W124" s="148"/>
      <c r="X124" s="148"/>
      <c r="Y124" s="148"/>
      <c r="Z124" s="148"/>
    </row>
    <row r="125" spans="1:26" x14ac:dyDescent="0.35">
      <c r="A125" s="148" t="s">
        <v>946</v>
      </c>
      <c r="B125" s="148"/>
      <c r="C125" s="148" t="s">
        <v>1116</v>
      </c>
      <c r="D125" s="148">
        <v>30000</v>
      </c>
      <c r="E125" s="148"/>
      <c r="F125" s="148">
        <v>59</v>
      </c>
      <c r="G125" s="148"/>
      <c r="H125" s="148"/>
      <c r="I125" s="148"/>
      <c r="J125" s="148"/>
      <c r="K125" s="159">
        <v>7.0800000000000004E-3</v>
      </c>
      <c r="L125" s="148">
        <v>530000</v>
      </c>
      <c r="M125" s="148">
        <v>5000</v>
      </c>
      <c r="N125" s="148"/>
      <c r="O125" s="148"/>
      <c r="P125" s="148" t="s">
        <v>1088</v>
      </c>
      <c r="Q125" s="148" t="s">
        <v>1117</v>
      </c>
      <c r="R125" s="148"/>
      <c r="S125" s="148"/>
      <c r="T125" s="148"/>
      <c r="U125" s="148"/>
      <c r="V125" s="148"/>
      <c r="W125" s="148"/>
      <c r="X125" s="148"/>
      <c r="Y125" s="148"/>
      <c r="Z125" s="148"/>
    </row>
    <row r="126" spans="1:26" x14ac:dyDescent="0.35">
      <c r="A126" s="148" t="s">
        <v>946</v>
      </c>
      <c r="B126" s="148"/>
      <c r="C126" s="148" t="s">
        <v>1118</v>
      </c>
      <c r="D126" s="148">
        <v>45000</v>
      </c>
      <c r="E126" s="148"/>
      <c r="F126" s="148">
        <v>62</v>
      </c>
      <c r="G126" s="148"/>
      <c r="H126" s="148"/>
      <c r="I126" s="148"/>
      <c r="J126" s="148"/>
      <c r="K126" s="159">
        <v>4.96E-3</v>
      </c>
      <c r="L126" s="148">
        <v>125000</v>
      </c>
      <c r="M126" s="148">
        <v>10000</v>
      </c>
      <c r="N126" s="148"/>
      <c r="O126" s="148"/>
      <c r="P126" s="148" t="s">
        <v>1088</v>
      </c>
      <c r="Q126" s="148" t="s">
        <v>1119</v>
      </c>
      <c r="R126" s="148"/>
      <c r="S126" s="148"/>
      <c r="T126" s="148"/>
      <c r="U126" s="148"/>
      <c r="V126" s="148"/>
      <c r="W126" s="148"/>
      <c r="X126" s="148"/>
      <c r="Y126" s="148"/>
      <c r="Z126" s="148"/>
    </row>
    <row r="127" spans="1:26" x14ac:dyDescent="0.35">
      <c r="A127" s="156" t="s">
        <v>946</v>
      </c>
      <c r="B127" s="156" t="s">
        <v>1120</v>
      </c>
      <c r="C127" s="156"/>
      <c r="D127" s="156"/>
      <c r="E127" s="156"/>
      <c r="F127" s="156"/>
      <c r="G127" s="156"/>
      <c r="H127" s="156"/>
      <c r="I127" s="156"/>
      <c r="J127" s="156"/>
      <c r="K127" s="156" t="s">
        <v>1121</v>
      </c>
      <c r="L127" s="156"/>
      <c r="M127" s="156"/>
      <c r="N127" s="156"/>
      <c r="O127" s="156">
        <v>2.4899999999999999E-2</v>
      </c>
      <c r="P127" s="156" t="s">
        <v>1122</v>
      </c>
      <c r="Q127" s="156" t="s">
        <v>1123</v>
      </c>
      <c r="R127" s="156"/>
      <c r="S127" s="156"/>
      <c r="T127" s="156"/>
      <c r="U127" s="156"/>
      <c r="V127" s="156"/>
      <c r="W127" s="156"/>
      <c r="X127" s="156"/>
      <c r="Y127" s="156"/>
      <c r="Z127" s="156"/>
    </row>
    <row r="128" spans="1:26" x14ac:dyDescent="0.35">
      <c r="A128" s="148" t="s">
        <v>946</v>
      </c>
      <c r="B128" s="148"/>
      <c r="C128" s="148" t="s">
        <v>1124</v>
      </c>
      <c r="D128" s="148"/>
      <c r="E128" s="148"/>
      <c r="F128" s="148"/>
      <c r="G128" s="148"/>
      <c r="H128" s="148"/>
      <c r="I128" s="148"/>
      <c r="J128" s="148"/>
      <c r="K128" s="148">
        <v>9.3600000000000003E-3</v>
      </c>
      <c r="L128" s="148"/>
      <c r="M128" s="148"/>
      <c r="N128" s="148"/>
      <c r="O128" s="148"/>
      <c r="P128" s="148"/>
      <c r="Q128" s="148" t="s">
        <v>1125</v>
      </c>
      <c r="R128" s="148"/>
      <c r="S128" s="148"/>
      <c r="T128" s="148"/>
      <c r="U128" s="148"/>
      <c r="V128" s="148"/>
      <c r="W128" s="148"/>
      <c r="X128" s="148"/>
      <c r="Y128" s="148"/>
      <c r="Z128" s="148"/>
    </row>
    <row r="129" spans="1:26" x14ac:dyDescent="0.35">
      <c r="A129" s="148" t="s">
        <v>946</v>
      </c>
      <c r="B129" s="148"/>
      <c r="C129" s="148" t="s">
        <v>1126</v>
      </c>
      <c r="D129" s="148"/>
      <c r="E129" s="148"/>
      <c r="F129" s="148"/>
      <c r="G129" s="148"/>
      <c r="H129" s="148"/>
      <c r="I129" s="148"/>
      <c r="J129" s="148"/>
      <c r="K129" s="148">
        <v>1.0800000000000001E-2</v>
      </c>
      <c r="L129" s="148"/>
      <c r="M129" s="148"/>
      <c r="N129" s="148"/>
      <c r="O129" s="148"/>
      <c r="P129" s="148"/>
      <c r="Q129" s="148" t="s">
        <v>1127</v>
      </c>
      <c r="R129" s="148"/>
      <c r="S129" s="148"/>
      <c r="T129" s="148"/>
      <c r="U129" s="148"/>
      <c r="V129" s="148"/>
      <c r="W129" s="148"/>
      <c r="X129" s="148"/>
      <c r="Y129" s="148"/>
      <c r="Z129" s="148"/>
    </row>
    <row r="130" spans="1:26" x14ac:dyDescent="0.35">
      <c r="A130" s="148" t="s">
        <v>946</v>
      </c>
      <c r="B130" s="148"/>
      <c r="C130" s="148" t="s">
        <v>1128</v>
      </c>
      <c r="D130" s="148"/>
      <c r="E130" s="148"/>
      <c r="F130" s="148"/>
      <c r="G130" s="148"/>
      <c r="H130" s="148"/>
      <c r="I130" s="148"/>
      <c r="J130" s="148"/>
      <c r="K130" s="148">
        <v>3.492E-2</v>
      </c>
      <c r="L130" s="148"/>
      <c r="M130" s="148"/>
      <c r="N130" s="148"/>
      <c r="O130" s="148"/>
      <c r="P130" s="148"/>
      <c r="Q130" s="148" t="s">
        <v>1129</v>
      </c>
      <c r="R130" s="148"/>
      <c r="S130" s="148"/>
      <c r="T130" s="148"/>
      <c r="U130" s="148"/>
      <c r="V130" s="148"/>
      <c r="W130" s="148"/>
      <c r="X130" s="148"/>
      <c r="Y130" s="148"/>
      <c r="Z130" s="148"/>
    </row>
    <row r="131" spans="1:26" x14ac:dyDescent="0.35">
      <c r="A131" s="148" t="s">
        <v>946</v>
      </c>
      <c r="B131" s="148"/>
      <c r="C131" s="148" t="s">
        <v>1130</v>
      </c>
      <c r="D131" s="148"/>
      <c r="E131" s="148"/>
      <c r="F131" s="148"/>
      <c r="G131" s="148"/>
      <c r="H131" s="148"/>
      <c r="I131" s="148"/>
      <c r="J131" s="148"/>
      <c r="K131" s="148">
        <v>4.2119999999999998E-2</v>
      </c>
      <c r="L131" s="148"/>
      <c r="M131" s="148"/>
      <c r="N131" s="148"/>
      <c r="O131" s="148"/>
      <c r="P131" s="148"/>
      <c r="Q131" s="148" t="s">
        <v>1131</v>
      </c>
      <c r="R131" s="148"/>
      <c r="S131" s="148"/>
      <c r="T131" s="148"/>
      <c r="U131" s="148"/>
      <c r="V131" s="148"/>
      <c r="W131" s="148"/>
      <c r="X131" s="148"/>
      <c r="Y131" s="148"/>
      <c r="Z131" s="148"/>
    </row>
    <row r="132" spans="1:26" x14ac:dyDescent="0.35">
      <c r="A132" s="148" t="s">
        <v>946</v>
      </c>
      <c r="B132" s="148"/>
      <c r="C132" s="148" t="s">
        <v>1132</v>
      </c>
      <c r="D132" s="148"/>
      <c r="E132" s="148"/>
      <c r="F132" s="148"/>
      <c r="G132" s="148"/>
      <c r="H132" s="148"/>
      <c r="I132" s="148"/>
      <c r="J132" s="148"/>
      <c r="K132" s="148">
        <v>1.0800000000000001E-2</v>
      </c>
      <c r="L132" s="148"/>
      <c r="M132" s="148"/>
      <c r="N132" s="148"/>
      <c r="O132" s="148"/>
      <c r="P132" s="148"/>
      <c r="Q132" s="148" t="s">
        <v>1133</v>
      </c>
      <c r="R132" s="148"/>
      <c r="S132" s="148"/>
      <c r="T132" s="148"/>
      <c r="U132" s="148"/>
      <c r="V132" s="148"/>
      <c r="W132" s="148"/>
      <c r="X132" s="148"/>
      <c r="Y132" s="148"/>
      <c r="Z132" s="148"/>
    </row>
    <row r="133" spans="1:26" x14ac:dyDescent="0.35">
      <c r="A133" s="148" t="s">
        <v>946</v>
      </c>
      <c r="B133" s="148"/>
      <c r="C133" s="148" t="s">
        <v>1134</v>
      </c>
      <c r="D133" s="148"/>
      <c r="E133" s="148"/>
      <c r="F133" s="148"/>
      <c r="G133" s="148"/>
      <c r="H133" s="148"/>
      <c r="I133" s="148"/>
      <c r="J133" s="148"/>
      <c r="K133" s="148">
        <v>0.11772000000000001</v>
      </c>
      <c r="L133" s="148"/>
      <c r="M133" s="148"/>
      <c r="N133" s="148"/>
      <c r="O133" s="148"/>
      <c r="P133" s="148"/>
      <c r="Q133" s="148" t="s">
        <v>1135</v>
      </c>
      <c r="R133" s="148"/>
      <c r="S133" s="148"/>
      <c r="T133" s="148"/>
      <c r="U133" s="148"/>
      <c r="V133" s="148"/>
      <c r="W133" s="148"/>
      <c r="X133" s="148"/>
      <c r="Y133" s="148"/>
      <c r="Z133" s="148"/>
    </row>
    <row r="134" spans="1:26" x14ac:dyDescent="0.35">
      <c r="A134" s="148" t="s">
        <v>946</v>
      </c>
      <c r="B134" s="148"/>
      <c r="C134" s="148" t="s">
        <v>1136</v>
      </c>
      <c r="D134" s="148"/>
      <c r="E134" s="148"/>
      <c r="F134" s="148"/>
      <c r="G134" s="148"/>
      <c r="H134" s="148"/>
      <c r="I134" s="148"/>
      <c r="J134" s="148"/>
      <c r="K134" s="148">
        <v>3.5639999999999998E-2</v>
      </c>
      <c r="L134" s="148"/>
      <c r="M134" s="148"/>
      <c r="N134" s="148"/>
      <c r="O134" s="148"/>
      <c r="P134" s="148"/>
      <c r="Q134" s="148" t="s">
        <v>1137</v>
      </c>
      <c r="R134" s="148"/>
      <c r="S134" s="148"/>
      <c r="T134" s="148"/>
      <c r="U134" s="148"/>
      <c r="V134" s="148"/>
      <c r="W134" s="148"/>
      <c r="X134" s="148"/>
      <c r="Y134" s="148"/>
      <c r="Z134" s="148"/>
    </row>
    <row r="135" spans="1:26" x14ac:dyDescent="0.35">
      <c r="A135" s="148" t="s">
        <v>946</v>
      </c>
      <c r="B135" s="148"/>
      <c r="C135" s="148" t="s">
        <v>541</v>
      </c>
      <c r="D135" s="148"/>
      <c r="E135" s="148"/>
      <c r="F135" s="148"/>
      <c r="G135" s="148"/>
      <c r="H135" s="148"/>
      <c r="I135" s="148"/>
      <c r="J135" s="148"/>
      <c r="K135" s="148">
        <v>6.0479999999999999E-2</v>
      </c>
      <c r="L135" s="148"/>
      <c r="M135" s="148"/>
      <c r="N135" s="148"/>
      <c r="O135" s="148"/>
      <c r="P135" s="148"/>
      <c r="Q135" s="148" t="s">
        <v>1138</v>
      </c>
      <c r="R135" s="148"/>
      <c r="S135" s="148"/>
      <c r="T135" s="148"/>
      <c r="U135" s="148"/>
      <c r="V135" s="148"/>
      <c r="W135" s="148"/>
      <c r="X135" s="148"/>
      <c r="Y135" s="148"/>
      <c r="Z135" s="148"/>
    </row>
    <row r="136" spans="1:26" x14ac:dyDescent="0.35">
      <c r="A136" s="156" t="s">
        <v>946</v>
      </c>
      <c r="B136" s="156" t="s">
        <v>1139</v>
      </c>
      <c r="C136" s="156"/>
      <c r="D136" s="156"/>
      <c r="E136" s="156"/>
      <c r="F136" s="156"/>
      <c r="G136" s="156"/>
      <c r="H136" s="156"/>
      <c r="I136" s="156"/>
      <c r="J136" s="156"/>
      <c r="K136" s="156" t="s">
        <v>1121</v>
      </c>
      <c r="L136" s="156"/>
      <c r="M136" s="156"/>
      <c r="N136" s="156"/>
      <c r="O136" s="156">
        <v>2.3599999999999999E-2</v>
      </c>
      <c r="P136" s="156" t="s">
        <v>1122</v>
      </c>
      <c r="Q136" s="156" t="s">
        <v>1140</v>
      </c>
      <c r="R136" s="156"/>
      <c r="S136" s="156"/>
      <c r="T136" s="156"/>
      <c r="U136" s="156"/>
      <c r="V136" s="156"/>
      <c r="W136" s="156"/>
      <c r="X136" s="156"/>
      <c r="Y136" s="156"/>
      <c r="Z136" s="156"/>
    </row>
    <row r="137" spans="1:26" x14ac:dyDescent="0.35">
      <c r="A137" s="148" t="s">
        <v>946</v>
      </c>
      <c r="B137" s="148"/>
      <c r="C137" s="148" t="s">
        <v>1124</v>
      </c>
      <c r="D137" s="148"/>
      <c r="E137" s="148"/>
      <c r="F137" s="148"/>
      <c r="G137" s="148"/>
      <c r="H137" s="148"/>
      <c r="I137" s="148"/>
      <c r="J137" s="148"/>
      <c r="K137" s="148">
        <v>1.6920000000000001E-2</v>
      </c>
      <c r="L137" s="148"/>
      <c r="M137" s="148"/>
      <c r="N137" s="148"/>
      <c r="O137" s="148"/>
      <c r="P137" s="148"/>
      <c r="Q137" s="148" t="s">
        <v>1141</v>
      </c>
      <c r="R137" s="148"/>
      <c r="S137" s="148"/>
      <c r="T137" s="148"/>
      <c r="U137" s="148"/>
      <c r="V137" s="148"/>
      <c r="W137" s="148"/>
      <c r="X137" s="148"/>
      <c r="Y137" s="148"/>
      <c r="Z137" s="148"/>
    </row>
    <row r="138" spans="1:26" x14ac:dyDescent="0.35">
      <c r="A138" s="148" t="s">
        <v>946</v>
      </c>
      <c r="B138" s="148"/>
      <c r="C138" s="148" t="s">
        <v>1126</v>
      </c>
      <c r="D138" s="148"/>
      <c r="E138" s="148"/>
      <c r="F138" s="148"/>
      <c r="G138" s="148"/>
      <c r="H138" s="148"/>
      <c r="I138" s="148"/>
      <c r="J138" s="148"/>
      <c r="K138" s="148">
        <v>1.9439999999999999E-2</v>
      </c>
      <c r="L138" s="148"/>
      <c r="M138" s="148"/>
      <c r="N138" s="148"/>
      <c r="O138" s="148"/>
      <c r="P138" s="148"/>
      <c r="Q138" s="148" t="s">
        <v>1142</v>
      </c>
      <c r="R138" s="148"/>
      <c r="S138" s="148"/>
      <c r="T138" s="148"/>
      <c r="U138" s="148"/>
      <c r="V138" s="148"/>
      <c r="W138" s="148"/>
      <c r="X138" s="148"/>
      <c r="Y138" s="148"/>
      <c r="Z138" s="148"/>
    </row>
    <row r="139" spans="1:26" x14ac:dyDescent="0.35">
      <c r="A139" s="148" t="s">
        <v>946</v>
      </c>
      <c r="B139" s="148"/>
      <c r="C139" s="148" t="s">
        <v>1128</v>
      </c>
      <c r="D139" s="148"/>
      <c r="E139" s="148"/>
      <c r="F139" s="148"/>
      <c r="G139" s="148"/>
      <c r="H139" s="148"/>
      <c r="I139" s="148"/>
      <c r="J139" s="148"/>
      <c r="K139" s="148">
        <v>0.10116</v>
      </c>
      <c r="L139" s="148"/>
      <c r="M139" s="148"/>
      <c r="N139" s="148"/>
      <c r="O139" s="148"/>
      <c r="P139" s="148"/>
      <c r="Q139" s="148" t="s">
        <v>1143</v>
      </c>
      <c r="R139" s="148"/>
      <c r="S139" s="148"/>
      <c r="T139" s="148"/>
      <c r="U139" s="148"/>
      <c r="V139" s="148"/>
      <c r="W139" s="148"/>
      <c r="X139" s="148"/>
      <c r="Y139" s="148"/>
      <c r="Z139" s="148"/>
    </row>
    <row r="140" spans="1:26" x14ac:dyDescent="0.35">
      <c r="A140" s="148" t="s">
        <v>946</v>
      </c>
      <c r="B140" s="148"/>
      <c r="C140" s="148" t="s">
        <v>1130</v>
      </c>
      <c r="D140" s="148"/>
      <c r="E140" s="148"/>
      <c r="F140" s="148"/>
      <c r="G140" s="148"/>
      <c r="H140" s="148"/>
      <c r="I140" s="148"/>
      <c r="J140" s="148"/>
      <c r="K140" s="148">
        <v>0.18720000000000001</v>
      </c>
      <c r="L140" s="148"/>
      <c r="M140" s="148"/>
      <c r="N140" s="148"/>
      <c r="O140" s="148"/>
      <c r="P140" s="148"/>
      <c r="Q140" s="148" t="s">
        <v>1144</v>
      </c>
      <c r="R140" s="148"/>
      <c r="S140" s="148"/>
      <c r="T140" s="148"/>
      <c r="U140" s="148"/>
      <c r="V140" s="148"/>
      <c r="W140" s="148"/>
      <c r="X140" s="148"/>
      <c r="Y140" s="148"/>
      <c r="Z140" s="148"/>
    </row>
    <row r="141" spans="1:26" x14ac:dyDescent="0.35">
      <c r="A141" s="148" t="s">
        <v>946</v>
      </c>
      <c r="B141" s="148"/>
      <c r="C141" s="148" t="s">
        <v>1132</v>
      </c>
      <c r="D141" s="148"/>
      <c r="E141" s="148"/>
      <c r="F141" s="148"/>
      <c r="G141" s="148"/>
      <c r="H141" s="148"/>
      <c r="I141" s="148"/>
      <c r="J141" s="148"/>
      <c r="K141" s="148">
        <v>1.6920000000000001E-2</v>
      </c>
      <c r="L141" s="148"/>
      <c r="M141" s="148"/>
      <c r="N141" s="148"/>
      <c r="O141" s="148"/>
      <c r="P141" s="148"/>
      <c r="Q141" s="148" t="s">
        <v>1145</v>
      </c>
      <c r="R141" s="148"/>
      <c r="S141" s="148"/>
      <c r="T141" s="148"/>
      <c r="U141" s="148"/>
      <c r="V141" s="148"/>
      <c r="W141" s="148"/>
      <c r="X141" s="148"/>
      <c r="Y141" s="148"/>
      <c r="Z141" s="148"/>
    </row>
    <row r="142" spans="1:26" x14ac:dyDescent="0.35">
      <c r="A142" s="148" t="s">
        <v>946</v>
      </c>
      <c r="B142" s="148"/>
      <c r="C142" s="148" t="s">
        <v>1134</v>
      </c>
      <c r="D142" s="148"/>
      <c r="E142" s="148"/>
      <c r="F142" s="148"/>
      <c r="G142" s="148"/>
      <c r="H142" s="148"/>
      <c r="I142" s="148"/>
      <c r="J142" s="148"/>
      <c r="K142" s="148">
        <v>0.41796</v>
      </c>
      <c r="L142" s="148"/>
      <c r="M142" s="148"/>
      <c r="N142" s="148"/>
      <c r="O142" s="148"/>
      <c r="P142" s="148"/>
      <c r="Q142" s="148" t="s">
        <v>1146</v>
      </c>
      <c r="R142" s="148"/>
      <c r="S142" s="148"/>
      <c r="T142" s="148"/>
      <c r="U142" s="148"/>
      <c r="V142" s="148"/>
      <c r="W142" s="148"/>
      <c r="X142" s="148"/>
      <c r="Y142" s="148"/>
      <c r="Z142" s="148"/>
    </row>
    <row r="143" spans="1:26" x14ac:dyDescent="0.35">
      <c r="A143" s="148" t="s">
        <v>946</v>
      </c>
      <c r="B143" s="148"/>
      <c r="C143" s="148" t="s">
        <v>1136</v>
      </c>
      <c r="D143" s="148"/>
      <c r="E143" s="148"/>
      <c r="F143" s="148"/>
      <c r="G143" s="148"/>
      <c r="H143" s="148"/>
      <c r="I143" s="148"/>
      <c r="J143" s="148"/>
      <c r="K143" s="148">
        <v>0.13284000000000001</v>
      </c>
      <c r="L143" s="148"/>
      <c r="M143" s="148"/>
      <c r="N143" s="148"/>
      <c r="O143" s="148"/>
      <c r="P143" s="148"/>
      <c r="Q143" s="148" t="s">
        <v>1147</v>
      </c>
      <c r="R143" s="148"/>
      <c r="S143" s="148"/>
      <c r="T143" s="148"/>
      <c r="U143" s="148"/>
      <c r="V143" s="148"/>
      <c r="W143" s="148"/>
      <c r="X143" s="148"/>
      <c r="Y143" s="148"/>
      <c r="Z143" s="148"/>
    </row>
    <row r="144" spans="1:26" x14ac:dyDescent="0.35">
      <c r="A144" s="148" t="s">
        <v>946</v>
      </c>
      <c r="B144" s="148"/>
      <c r="C144" s="148" t="s">
        <v>541</v>
      </c>
      <c r="D144" s="148"/>
      <c r="E144" s="148"/>
      <c r="F144" s="148"/>
      <c r="G144" s="148"/>
      <c r="H144" s="148"/>
      <c r="I144" s="148"/>
      <c r="J144" s="148"/>
      <c r="K144" s="148">
        <v>0.13103999999999999</v>
      </c>
      <c r="L144" s="148"/>
      <c r="M144" s="148"/>
      <c r="N144" s="148"/>
      <c r="O144" s="148"/>
      <c r="P144" s="148"/>
      <c r="Q144" s="148" t="s">
        <v>1148</v>
      </c>
      <c r="R144" s="148"/>
      <c r="S144" s="148"/>
      <c r="T144" s="148"/>
      <c r="U144" s="148"/>
      <c r="V144" s="148"/>
      <c r="W144" s="148"/>
      <c r="X144" s="148"/>
      <c r="Y144" s="148"/>
      <c r="Z144" s="148"/>
    </row>
    <row r="145" spans="1:26" x14ac:dyDescent="0.35">
      <c r="A145" s="156" t="s">
        <v>946</v>
      </c>
      <c r="B145" s="156" t="s">
        <v>1149</v>
      </c>
      <c r="C145" s="156"/>
      <c r="D145" s="156"/>
      <c r="E145" s="156"/>
      <c r="F145" s="156"/>
      <c r="G145" s="156"/>
      <c r="H145" s="156"/>
      <c r="I145" s="156"/>
      <c r="J145" s="156"/>
      <c r="K145" s="156" t="s">
        <v>1121</v>
      </c>
      <c r="L145" s="156"/>
      <c r="M145" s="156"/>
      <c r="N145" s="156"/>
      <c r="O145" s="156">
        <v>2.3400000000000001E-2</v>
      </c>
      <c r="P145" s="156" t="s">
        <v>1122</v>
      </c>
      <c r="Q145" s="156" t="s">
        <v>1150</v>
      </c>
      <c r="R145" s="156"/>
      <c r="S145" s="156"/>
      <c r="T145" s="156"/>
      <c r="U145" s="156"/>
      <c r="V145" s="156"/>
      <c r="W145" s="156"/>
      <c r="X145" s="156"/>
      <c r="Y145" s="156"/>
      <c r="Z145" s="156"/>
    </row>
    <row r="146" spans="1:26" x14ac:dyDescent="0.35">
      <c r="A146" s="148" t="s">
        <v>946</v>
      </c>
      <c r="B146" s="148"/>
      <c r="C146" s="148" t="s">
        <v>1124</v>
      </c>
      <c r="D146" s="148"/>
      <c r="E146" s="148"/>
      <c r="F146" s="148"/>
      <c r="G146" s="148"/>
      <c r="H146" s="148"/>
      <c r="I146" s="148"/>
      <c r="J146" s="148"/>
      <c r="K146" s="148">
        <v>1.2239999999999999E-2</v>
      </c>
      <c r="L146" s="148"/>
      <c r="M146" s="148"/>
      <c r="N146" s="148"/>
      <c r="O146" s="148"/>
      <c r="P146" s="148"/>
      <c r="Q146" s="148" t="s">
        <v>1151</v>
      </c>
      <c r="R146" s="148"/>
      <c r="S146" s="148"/>
      <c r="T146" s="148"/>
      <c r="U146" s="148"/>
      <c r="V146" s="148"/>
      <c r="W146" s="148"/>
      <c r="X146" s="148"/>
      <c r="Y146" s="148"/>
      <c r="Z146" s="148"/>
    </row>
    <row r="147" spans="1:26" x14ac:dyDescent="0.35">
      <c r="A147" s="148" t="s">
        <v>946</v>
      </c>
      <c r="B147" s="148"/>
      <c r="C147" s="148" t="s">
        <v>1126</v>
      </c>
      <c r="D147" s="148"/>
      <c r="E147" s="148"/>
      <c r="F147" s="148"/>
      <c r="G147" s="148"/>
      <c r="H147" s="148"/>
      <c r="I147" s="148"/>
      <c r="J147" s="148"/>
      <c r="K147" s="148">
        <v>1.3679999999999999E-2</v>
      </c>
      <c r="L147" s="148"/>
      <c r="M147" s="148"/>
      <c r="N147" s="148"/>
      <c r="O147" s="148"/>
      <c r="P147" s="148"/>
      <c r="Q147" s="148" t="s">
        <v>1152</v>
      </c>
      <c r="R147" s="148"/>
      <c r="S147" s="148"/>
      <c r="T147" s="148"/>
      <c r="U147" s="148"/>
      <c r="V147" s="148"/>
      <c r="W147" s="148"/>
      <c r="X147" s="148"/>
      <c r="Y147" s="148"/>
      <c r="Z147" s="148"/>
    </row>
    <row r="148" spans="1:26" x14ac:dyDescent="0.35">
      <c r="A148" s="148" t="s">
        <v>946</v>
      </c>
      <c r="B148" s="148"/>
      <c r="C148" s="148" t="s">
        <v>1128</v>
      </c>
      <c r="D148" s="148"/>
      <c r="E148" s="148"/>
      <c r="F148" s="148"/>
      <c r="G148" s="148"/>
      <c r="H148" s="148"/>
      <c r="I148" s="148"/>
      <c r="J148" s="148"/>
      <c r="K148" s="148">
        <v>2.196E-2</v>
      </c>
      <c r="L148" s="148"/>
      <c r="M148" s="148"/>
      <c r="N148" s="148"/>
      <c r="O148" s="148"/>
      <c r="P148" s="148"/>
      <c r="Q148" s="148" t="s">
        <v>1153</v>
      </c>
      <c r="R148" s="148"/>
      <c r="S148" s="148"/>
      <c r="T148" s="148"/>
      <c r="U148" s="148"/>
      <c r="V148" s="148"/>
      <c r="W148" s="148"/>
      <c r="X148" s="148"/>
      <c r="Y148" s="148"/>
      <c r="Z148" s="148"/>
    </row>
    <row r="149" spans="1:26" x14ac:dyDescent="0.35">
      <c r="A149" s="148" t="s">
        <v>946</v>
      </c>
      <c r="B149" s="148"/>
      <c r="C149" s="148" t="s">
        <v>1130</v>
      </c>
      <c r="D149" s="148"/>
      <c r="E149" s="148"/>
      <c r="F149" s="148"/>
      <c r="G149" s="148"/>
      <c r="H149" s="148"/>
      <c r="I149" s="148"/>
      <c r="J149" s="148"/>
      <c r="K149" s="148">
        <v>2.8080000000000001E-2</v>
      </c>
      <c r="L149" s="148"/>
      <c r="M149" s="148"/>
      <c r="N149" s="148"/>
      <c r="O149" s="148"/>
      <c r="P149" s="148"/>
      <c r="Q149" s="148" t="s">
        <v>1154</v>
      </c>
      <c r="R149" s="148"/>
      <c r="S149" s="148"/>
      <c r="T149" s="148"/>
      <c r="U149" s="148"/>
      <c r="V149" s="148"/>
      <c r="W149" s="148"/>
      <c r="X149" s="148"/>
      <c r="Y149" s="148"/>
      <c r="Z149" s="148"/>
    </row>
    <row r="150" spans="1:26" x14ac:dyDescent="0.35">
      <c r="A150" s="148" t="s">
        <v>946</v>
      </c>
      <c r="B150" s="148"/>
      <c r="C150" s="148" t="s">
        <v>1132</v>
      </c>
      <c r="D150" s="148"/>
      <c r="E150" s="148"/>
      <c r="F150" s="148"/>
      <c r="G150" s="148"/>
      <c r="H150" s="148"/>
      <c r="I150" s="148"/>
      <c r="J150" s="148"/>
      <c r="K150" s="148">
        <v>7.5599999999999999E-3</v>
      </c>
      <c r="L150" s="148"/>
      <c r="M150" s="148"/>
      <c r="N150" s="148"/>
      <c r="O150" s="148"/>
      <c r="P150" s="148"/>
      <c r="Q150" s="148" t="s">
        <v>1155</v>
      </c>
      <c r="R150" s="148"/>
      <c r="S150" s="148"/>
      <c r="T150" s="148"/>
      <c r="U150" s="148"/>
      <c r="V150" s="148"/>
      <c r="W150" s="148"/>
      <c r="X150" s="148"/>
      <c r="Y150" s="148"/>
      <c r="Z150" s="148"/>
    </row>
    <row r="151" spans="1:26" x14ac:dyDescent="0.35">
      <c r="A151" s="148" t="s">
        <v>946</v>
      </c>
      <c r="B151" s="148"/>
      <c r="C151" s="148" t="s">
        <v>1134</v>
      </c>
      <c r="D151" s="148"/>
      <c r="E151" s="148"/>
      <c r="F151" s="148"/>
      <c r="G151" s="148"/>
      <c r="H151" s="148"/>
      <c r="I151" s="148"/>
      <c r="J151" s="148"/>
      <c r="K151" s="148">
        <v>7.9200000000000007E-2</v>
      </c>
      <c r="L151" s="148"/>
      <c r="M151" s="148"/>
      <c r="N151" s="148"/>
      <c r="O151" s="148"/>
      <c r="P151" s="148"/>
      <c r="Q151" s="148" t="s">
        <v>1156</v>
      </c>
      <c r="R151" s="148"/>
      <c r="S151" s="148"/>
      <c r="T151" s="148"/>
      <c r="U151" s="148"/>
      <c r="V151" s="148"/>
      <c r="W151" s="148"/>
      <c r="X151" s="148"/>
      <c r="Y151" s="148"/>
      <c r="Z151" s="148"/>
    </row>
    <row r="152" spans="1:26" x14ac:dyDescent="0.35">
      <c r="A152" s="148" t="s">
        <v>946</v>
      </c>
      <c r="B152" s="148"/>
      <c r="C152" s="148" t="s">
        <v>1136</v>
      </c>
      <c r="D152" s="148"/>
      <c r="E152" s="148"/>
      <c r="F152" s="148"/>
      <c r="G152" s="148"/>
      <c r="H152" s="148"/>
      <c r="I152" s="148"/>
      <c r="J152" s="148"/>
      <c r="K152" s="148">
        <v>2.4840000000000001E-2</v>
      </c>
      <c r="L152" s="148"/>
      <c r="M152" s="148"/>
      <c r="N152" s="148"/>
      <c r="O152" s="148"/>
      <c r="P152" s="148"/>
      <c r="Q152" s="148" t="s">
        <v>1157</v>
      </c>
      <c r="R152" s="148"/>
      <c r="S152" s="148"/>
      <c r="T152" s="148"/>
      <c r="U152" s="148"/>
      <c r="V152" s="148"/>
      <c r="W152" s="148"/>
      <c r="X152" s="148"/>
      <c r="Y152" s="148"/>
      <c r="Z152" s="148"/>
    </row>
    <row r="153" spans="1:26" x14ac:dyDescent="0.35">
      <c r="A153" s="148" t="s">
        <v>946</v>
      </c>
      <c r="B153" s="148"/>
      <c r="C153" s="148" t="s">
        <v>541</v>
      </c>
      <c r="D153" s="148"/>
      <c r="E153" s="148"/>
      <c r="F153" s="148"/>
      <c r="G153" s="148"/>
      <c r="H153" s="148"/>
      <c r="I153" s="148"/>
      <c r="J153" s="148"/>
      <c r="K153" s="148">
        <v>5.3280000000000001E-2</v>
      </c>
      <c r="L153" s="148"/>
      <c r="M153" s="148"/>
      <c r="N153" s="148"/>
      <c r="O153" s="148"/>
      <c r="P153" s="148"/>
      <c r="Q153" s="148" t="s">
        <v>1158</v>
      </c>
      <c r="R153" s="148"/>
      <c r="S153" s="148"/>
      <c r="T153" s="148"/>
      <c r="U153" s="148"/>
      <c r="V153" s="148"/>
      <c r="W153" s="148"/>
      <c r="X153" s="148"/>
      <c r="Y153" s="148"/>
      <c r="Z153" s="148"/>
    </row>
    <row r="154" spans="1:26" x14ac:dyDescent="0.35">
      <c r="A154" s="156" t="s">
        <v>946</v>
      </c>
      <c r="B154" s="156" t="s">
        <v>1159</v>
      </c>
      <c r="C154" s="156"/>
      <c r="D154" s="156"/>
      <c r="E154" s="156"/>
      <c r="F154" s="156"/>
      <c r="G154" s="156"/>
      <c r="H154" s="156"/>
      <c r="I154" s="156"/>
      <c r="J154" s="156"/>
      <c r="K154" s="156" t="s">
        <v>1121</v>
      </c>
      <c r="L154" s="156"/>
      <c r="M154" s="156"/>
      <c r="N154" s="156"/>
      <c r="O154" s="156">
        <v>1.9800000000000002E-2</v>
      </c>
      <c r="P154" s="156" t="s">
        <v>1122</v>
      </c>
      <c r="Q154" s="156" t="s">
        <v>1160</v>
      </c>
      <c r="R154" s="156"/>
      <c r="S154" s="156"/>
      <c r="T154" s="156"/>
      <c r="U154" s="156"/>
      <c r="V154" s="156"/>
      <c r="W154" s="156"/>
      <c r="X154" s="156"/>
      <c r="Y154" s="156"/>
      <c r="Z154" s="156"/>
    </row>
    <row r="155" spans="1:26" x14ac:dyDescent="0.35">
      <c r="A155" s="148" t="s">
        <v>946</v>
      </c>
      <c r="B155" s="148"/>
      <c r="C155" s="148" t="s">
        <v>1124</v>
      </c>
      <c r="D155" s="148"/>
      <c r="E155" s="148"/>
      <c r="F155" s="148"/>
      <c r="G155" s="148"/>
      <c r="H155" s="148"/>
      <c r="I155" s="148"/>
      <c r="J155" s="148"/>
      <c r="K155" s="148">
        <v>9.7199999999999995E-3</v>
      </c>
      <c r="L155" s="148"/>
      <c r="M155" s="148"/>
      <c r="N155" s="148"/>
      <c r="O155" s="148"/>
      <c r="P155" s="148"/>
      <c r="Q155" s="148" t="s">
        <v>1161</v>
      </c>
      <c r="R155" s="148"/>
      <c r="S155" s="148"/>
      <c r="T155" s="148"/>
      <c r="U155" s="148"/>
      <c r="V155" s="148"/>
      <c r="W155" s="148"/>
      <c r="X155" s="148"/>
      <c r="Y155" s="148"/>
      <c r="Z155" s="148"/>
    </row>
    <row r="156" spans="1:26" x14ac:dyDescent="0.35">
      <c r="A156" s="148" t="s">
        <v>946</v>
      </c>
      <c r="B156" s="148"/>
      <c r="C156" s="148" t="s">
        <v>1126</v>
      </c>
      <c r="D156" s="148"/>
      <c r="E156" s="148"/>
      <c r="F156" s="148"/>
      <c r="G156" s="148"/>
      <c r="H156" s="148"/>
      <c r="I156" s="148"/>
      <c r="J156" s="148"/>
      <c r="K156" s="148">
        <v>9.7199999999999995E-3</v>
      </c>
      <c r="L156" s="148"/>
      <c r="M156" s="148"/>
      <c r="N156" s="148"/>
      <c r="O156" s="148"/>
      <c r="P156" s="148"/>
      <c r="Q156" s="148" t="s">
        <v>1162</v>
      </c>
      <c r="R156" s="148"/>
      <c r="S156" s="148"/>
      <c r="T156" s="148"/>
      <c r="U156" s="148"/>
      <c r="V156" s="148"/>
      <c r="W156" s="148"/>
      <c r="X156" s="148"/>
      <c r="Y156" s="148"/>
      <c r="Z156" s="148"/>
    </row>
    <row r="157" spans="1:26" x14ac:dyDescent="0.35">
      <c r="A157" s="148" t="s">
        <v>946</v>
      </c>
      <c r="B157" s="148"/>
      <c r="C157" s="148" t="s">
        <v>1128</v>
      </c>
      <c r="D157" s="148"/>
      <c r="E157" s="148"/>
      <c r="F157" s="148"/>
      <c r="G157" s="148"/>
      <c r="H157" s="148"/>
      <c r="I157" s="148"/>
      <c r="J157" s="148"/>
      <c r="K157" s="148">
        <v>1.116E-2</v>
      </c>
      <c r="L157" s="148"/>
      <c r="M157" s="148"/>
      <c r="N157" s="148"/>
      <c r="O157" s="148"/>
      <c r="P157" s="148"/>
      <c r="Q157" s="148" t="s">
        <v>1163</v>
      </c>
      <c r="R157" s="148"/>
      <c r="S157" s="148"/>
      <c r="T157" s="148"/>
      <c r="U157" s="148"/>
      <c r="V157" s="148"/>
      <c r="W157" s="148"/>
      <c r="X157" s="148"/>
      <c r="Y157" s="148"/>
      <c r="Z157" s="148"/>
    </row>
    <row r="158" spans="1:26" x14ac:dyDescent="0.35">
      <c r="A158" s="148" t="s">
        <v>946</v>
      </c>
      <c r="B158" s="148"/>
      <c r="C158" s="148" t="s">
        <v>1130</v>
      </c>
      <c r="D158" s="148"/>
      <c r="E158" s="148"/>
      <c r="F158" s="148"/>
      <c r="G158" s="148"/>
      <c r="H158" s="148"/>
      <c r="I158" s="148"/>
      <c r="J158" s="148"/>
      <c r="K158" s="148">
        <v>1.116E-2</v>
      </c>
      <c r="L158" s="148"/>
      <c r="M158" s="148"/>
      <c r="N158" s="148"/>
      <c r="O158" s="148"/>
      <c r="P158" s="148"/>
      <c r="Q158" s="148" t="s">
        <v>1164</v>
      </c>
      <c r="R158" s="148"/>
      <c r="S158" s="148"/>
      <c r="T158" s="148"/>
      <c r="U158" s="148"/>
      <c r="V158" s="148"/>
      <c r="W158" s="148"/>
      <c r="X158" s="148"/>
      <c r="Y158" s="148"/>
      <c r="Z158" s="148"/>
    </row>
    <row r="159" spans="1:26" x14ac:dyDescent="0.35">
      <c r="A159" s="148" t="s">
        <v>946</v>
      </c>
      <c r="B159" s="148"/>
      <c r="C159" s="148" t="s">
        <v>1132</v>
      </c>
      <c r="D159" s="148"/>
      <c r="E159" s="148"/>
      <c r="F159" s="148"/>
      <c r="G159" s="148"/>
      <c r="H159" s="148"/>
      <c r="I159" s="148"/>
      <c r="J159" s="148"/>
      <c r="K159" s="148">
        <v>1.116E-2</v>
      </c>
      <c r="L159" s="148"/>
      <c r="M159" s="148"/>
      <c r="N159" s="148"/>
      <c r="O159" s="148"/>
      <c r="P159" s="148"/>
      <c r="Q159" s="148" t="s">
        <v>1165</v>
      </c>
      <c r="R159" s="148"/>
      <c r="S159" s="148"/>
      <c r="T159" s="148"/>
      <c r="U159" s="148"/>
      <c r="V159" s="148"/>
      <c r="W159" s="148"/>
      <c r="X159" s="148"/>
      <c r="Y159" s="148"/>
      <c r="Z159" s="148"/>
    </row>
    <row r="160" spans="1:26" x14ac:dyDescent="0.35">
      <c r="A160" s="148" t="s">
        <v>946</v>
      </c>
      <c r="B160" s="148"/>
      <c r="C160" s="148" t="s">
        <v>1134</v>
      </c>
      <c r="D160" s="148"/>
      <c r="E160" s="148"/>
      <c r="F160" s="148"/>
      <c r="G160" s="148"/>
      <c r="H160" s="148"/>
      <c r="I160" s="148"/>
      <c r="J160" s="148"/>
      <c r="K160" s="148">
        <v>1.116E-2</v>
      </c>
      <c r="L160" s="148"/>
      <c r="M160" s="148"/>
      <c r="N160" s="148"/>
      <c r="O160" s="148"/>
      <c r="P160" s="148"/>
      <c r="Q160" s="148" t="s">
        <v>1166</v>
      </c>
      <c r="R160" s="148"/>
      <c r="S160" s="148"/>
      <c r="T160" s="148"/>
      <c r="U160" s="148"/>
      <c r="V160" s="148"/>
      <c r="W160" s="148"/>
      <c r="X160" s="148"/>
      <c r="Y160" s="148"/>
      <c r="Z160" s="148"/>
    </row>
    <row r="161" spans="1:26" x14ac:dyDescent="0.35">
      <c r="A161" s="148" t="s">
        <v>946</v>
      </c>
      <c r="B161" s="148"/>
      <c r="C161" s="148" t="s">
        <v>1136</v>
      </c>
      <c r="D161" s="148"/>
      <c r="E161" s="148"/>
      <c r="F161" s="148"/>
      <c r="G161" s="148"/>
      <c r="H161" s="148"/>
      <c r="I161" s="148"/>
      <c r="J161" s="148"/>
      <c r="K161" s="148">
        <v>1.116E-2</v>
      </c>
      <c r="L161" s="148"/>
      <c r="M161" s="148"/>
      <c r="N161" s="148"/>
      <c r="O161" s="148"/>
      <c r="P161" s="148"/>
      <c r="Q161" s="148" t="s">
        <v>1167</v>
      </c>
      <c r="R161" s="148"/>
      <c r="S161" s="148"/>
      <c r="T161" s="148"/>
      <c r="U161" s="148"/>
      <c r="V161" s="148"/>
      <c r="W161" s="148"/>
      <c r="X161" s="148"/>
      <c r="Y161" s="148"/>
      <c r="Z161" s="148"/>
    </row>
    <row r="162" spans="1:26" x14ac:dyDescent="0.35">
      <c r="A162" s="148" t="s">
        <v>946</v>
      </c>
      <c r="B162" s="148"/>
      <c r="C162" s="148" t="s">
        <v>541</v>
      </c>
      <c r="D162" s="148"/>
      <c r="E162" s="148"/>
      <c r="F162" s="148"/>
      <c r="G162" s="148"/>
      <c r="H162" s="148"/>
      <c r="I162" s="148"/>
      <c r="J162" s="148"/>
      <c r="K162" s="148">
        <v>5.04E-2</v>
      </c>
      <c r="L162" s="148"/>
      <c r="M162" s="148"/>
      <c r="N162" s="148"/>
      <c r="O162" s="148"/>
      <c r="P162" s="148"/>
      <c r="Q162" s="148" t="s">
        <v>1168</v>
      </c>
      <c r="R162" s="148"/>
      <c r="S162" s="148"/>
      <c r="T162" s="148"/>
      <c r="U162" s="148"/>
      <c r="V162" s="148"/>
      <c r="W162" s="148"/>
      <c r="X162" s="148"/>
      <c r="Y162" s="148"/>
      <c r="Z162" s="148"/>
    </row>
    <row r="163" spans="1:26" x14ac:dyDescent="0.35">
      <c r="A163" s="156" t="s">
        <v>893</v>
      </c>
      <c r="B163" s="156" t="s">
        <v>1169</v>
      </c>
      <c r="C163" s="156"/>
      <c r="D163" s="156"/>
      <c r="E163" s="156"/>
      <c r="F163" s="156">
        <v>1259.0000000000002</v>
      </c>
      <c r="G163" s="156"/>
      <c r="H163" s="156"/>
      <c r="I163" s="156"/>
      <c r="J163" s="156"/>
      <c r="K163" s="160" t="s">
        <v>1170</v>
      </c>
      <c r="L163" s="156"/>
      <c r="M163" s="156"/>
      <c r="N163" s="156"/>
      <c r="O163" s="156"/>
      <c r="P163" s="156"/>
      <c r="Q163" s="156" t="s">
        <v>1171</v>
      </c>
      <c r="R163" s="156"/>
      <c r="S163" s="156"/>
      <c r="T163" s="156"/>
      <c r="U163" s="156"/>
      <c r="V163" s="156"/>
      <c r="W163" s="156"/>
      <c r="X163" s="156"/>
      <c r="Y163" s="156"/>
      <c r="Z163" s="156"/>
    </row>
    <row r="164" spans="1:26" x14ac:dyDescent="0.35">
      <c r="A164" s="148" t="s">
        <v>893</v>
      </c>
      <c r="B164" s="148"/>
      <c r="C164" s="148" t="s">
        <v>1172</v>
      </c>
      <c r="D164" s="148">
        <v>3750</v>
      </c>
      <c r="E164" s="148"/>
      <c r="F164" s="148">
        <v>265</v>
      </c>
      <c r="G164" s="148"/>
      <c r="H164" s="148"/>
      <c r="I164" s="148"/>
      <c r="J164" s="148"/>
      <c r="K164" s="150">
        <v>0.76347600000000004</v>
      </c>
      <c r="L164" s="148"/>
      <c r="M164" s="148"/>
      <c r="N164" s="148"/>
      <c r="O164" s="148"/>
      <c r="P164" s="148" t="s">
        <v>1173</v>
      </c>
      <c r="Q164" s="148" t="s">
        <v>1174</v>
      </c>
      <c r="R164" s="148"/>
      <c r="S164" s="148"/>
      <c r="T164" s="148"/>
      <c r="U164" s="148"/>
      <c r="V164" s="148"/>
      <c r="W164" s="148"/>
      <c r="X164" s="148"/>
      <c r="Y164" s="148"/>
      <c r="Z164" s="148"/>
    </row>
    <row r="165" spans="1:26" x14ac:dyDescent="0.35">
      <c r="A165" s="148" t="s">
        <v>893</v>
      </c>
      <c r="B165" s="148"/>
      <c r="C165" s="148" t="s">
        <v>1175</v>
      </c>
      <c r="D165" s="148">
        <v>3750</v>
      </c>
      <c r="E165" s="148"/>
      <c r="F165" s="148">
        <v>102.5</v>
      </c>
      <c r="G165" s="148"/>
      <c r="H165" s="148"/>
      <c r="I165" s="148"/>
      <c r="J165" s="148"/>
      <c r="K165" s="150">
        <v>0.29529719999999998</v>
      </c>
      <c r="L165" s="148"/>
      <c r="M165" s="148"/>
      <c r="N165" s="148"/>
      <c r="O165" s="148"/>
      <c r="P165" s="148" t="s">
        <v>1173</v>
      </c>
      <c r="Q165" s="148" t="s">
        <v>1176</v>
      </c>
      <c r="R165" s="148"/>
      <c r="S165" s="148"/>
      <c r="T165" s="148"/>
      <c r="U165" s="148"/>
      <c r="V165" s="148"/>
      <c r="W165" s="148"/>
      <c r="X165" s="148"/>
      <c r="Y165" s="148"/>
      <c r="Z165" s="148"/>
    </row>
    <row r="166" spans="1:26" x14ac:dyDescent="0.35">
      <c r="A166" s="148" t="s">
        <v>893</v>
      </c>
      <c r="B166" s="148"/>
      <c r="C166" s="148" t="s">
        <v>1177</v>
      </c>
      <c r="D166" s="148">
        <v>3750</v>
      </c>
      <c r="E166" s="148"/>
      <c r="F166" s="148">
        <v>44</v>
      </c>
      <c r="G166" s="148"/>
      <c r="H166" s="148"/>
      <c r="I166" s="148"/>
      <c r="J166" s="148"/>
      <c r="K166" s="150">
        <v>0.12670920000000002</v>
      </c>
      <c r="L166" s="148"/>
      <c r="M166" s="148"/>
      <c r="N166" s="148"/>
      <c r="O166" s="148"/>
      <c r="P166" s="148" t="s">
        <v>1173</v>
      </c>
      <c r="Q166" s="148" t="s">
        <v>1178</v>
      </c>
      <c r="R166" s="148"/>
      <c r="S166" s="148"/>
      <c r="T166" s="148"/>
      <c r="U166" s="148"/>
      <c r="V166" s="148"/>
      <c r="W166" s="148"/>
      <c r="X166" s="148"/>
      <c r="Y166" s="148"/>
      <c r="Z166" s="148"/>
    </row>
    <row r="167" spans="1:26" x14ac:dyDescent="0.35">
      <c r="A167" s="148" t="s">
        <v>893</v>
      </c>
      <c r="B167" s="148"/>
      <c r="C167" s="148" t="s">
        <v>1179</v>
      </c>
      <c r="D167" s="148">
        <v>3750</v>
      </c>
      <c r="E167" s="148"/>
      <c r="F167" s="148">
        <v>77.599999999999994</v>
      </c>
      <c r="G167" s="148"/>
      <c r="H167" s="148"/>
      <c r="I167" s="148"/>
      <c r="J167" s="148"/>
      <c r="K167" s="150">
        <v>0.22335240000000001</v>
      </c>
      <c r="L167" s="148"/>
      <c r="M167" s="148"/>
      <c r="N167" s="148"/>
      <c r="O167" s="148"/>
      <c r="P167" s="148" t="s">
        <v>1173</v>
      </c>
      <c r="Q167" s="148" t="s">
        <v>1180</v>
      </c>
      <c r="R167" s="148"/>
      <c r="S167" s="148"/>
      <c r="T167" s="148"/>
      <c r="U167" s="148"/>
      <c r="V167" s="148"/>
      <c r="W167" s="148"/>
      <c r="X167" s="148"/>
      <c r="Y167" s="148"/>
      <c r="Z167" s="148"/>
    </row>
    <row r="168" spans="1:26" x14ac:dyDescent="0.35">
      <c r="A168" s="148" t="s">
        <v>893</v>
      </c>
      <c r="B168" s="148"/>
      <c r="C168" s="148" t="s">
        <v>1181</v>
      </c>
      <c r="D168" s="148">
        <v>1350</v>
      </c>
      <c r="E168" s="148"/>
      <c r="F168" s="148">
        <v>341.5</v>
      </c>
      <c r="G168" s="148"/>
      <c r="H168" s="148"/>
      <c r="I168" s="148"/>
      <c r="J168" s="148"/>
      <c r="K168" s="150">
        <v>2.7322433333333334</v>
      </c>
      <c r="L168" s="148"/>
      <c r="M168" s="148"/>
      <c r="N168" s="148"/>
      <c r="O168" s="148"/>
      <c r="P168" s="148" t="s">
        <v>1182</v>
      </c>
      <c r="Q168" s="148" t="s">
        <v>1183</v>
      </c>
      <c r="R168" s="148"/>
      <c r="S168" s="148"/>
      <c r="T168" s="148"/>
      <c r="U168" s="148"/>
      <c r="V168" s="148"/>
      <c r="W168" s="148"/>
      <c r="X168" s="148"/>
      <c r="Y168" s="148"/>
      <c r="Z168" s="148"/>
    </row>
    <row r="169" spans="1:26" x14ac:dyDescent="0.35">
      <c r="A169" s="148" t="s">
        <v>893</v>
      </c>
      <c r="B169" s="148"/>
      <c r="C169" s="148" t="s">
        <v>1184</v>
      </c>
      <c r="D169" s="148">
        <v>1350</v>
      </c>
      <c r="E169" s="148"/>
      <c r="F169" s="148">
        <v>93.2</v>
      </c>
      <c r="G169" s="148"/>
      <c r="H169" s="148"/>
      <c r="I169" s="148"/>
      <c r="J169" s="148"/>
      <c r="K169" s="150">
        <v>0.74569999999999992</v>
      </c>
      <c r="L169" s="148"/>
      <c r="M169" s="148"/>
      <c r="N169" s="148"/>
      <c r="O169" s="148"/>
      <c r="P169" s="148" t="s">
        <v>1182</v>
      </c>
      <c r="Q169" s="148" t="s">
        <v>1185</v>
      </c>
      <c r="R169" s="148"/>
      <c r="S169" s="148"/>
      <c r="T169" s="148"/>
      <c r="U169" s="148"/>
      <c r="V169" s="148"/>
      <c r="W169" s="148"/>
      <c r="X169" s="148"/>
      <c r="Y169" s="148"/>
      <c r="Z169" s="148"/>
    </row>
    <row r="170" spans="1:26" x14ac:dyDescent="0.35">
      <c r="A170" s="148" t="s">
        <v>893</v>
      </c>
      <c r="B170" s="148"/>
      <c r="C170" s="148" t="s">
        <v>1186</v>
      </c>
      <c r="D170" s="148">
        <v>525</v>
      </c>
      <c r="E170" s="148"/>
      <c r="F170" s="148">
        <v>93.2</v>
      </c>
      <c r="G170" s="148"/>
      <c r="H170" s="148"/>
      <c r="I170" s="148"/>
      <c r="J170" s="148"/>
      <c r="K170" s="150">
        <v>1.9175142857142855</v>
      </c>
      <c r="L170" s="148"/>
      <c r="M170" s="148"/>
      <c r="N170" s="148"/>
      <c r="O170" s="148"/>
      <c r="P170" s="148" t="s">
        <v>1187</v>
      </c>
      <c r="Q170" s="148" t="s">
        <v>1188</v>
      </c>
      <c r="R170" s="148"/>
      <c r="S170" s="148"/>
      <c r="T170" s="148"/>
      <c r="U170" s="148"/>
      <c r="V170" s="148"/>
      <c r="W170" s="148"/>
      <c r="X170" s="148"/>
      <c r="Y170" s="148"/>
      <c r="Z170" s="148"/>
    </row>
    <row r="171" spans="1:26" x14ac:dyDescent="0.35">
      <c r="A171" s="148" t="s">
        <v>893</v>
      </c>
      <c r="B171" s="148"/>
      <c r="C171" s="148" t="s">
        <v>1189</v>
      </c>
      <c r="D171" s="148">
        <v>525</v>
      </c>
      <c r="E171" s="148"/>
      <c r="F171" s="148">
        <v>35.6</v>
      </c>
      <c r="G171" s="148"/>
      <c r="H171" s="148"/>
      <c r="I171" s="148"/>
      <c r="J171" s="148"/>
      <c r="K171" s="150">
        <v>0.69030514285714295</v>
      </c>
      <c r="L171" s="148"/>
      <c r="M171" s="148"/>
      <c r="N171" s="148"/>
      <c r="O171" s="148"/>
      <c r="P171" s="148" t="s">
        <v>1187</v>
      </c>
      <c r="Q171" s="148" t="s">
        <v>1190</v>
      </c>
      <c r="R171" s="148"/>
      <c r="S171" s="148"/>
      <c r="T171" s="148"/>
      <c r="U171" s="148"/>
      <c r="V171" s="148"/>
      <c r="W171" s="148"/>
      <c r="X171" s="148"/>
      <c r="Y171" s="148"/>
      <c r="Z171" s="148"/>
    </row>
    <row r="172" spans="1:26" x14ac:dyDescent="0.35">
      <c r="A172" s="148" t="s">
        <v>893</v>
      </c>
      <c r="B172" s="148"/>
      <c r="C172" s="148" t="s">
        <v>1191</v>
      </c>
      <c r="D172" s="148">
        <v>2887.5</v>
      </c>
      <c r="E172" s="148"/>
      <c r="F172" s="148">
        <v>74.599999999999994</v>
      </c>
      <c r="G172" s="148"/>
      <c r="H172" s="148"/>
      <c r="I172" s="148"/>
      <c r="J172" s="148"/>
      <c r="K172" s="150">
        <v>0.27848571428571428</v>
      </c>
      <c r="L172" s="148"/>
      <c r="M172" s="148"/>
      <c r="N172" s="148"/>
      <c r="O172" s="148"/>
      <c r="P172" s="148" t="s">
        <v>1192</v>
      </c>
      <c r="Q172" s="148" t="s">
        <v>1193</v>
      </c>
      <c r="R172" s="148"/>
      <c r="S172" s="148"/>
      <c r="T172" s="148"/>
      <c r="U172" s="148"/>
      <c r="V172" s="148"/>
      <c r="W172" s="148"/>
      <c r="X172" s="148"/>
      <c r="Y172" s="148"/>
      <c r="Z172" s="148"/>
    </row>
    <row r="173" spans="1:26" x14ac:dyDescent="0.35">
      <c r="A173" s="148" t="s">
        <v>893</v>
      </c>
      <c r="B173" s="148"/>
      <c r="C173" s="148" t="s">
        <v>1194</v>
      </c>
      <c r="D173" s="148">
        <v>2887.5</v>
      </c>
      <c r="E173" s="148"/>
      <c r="F173" s="148">
        <v>33.9</v>
      </c>
      <c r="G173" s="148"/>
      <c r="H173" s="148"/>
      <c r="I173" s="148"/>
      <c r="J173" s="148"/>
      <c r="K173" s="150">
        <v>0.12690451948051948</v>
      </c>
      <c r="L173" s="148"/>
      <c r="M173" s="148"/>
      <c r="N173" s="148"/>
      <c r="O173" s="148"/>
      <c r="P173" s="148" t="s">
        <v>1192</v>
      </c>
      <c r="Q173" s="148" t="s">
        <v>1195</v>
      </c>
      <c r="R173" s="148"/>
      <c r="S173" s="148"/>
      <c r="T173" s="148"/>
      <c r="U173" s="148"/>
      <c r="V173" s="148"/>
      <c r="W173" s="148"/>
      <c r="X173" s="148"/>
      <c r="Y173" s="148"/>
      <c r="Z173" s="148"/>
    </row>
    <row r="174" spans="1:26" x14ac:dyDescent="0.35">
      <c r="A174" s="148" t="s">
        <v>893</v>
      </c>
      <c r="B174" s="148"/>
      <c r="C174" s="148" t="s">
        <v>1196</v>
      </c>
      <c r="D174" s="148">
        <v>2887.5</v>
      </c>
      <c r="E174" s="148"/>
      <c r="F174" s="148">
        <v>29.8</v>
      </c>
      <c r="G174" s="148"/>
      <c r="H174" s="148"/>
      <c r="I174" s="148"/>
      <c r="J174" s="148"/>
      <c r="K174" s="150">
        <v>0.11156446753246753</v>
      </c>
      <c r="L174" s="148"/>
      <c r="M174" s="148"/>
      <c r="N174" s="148"/>
      <c r="O174" s="148"/>
      <c r="P174" s="148" t="s">
        <v>1192</v>
      </c>
      <c r="Q174" s="148" t="s">
        <v>1197</v>
      </c>
      <c r="R174" s="148"/>
      <c r="S174" s="148"/>
      <c r="T174" s="148"/>
      <c r="U174" s="148"/>
      <c r="V174" s="148"/>
      <c r="W174" s="148"/>
      <c r="X174" s="148"/>
      <c r="Y174" s="148"/>
      <c r="Z174" s="148"/>
    </row>
    <row r="175" spans="1:26" x14ac:dyDescent="0.35">
      <c r="A175" s="148" t="s">
        <v>893</v>
      </c>
      <c r="B175" s="148"/>
      <c r="C175" s="148" t="s">
        <v>1198</v>
      </c>
      <c r="D175" s="148">
        <v>2887.5</v>
      </c>
      <c r="E175" s="148"/>
      <c r="F175" s="148">
        <v>20.100000000000001</v>
      </c>
      <c r="G175" s="148"/>
      <c r="H175" s="148"/>
      <c r="I175" s="148"/>
      <c r="J175" s="148"/>
      <c r="K175" s="150">
        <v>7.5321350649350652E-2</v>
      </c>
      <c r="L175" s="148"/>
      <c r="M175" s="148"/>
      <c r="N175" s="148"/>
      <c r="O175" s="148"/>
      <c r="P175" s="148" t="s">
        <v>1192</v>
      </c>
      <c r="Q175" s="148" t="s">
        <v>1199</v>
      </c>
      <c r="R175" s="148"/>
      <c r="S175" s="148"/>
      <c r="T175" s="148"/>
      <c r="U175" s="148"/>
      <c r="V175" s="148"/>
      <c r="W175" s="148"/>
      <c r="X175" s="148"/>
      <c r="Y175" s="148"/>
      <c r="Z175" s="148"/>
    </row>
    <row r="176" spans="1:26" x14ac:dyDescent="0.35">
      <c r="A176" s="148" t="s">
        <v>893</v>
      </c>
      <c r="B176" s="148"/>
      <c r="C176" s="148" t="s">
        <v>1200</v>
      </c>
      <c r="D176" s="148">
        <v>2887.5</v>
      </c>
      <c r="E176" s="148"/>
      <c r="F176" s="148">
        <v>5.2</v>
      </c>
      <c r="G176" s="148"/>
      <c r="H176" s="148"/>
      <c r="I176" s="148"/>
      <c r="J176" s="148"/>
      <c r="K176" s="150">
        <v>1.9523688311688311E-2</v>
      </c>
      <c r="L176" s="148"/>
      <c r="M176" s="148"/>
      <c r="N176" s="148"/>
      <c r="O176" s="148"/>
      <c r="P176" s="148" t="s">
        <v>1192</v>
      </c>
      <c r="Q176" s="148" t="s">
        <v>1201</v>
      </c>
      <c r="R176" s="148"/>
      <c r="S176" s="148"/>
      <c r="T176" s="148"/>
      <c r="U176" s="148"/>
      <c r="V176" s="148"/>
      <c r="W176" s="148"/>
      <c r="X176" s="148"/>
      <c r="Y176" s="148"/>
      <c r="Z176" s="148"/>
    </row>
    <row r="177" spans="1:26" x14ac:dyDescent="0.35">
      <c r="A177" s="148" t="s">
        <v>893</v>
      </c>
      <c r="B177" s="148"/>
      <c r="C177" s="148" t="s">
        <v>1202</v>
      </c>
      <c r="D177" s="148">
        <v>2887.5</v>
      </c>
      <c r="E177" s="148"/>
      <c r="F177" s="148">
        <v>30.2</v>
      </c>
      <c r="G177" s="148"/>
      <c r="H177" s="148"/>
      <c r="I177" s="148"/>
      <c r="J177" s="148"/>
      <c r="K177" s="150">
        <v>0.11295896103896105</v>
      </c>
      <c r="L177" s="148"/>
      <c r="M177" s="148"/>
      <c r="N177" s="148"/>
      <c r="O177" s="148"/>
      <c r="P177" s="148" t="s">
        <v>1192</v>
      </c>
      <c r="Q177" s="148" t="s">
        <v>1203</v>
      </c>
      <c r="R177" s="148"/>
      <c r="S177" s="148"/>
      <c r="T177" s="148"/>
      <c r="U177" s="148"/>
      <c r="V177" s="148"/>
      <c r="W177" s="148"/>
      <c r="X177" s="148"/>
      <c r="Y177" s="148"/>
      <c r="Z177" s="148"/>
    </row>
    <row r="178" spans="1:26" x14ac:dyDescent="0.35">
      <c r="A178" s="148" t="s">
        <v>893</v>
      </c>
      <c r="B178" s="148"/>
      <c r="C178" s="148" t="s">
        <v>1204</v>
      </c>
      <c r="D178" s="148">
        <v>2887.5</v>
      </c>
      <c r="E178" s="148"/>
      <c r="F178" s="148">
        <v>3.7</v>
      </c>
      <c r="G178" s="148"/>
      <c r="H178" s="148"/>
      <c r="I178" s="148"/>
      <c r="J178" s="148"/>
      <c r="K178" s="150">
        <v>1.4E-2</v>
      </c>
      <c r="L178" s="148"/>
      <c r="M178" s="148"/>
      <c r="N178" s="148"/>
      <c r="O178" s="148"/>
      <c r="P178" s="148" t="s">
        <v>1192</v>
      </c>
      <c r="Q178" s="148" t="s">
        <v>1205</v>
      </c>
      <c r="R178" s="148"/>
      <c r="S178" s="148"/>
      <c r="T178" s="148"/>
      <c r="U178" s="148"/>
      <c r="V178" s="148"/>
      <c r="W178" s="148"/>
      <c r="X178" s="148"/>
      <c r="Y178" s="148"/>
      <c r="Z178" s="148"/>
    </row>
    <row r="179" spans="1:26" x14ac:dyDescent="0.35">
      <c r="A179" s="148" t="s">
        <v>893</v>
      </c>
      <c r="B179" s="148"/>
      <c r="C179" s="148" t="s">
        <v>1206</v>
      </c>
      <c r="D179" s="148">
        <v>2887.5</v>
      </c>
      <c r="E179" s="148"/>
      <c r="F179" s="148">
        <v>3.7</v>
      </c>
      <c r="G179" s="148"/>
      <c r="H179" s="148"/>
      <c r="I179" s="148"/>
      <c r="J179" s="148"/>
      <c r="K179" s="150">
        <v>1.3945558441558441E-2</v>
      </c>
      <c r="L179" s="148"/>
      <c r="M179" s="148"/>
      <c r="N179" s="148"/>
      <c r="O179" s="148"/>
      <c r="P179" s="148" t="s">
        <v>1192</v>
      </c>
      <c r="Q179" s="148" t="s">
        <v>1207</v>
      </c>
      <c r="R179" s="148"/>
      <c r="S179" s="148"/>
      <c r="T179" s="148"/>
      <c r="U179" s="148"/>
      <c r="V179" s="148"/>
      <c r="W179" s="148"/>
      <c r="X179" s="148"/>
      <c r="Y179" s="148"/>
      <c r="Z179" s="148"/>
    </row>
    <row r="180" spans="1:26" x14ac:dyDescent="0.35">
      <c r="A180" s="148" t="s">
        <v>893</v>
      </c>
      <c r="B180" s="148"/>
      <c r="C180" s="148" t="s">
        <v>1208</v>
      </c>
      <c r="D180" s="148">
        <v>862.5</v>
      </c>
      <c r="E180" s="148"/>
      <c r="F180" s="148">
        <v>5.2</v>
      </c>
      <c r="G180" s="148"/>
      <c r="H180" s="148"/>
      <c r="I180" s="148"/>
      <c r="J180" s="148"/>
      <c r="K180" s="150">
        <v>6.536191304347827E-2</v>
      </c>
      <c r="L180" s="148"/>
      <c r="M180" s="148"/>
      <c r="N180" s="148"/>
      <c r="O180" s="148"/>
      <c r="P180" s="148" t="s">
        <v>1209</v>
      </c>
      <c r="Q180" s="148" t="s">
        <v>1210</v>
      </c>
      <c r="R180" s="148"/>
      <c r="S180" s="148"/>
      <c r="T180" s="148"/>
      <c r="U180" s="148"/>
      <c r="V180" s="148"/>
      <c r="W180" s="148"/>
      <c r="X180" s="148"/>
      <c r="Y180" s="148"/>
      <c r="Z180" s="148"/>
    </row>
    <row r="181" spans="1:26" x14ac:dyDescent="0.35">
      <c r="A181" s="156" t="s">
        <v>893</v>
      </c>
      <c r="B181" s="156" t="s">
        <v>1211</v>
      </c>
      <c r="C181" s="156"/>
      <c r="D181" s="156"/>
      <c r="E181" s="156"/>
      <c r="F181" s="156"/>
      <c r="G181" s="156"/>
      <c r="H181" s="156"/>
      <c r="I181" s="156"/>
      <c r="J181" s="156"/>
      <c r="K181" s="161">
        <v>0.9365</v>
      </c>
      <c r="L181" s="156"/>
      <c r="M181" s="156"/>
      <c r="N181" s="156"/>
      <c r="O181" s="156">
        <v>1.2999999999999999E-3</v>
      </c>
      <c r="P181" s="156" t="s">
        <v>1212</v>
      </c>
      <c r="Q181" s="156" t="s">
        <v>1213</v>
      </c>
      <c r="R181" s="156"/>
      <c r="S181" s="156"/>
      <c r="T181" s="156"/>
      <c r="U181" s="156"/>
      <c r="V181" s="156"/>
      <c r="W181" s="156"/>
      <c r="X181" s="156"/>
      <c r="Y181" s="156"/>
      <c r="Z181" s="156"/>
    </row>
    <row r="182" spans="1:26" x14ac:dyDescent="0.35">
      <c r="A182" s="156" t="s">
        <v>893</v>
      </c>
      <c r="B182" s="156" t="s">
        <v>1214</v>
      </c>
      <c r="C182" s="156"/>
      <c r="D182" s="156"/>
      <c r="E182" s="156"/>
      <c r="F182" s="156"/>
      <c r="G182" s="156"/>
      <c r="H182" s="156"/>
      <c r="I182" s="156"/>
      <c r="J182" s="156"/>
      <c r="K182" s="156">
        <v>5.0027000000000008</v>
      </c>
      <c r="L182" s="156"/>
      <c r="M182" s="156"/>
      <c r="N182" s="156"/>
      <c r="O182" s="156"/>
      <c r="P182" s="156"/>
      <c r="Q182" s="156" t="s">
        <v>1215</v>
      </c>
      <c r="R182" s="156"/>
      <c r="S182" s="156"/>
      <c r="T182" s="156"/>
      <c r="U182" s="156"/>
      <c r="V182" s="156"/>
      <c r="W182" s="156"/>
      <c r="X182" s="156"/>
      <c r="Y182" s="156"/>
      <c r="Z182" s="156"/>
    </row>
    <row r="183" spans="1:26" x14ac:dyDescent="0.35">
      <c r="A183" s="148" t="s">
        <v>893</v>
      </c>
      <c r="B183" s="148"/>
      <c r="C183" s="148" t="s">
        <v>1216</v>
      </c>
      <c r="D183" s="148"/>
      <c r="E183" s="148"/>
      <c r="F183" s="148"/>
      <c r="G183" s="148"/>
      <c r="H183" s="148"/>
      <c r="I183" s="148"/>
      <c r="J183" s="148"/>
      <c r="K183" s="148">
        <v>4.07</v>
      </c>
      <c r="L183" s="148"/>
      <c r="M183" s="148"/>
      <c r="N183" s="148"/>
      <c r="O183" s="148">
        <v>9.3700000000000001E-4</v>
      </c>
      <c r="P183" s="148" t="s">
        <v>1217</v>
      </c>
      <c r="Q183" s="148" t="s">
        <v>1218</v>
      </c>
      <c r="R183" s="148"/>
      <c r="S183" s="148"/>
      <c r="T183" s="148"/>
      <c r="U183" s="148"/>
      <c r="V183" s="148"/>
      <c r="W183" s="148"/>
      <c r="X183" s="148"/>
      <c r="Y183" s="148"/>
      <c r="Z183" s="148"/>
    </row>
    <row r="184" spans="1:26" x14ac:dyDescent="0.35">
      <c r="A184" s="148" t="s">
        <v>893</v>
      </c>
      <c r="B184" s="148"/>
      <c r="C184" s="148" t="s">
        <v>1219</v>
      </c>
      <c r="D184" s="148"/>
      <c r="E184" s="148"/>
      <c r="F184" s="148"/>
      <c r="G184" s="148"/>
      <c r="H184" s="148"/>
      <c r="I184" s="148"/>
      <c r="J184" s="148"/>
      <c r="K184" s="148">
        <v>0.13900000000000001</v>
      </c>
      <c r="L184" s="148"/>
      <c r="M184" s="148"/>
      <c r="N184" s="148"/>
      <c r="O184" s="148">
        <v>4.3999999999999999E-5</v>
      </c>
      <c r="P184" s="148" t="s">
        <v>1220</v>
      </c>
      <c r="Q184" s="148" t="s">
        <v>1221</v>
      </c>
      <c r="R184" s="148"/>
      <c r="S184" s="148"/>
      <c r="T184" s="148"/>
      <c r="U184" s="148"/>
      <c r="V184" s="148"/>
      <c r="W184" s="148"/>
      <c r="X184" s="148"/>
      <c r="Y184" s="148"/>
      <c r="Z184" s="148"/>
    </row>
    <row r="185" spans="1:26" x14ac:dyDescent="0.35">
      <c r="A185" s="148" t="s">
        <v>893</v>
      </c>
      <c r="B185" s="148"/>
      <c r="C185" s="148" t="s">
        <v>1222</v>
      </c>
      <c r="D185" s="148"/>
      <c r="E185" s="148"/>
      <c r="F185" s="148"/>
      <c r="G185" s="148"/>
      <c r="H185" s="148"/>
      <c r="I185" s="148"/>
      <c r="J185" s="148"/>
      <c r="K185" s="148">
        <v>0.79369999999999996</v>
      </c>
      <c r="L185" s="148"/>
      <c r="M185" s="148"/>
      <c r="N185" s="148"/>
      <c r="O185" s="148">
        <v>1.1000000000000001E-3</v>
      </c>
      <c r="P185" s="148" t="s">
        <v>1223</v>
      </c>
      <c r="Q185" s="148" t="s">
        <v>1224</v>
      </c>
      <c r="R185" s="148"/>
      <c r="S185" s="148"/>
      <c r="T185" s="148"/>
      <c r="U185" s="148"/>
      <c r="V185" s="148"/>
      <c r="W185" s="148"/>
      <c r="X185" s="148"/>
      <c r="Y185" s="148"/>
      <c r="Z185" s="148"/>
    </row>
    <row r="186" spans="1:26" x14ac:dyDescent="0.35">
      <c r="A186" s="156" t="s">
        <v>893</v>
      </c>
      <c r="B186" s="156" t="s">
        <v>1225</v>
      </c>
      <c r="C186" s="156"/>
      <c r="D186" s="156"/>
      <c r="E186" s="156"/>
      <c r="F186" s="156"/>
      <c r="G186" s="156"/>
      <c r="H186" s="156"/>
      <c r="I186" s="156"/>
      <c r="J186" s="156"/>
      <c r="K186" s="156">
        <v>61.9</v>
      </c>
      <c r="L186" s="156"/>
      <c r="M186" s="156"/>
      <c r="N186" s="156"/>
      <c r="O186" s="156"/>
      <c r="P186" s="156" t="s">
        <v>1226</v>
      </c>
      <c r="Q186" s="156" t="s">
        <v>1227</v>
      </c>
      <c r="R186" s="156"/>
      <c r="S186" s="156"/>
      <c r="T186" s="156"/>
      <c r="U186" s="156"/>
      <c r="V186" s="156"/>
      <c r="W186" s="156"/>
      <c r="X186" s="156"/>
      <c r="Y186" s="156"/>
      <c r="Z186" s="156"/>
    </row>
    <row r="187" spans="1:26" x14ac:dyDescent="0.35">
      <c r="A187" s="156" t="s">
        <v>893</v>
      </c>
      <c r="B187" s="156" t="s">
        <v>1228</v>
      </c>
      <c r="C187" s="156"/>
      <c r="D187" s="156"/>
      <c r="E187" s="156"/>
      <c r="F187" s="156"/>
      <c r="G187" s="156"/>
      <c r="H187" s="156"/>
      <c r="I187" s="156"/>
      <c r="J187" s="156"/>
      <c r="K187" s="156">
        <v>8.4820000000000011</v>
      </c>
      <c r="L187" s="156"/>
      <c r="M187" s="156"/>
      <c r="N187" s="156"/>
      <c r="O187" s="156"/>
      <c r="P187" s="156"/>
      <c r="Q187" s="156" t="s">
        <v>1229</v>
      </c>
      <c r="R187" s="156"/>
      <c r="S187" s="156"/>
      <c r="T187" s="156"/>
      <c r="U187" s="156"/>
      <c r="V187" s="156"/>
      <c r="W187" s="156"/>
      <c r="X187" s="156"/>
      <c r="Y187" s="156"/>
      <c r="Z187" s="156"/>
    </row>
    <row r="188" spans="1:26" x14ac:dyDescent="0.35">
      <c r="A188" s="148" t="s">
        <v>893</v>
      </c>
      <c r="B188" s="148"/>
      <c r="C188" s="148" t="s">
        <v>1230</v>
      </c>
      <c r="D188" s="148"/>
      <c r="E188" s="148"/>
      <c r="F188" s="148"/>
      <c r="G188" s="148"/>
      <c r="H188" s="148"/>
      <c r="I188" s="148"/>
      <c r="J188" s="148"/>
      <c r="K188" s="148">
        <v>0.19800000000000001</v>
      </c>
      <c r="L188" s="148"/>
      <c r="M188" s="148"/>
      <c r="N188" s="148"/>
      <c r="O188" s="148"/>
      <c r="P188" s="148" t="s">
        <v>1231</v>
      </c>
      <c r="Q188" s="148" t="s">
        <v>1232</v>
      </c>
      <c r="R188" s="148"/>
      <c r="S188" s="148"/>
      <c r="T188" s="148"/>
      <c r="U188" s="148"/>
      <c r="V188" s="148"/>
      <c r="W188" s="148"/>
      <c r="X188" s="148"/>
      <c r="Y188" s="148"/>
      <c r="Z188" s="148"/>
    </row>
    <row r="189" spans="1:26" x14ac:dyDescent="0.35">
      <c r="A189" s="148" t="s">
        <v>893</v>
      </c>
      <c r="B189" s="148"/>
      <c r="C189" s="148" t="s">
        <v>1233</v>
      </c>
      <c r="D189" s="148"/>
      <c r="E189" s="148"/>
      <c r="F189" s="148"/>
      <c r="G189" s="148"/>
      <c r="H189" s="148"/>
      <c r="I189" s="148"/>
      <c r="J189" s="148"/>
      <c r="K189" s="148">
        <v>6.0129999999999999</v>
      </c>
      <c r="L189" s="148"/>
      <c r="M189" s="148"/>
      <c r="N189" s="148"/>
      <c r="O189" s="148"/>
      <c r="P189" s="148" t="s">
        <v>1234</v>
      </c>
      <c r="Q189" s="148" t="s">
        <v>1235</v>
      </c>
      <c r="R189" s="148"/>
      <c r="S189" s="148"/>
      <c r="T189" s="148"/>
      <c r="U189" s="148"/>
      <c r="V189" s="148"/>
      <c r="W189" s="148"/>
      <c r="X189" s="148"/>
      <c r="Y189" s="148"/>
      <c r="Z189" s="148"/>
    </row>
    <row r="190" spans="1:26" x14ac:dyDescent="0.35">
      <c r="A190" s="148" t="s">
        <v>893</v>
      </c>
      <c r="B190" s="148"/>
      <c r="C190" s="148" t="s">
        <v>1236</v>
      </c>
      <c r="D190" s="148"/>
      <c r="E190" s="148"/>
      <c r="F190" s="148"/>
      <c r="G190" s="148"/>
      <c r="H190" s="148"/>
      <c r="I190" s="148"/>
      <c r="J190" s="148"/>
      <c r="K190" s="148">
        <v>4.3499999999999996</v>
      </c>
      <c r="L190" s="148"/>
      <c r="M190" s="148"/>
      <c r="N190" s="148"/>
      <c r="O190" s="148"/>
      <c r="P190" s="148" t="s">
        <v>1234</v>
      </c>
      <c r="Q190" s="148" t="s">
        <v>1237</v>
      </c>
      <c r="R190" s="148"/>
      <c r="S190" s="148"/>
      <c r="T190" s="148"/>
      <c r="U190" s="148"/>
      <c r="V190" s="148"/>
      <c r="W190" s="148"/>
      <c r="X190" s="148"/>
      <c r="Y190" s="148"/>
      <c r="Z190" s="148"/>
    </row>
    <row r="191" spans="1:26" x14ac:dyDescent="0.35">
      <c r="A191" s="148" t="s">
        <v>893</v>
      </c>
      <c r="B191" s="148"/>
      <c r="C191" s="148" t="s">
        <v>1238</v>
      </c>
      <c r="D191" s="148"/>
      <c r="E191" s="148"/>
      <c r="F191" s="148"/>
      <c r="G191" s="148"/>
      <c r="H191" s="148"/>
      <c r="I191" s="148"/>
      <c r="J191" s="148"/>
      <c r="K191" s="148">
        <v>5.5129999999999999</v>
      </c>
      <c r="L191" s="148"/>
      <c r="M191" s="148"/>
      <c r="N191" s="148"/>
      <c r="O191" s="148"/>
      <c r="P191" s="148" t="s">
        <v>1234</v>
      </c>
      <c r="Q191" s="148" t="s">
        <v>1239</v>
      </c>
      <c r="R191" s="148"/>
      <c r="S191" s="148"/>
      <c r="T191" s="148"/>
      <c r="U191" s="148"/>
      <c r="V191" s="148"/>
      <c r="W191" s="148"/>
      <c r="X191" s="148"/>
      <c r="Y191" s="148"/>
      <c r="Z191" s="148"/>
    </row>
    <row r="192" spans="1:26" x14ac:dyDescent="0.35">
      <c r="A192" s="148" t="s">
        <v>893</v>
      </c>
      <c r="B192" s="148"/>
      <c r="C192" s="148" t="s">
        <v>1240</v>
      </c>
      <c r="D192" s="148"/>
      <c r="E192" s="148"/>
      <c r="F192" s="148"/>
      <c r="G192" s="148"/>
      <c r="H192" s="148"/>
      <c r="I192" s="148"/>
      <c r="J192" s="148"/>
      <c r="K192" s="148">
        <v>1.516</v>
      </c>
      <c r="L192" s="148"/>
      <c r="M192" s="148"/>
      <c r="N192" s="148"/>
      <c r="O192" s="148"/>
      <c r="P192" s="148" t="s">
        <v>1231</v>
      </c>
      <c r="Q192" s="148" t="s">
        <v>1241</v>
      </c>
      <c r="R192" s="148"/>
      <c r="S192" s="148"/>
      <c r="T192" s="148"/>
      <c r="U192" s="148"/>
      <c r="V192" s="148"/>
      <c r="W192" s="148"/>
      <c r="X192" s="148"/>
      <c r="Y192" s="148"/>
      <c r="Z192" s="148"/>
    </row>
    <row r="193" spans="1:26" x14ac:dyDescent="0.35">
      <c r="A193" s="148" t="s">
        <v>893</v>
      </c>
      <c r="B193" s="148"/>
      <c r="C193" s="148" t="s">
        <v>1242</v>
      </c>
      <c r="D193" s="148"/>
      <c r="E193" s="148"/>
      <c r="F193" s="148"/>
      <c r="G193" s="148"/>
      <c r="H193" s="148"/>
      <c r="I193" s="148"/>
      <c r="J193" s="148"/>
      <c r="K193" s="148">
        <v>2.14</v>
      </c>
      <c r="L193" s="148"/>
      <c r="M193" s="148"/>
      <c r="N193" s="148"/>
      <c r="O193" s="148"/>
      <c r="P193" s="148" t="s">
        <v>1234</v>
      </c>
      <c r="Q193" s="148" t="s">
        <v>1243</v>
      </c>
      <c r="R193" s="148"/>
      <c r="S193" s="148"/>
      <c r="T193" s="148"/>
      <c r="U193" s="148"/>
      <c r="V193" s="148"/>
      <c r="W193" s="148"/>
      <c r="X193" s="148"/>
      <c r="Y193" s="148"/>
      <c r="Z193" s="148"/>
    </row>
    <row r="194" spans="1:26" x14ac:dyDescent="0.35">
      <c r="A194" s="148" t="s">
        <v>893</v>
      </c>
      <c r="B194" s="148"/>
      <c r="C194" s="148" t="s">
        <v>1244</v>
      </c>
      <c r="D194" s="148"/>
      <c r="E194" s="148"/>
      <c r="F194" s="148"/>
      <c r="G194" s="148"/>
      <c r="H194" s="148"/>
      <c r="I194" s="148"/>
      <c r="J194" s="148"/>
      <c r="K194" s="148">
        <v>0.159</v>
      </c>
      <c r="L194" s="148"/>
      <c r="M194" s="148"/>
      <c r="N194" s="148"/>
      <c r="O194" s="148"/>
      <c r="P194" s="148" t="s">
        <v>1231</v>
      </c>
      <c r="Q194" s="148" t="s">
        <v>1245</v>
      </c>
      <c r="R194" s="148"/>
      <c r="S194" s="148"/>
      <c r="T194" s="148"/>
      <c r="U194" s="148"/>
      <c r="V194" s="148"/>
      <c r="W194" s="148"/>
      <c r="X194" s="148"/>
      <c r="Y194" s="148"/>
      <c r="Z194" s="148"/>
    </row>
    <row r="195" spans="1:26" x14ac:dyDescent="0.35">
      <c r="A195" s="148" t="s">
        <v>893</v>
      </c>
      <c r="B195" s="148"/>
      <c r="C195" s="148" t="s">
        <v>1246</v>
      </c>
      <c r="D195" s="148"/>
      <c r="E195" s="148"/>
      <c r="F195" s="148"/>
      <c r="G195" s="148"/>
      <c r="H195" s="148"/>
      <c r="I195" s="148"/>
      <c r="J195" s="148"/>
      <c r="K195" s="148">
        <v>0.11899999999999999</v>
      </c>
      <c r="L195" s="148"/>
      <c r="M195" s="148"/>
      <c r="N195" s="148"/>
      <c r="O195" s="148"/>
      <c r="P195" s="148" t="s">
        <v>1231</v>
      </c>
      <c r="Q195" s="148" t="s">
        <v>1247</v>
      </c>
      <c r="R195" s="148"/>
      <c r="S195" s="148"/>
      <c r="T195" s="148"/>
      <c r="U195" s="148"/>
      <c r="V195" s="148"/>
      <c r="W195" s="148"/>
      <c r="X195" s="148"/>
      <c r="Y195" s="148"/>
      <c r="Z195" s="148"/>
    </row>
    <row r="196" spans="1:26" x14ac:dyDescent="0.35">
      <c r="A196" s="156" t="s">
        <v>1003</v>
      </c>
      <c r="B196" s="156" t="s">
        <v>1248</v>
      </c>
      <c r="C196" s="156" t="s">
        <v>1249</v>
      </c>
      <c r="D196" s="156">
        <v>36300</v>
      </c>
      <c r="E196" s="156">
        <v>8854</v>
      </c>
      <c r="F196" s="156"/>
      <c r="G196" s="156"/>
      <c r="H196" s="157">
        <v>31.302199999999999</v>
      </c>
      <c r="I196" s="156"/>
      <c r="J196" s="156"/>
      <c r="K196" s="161" t="s">
        <v>958</v>
      </c>
      <c r="L196" s="162">
        <v>657000000</v>
      </c>
      <c r="M196" s="163">
        <v>40580000</v>
      </c>
      <c r="N196" s="156"/>
      <c r="O196" s="156">
        <v>0.14000000000000001</v>
      </c>
      <c r="P196" s="156" t="s">
        <v>1250</v>
      </c>
      <c r="Q196" s="156" t="s">
        <v>1251</v>
      </c>
      <c r="R196" s="164" t="s">
        <v>1252</v>
      </c>
      <c r="S196" s="164" t="s">
        <v>1253</v>
      </c>
      <c r="T196" s="156"/>
      <c r="U196" s="156"/>
      <c r="V196" s="156"/>
      <c r="W196" s="156"/>
      <c r="X196" s="156"/>
      <c r="Y196" s="156"/>
      <c r="Z196" s="156"/>
    </row>
    <row r="197" spans="1:26" x14ac:dyDescent="0.35">
      <c r="A197" s="148" t="s">
        <v>1003</v>
      </c>
      <c r="B197" s="148"/>
      <c r="C197" s="148" t="s">
        <v>1254</v>
      </c>
      <c r="D197" s="148"/>
      <c r="E197" s="148"/>
      <c r="F197" s="148"/>
      <c r="G197" s="148"/>
      <c r="H197" s="148"/>
      <c r="I197" s="148"/>
      <c r="J197" s="148"/>
      <c r="K197" s="148"/>
      <c r="L197" s="148"/>
      <c r="M197" s="148"/>
      <c r="N197" s="148"/>
      <c r="O197" s="148"/>
      <c r="P197" s="148"/>
      <c r="Q197" s="151" t="s">
        <v>1255</v>
      </c>
      <c r="R197" s="151" t="s">
        <v>1256</v>
      </c>
      <c r="S197" s="151" t="s">
        <v>1253</v>
      </c>
      <c r="T197" s="148"/>
      <c r="U197" s="148"/>
      <c r="V197" s="148"/>
      <c r="W197" s="148"/>
      <c r="X197" s="148"/>
      <c r="Y197" s="148"/>
      <c r="Z197" s="148"/>
    </row>
    <row r="198" spans="1:26" x14ac:dyDescent="0.35">
      <c r="A198" s="148" t="s">
        <v>1003</v>
      </c>
      <c r="B198" s="148"/>
      <c r="C198" s="148" t="s">
        <v>1257</v>
      </c>
      <c r="D198" s="148"/>
      <c r="E198" s="148"/>
      <c r="F198" s="148"/>
      <c r="G198" s="148"/>
      <c r="H198" s="148"/>
      <c r="I198" s="148"/>
      <c r="J198" s="148"/>
      <c r="K198" s="148"/>
      <c r="L198" s="148"/>
      <c r="M198" s="148"/>
      <c r="N198" s="148"/>
      <c r="O198" s="148"/>
      <c r="P198" s="148"/>
      <c r="Q198" s="151" t="s">
        <v>1255</v>
      </c>
      <c r="R198" s="151" t="s">
        <v>1256</v>
      </c>
      <c r="S198" s="151" t="s">
        <v>1253</v>
      </c>
      <c r="T198" s="148"/>
      <c r="U198" s="148"/>
      <c r="V198" s="148"/>
      <c r="W198" s="148"/>
      <c r="X198" s="148"/>
      <c r="Y198" s="148"/>
      <c r="Z198" s="148"/>
    </row>
    <row r="199" spans="1:26" x14ac:dyDescent="0.35">
      <c r="A199" s="148" t="s">
        <v>1003</v>
      </c>
      <c r="B199" s="148"/>
      <c r="C199" s="148" t="s">
        <v>1258</v>
      </c>
      <c r="D199" s="148"/>
      <c r="E199" s="148"/>
      <c r="F199" s="148"/>
      <c r="G199" s="148"/>
      <c r="H199" s="148"/>
      <c r="I199" s="148"/>
      <c r="J199" s="148"/>
      <c r="K199" s="148"/>
      <c r="L199" s="148"/>
      <c r="M199" s="148"/>
      <c r="N199" s="148"/>
      <c r="O199" s="148"/>
      <c r="P199" s="148"/>
      <c r="Q199" s="151" t="s">
        <v>1255</v>
      </c>
      <c r="R199" s="151" t="s">
        <v>1256</v>
      </c>
      <c r="S199" s="151" t="s">
        <v>1253</v>
      </c>
      <c r="T199" s="148"/>
      <c r="U199" s="148"/>
      <c r="V199" s="148"/>
      <c r="W199" s="148"/>
      <c r="X199" s="148"/>
      <c r="Y199" s="148"/>
      <c r="Z199" s="148"/>
    </row>
    <row r="200" spans="1:26" x14ac:dyDescent="0.35">
      <c r="A200" s="148" t="s">
        <v>1003</v>
      </c>
      <c r="B200" s="148"/>
      <c r="C200" s="148" t="s">
        <v>1259</v>
      </c>
      <c r="D200" s="148"/>
      <c r="E200" s="148">
        <v>6804</v>
      </c>
      <c r="F200" s="148"/>
      <c r="G200" s="148"/>
      <c r="H200" s="148"/>
      <c r="I200" s="148"/>
      <c r="J200" s="148"/>
      <c r="K200" s="148"/>
      <c r="L200" s="148"/>
      <c r="M200" s="148"/>
      <c r="N200" s="148">
        <v>2.3800000000000002E-2</v>
      </c>
      <c r="O200" s="148"/>
      <c r="P200" s="148"/>
      <c r="Q200" s="151" t="s">
        <v>1255</v>
      </c>
      <c r="R200" s="151" t="s">
        <v>1256</v>
      </c>
      <c r="S200" s="151" t="s">
        <v>1253</v>
      </c>
      <c r="T200" s="148"/>
      <c r="U200" s="148"/>
      <c r="V200" s="148"/>
      <c r="W200" s="148"/>
      <c r="X200" s="148"/>
      <c r="Y200" s="148"/>
      <c r="Z200" s="148"/>
    </row>
    <row r="201" spans="1:26" x14ac:dyDescent="0.35">
      <c r="A201" s="148" t="s">
        <v>1003</v>
      </c>
      <c r="B201" s="148"/>
      <c r="C201" s="148" t="s">
        <v>1260</v>
      </c>
      <c r="D201" s="148" t="s">
        <v>1261</v>
      </c>
      <c r="E201" s="148"/>
      <c r="F201" s="148"/>
      <c r="G201" s="148"/>
      <c r="H201" s="148"/>
      <c r="I201" s="148"/>
      <c r="J201" s="148"/>
      <c r="K201" s="148"/>
      <c r="L201" s="148"/>
      <c r="M201" s="148"/>
      <c r="N201" s="148"/>
      <c r="O201" s="148"/>
      <c r="P201" s="148" t="s">
        <v>1262</v>
      </c>
      <c r="Q201" s="151" t="s">
        <v>1255</v>
      </c>
      <c r="R201" s="151" t="s">
        <v>1256</v>
      </c>
      <c r="S201" s="151" t="s">
        <v>1253</v>
      </c>
      <c r="T201" s="148"/>
      <c r="U201" s="148"/>
      <c r="V201" s="148"/>
      <c r="W201" s="148"/>
      <c r="X201" s="148"/>
      <c r="Y201" s="148"/>
      <c r="Z201" s="148"/>
    </row>
    <row r="202" spans="1:26" x14ac:dyDescent="0.35">
      <c r="A202" s="148" t="s">
        <v>1003</v>
      </c>
      <c r="B202" s="148"/>
      <c r="C202" s="148" t="s">
        <v>1263</v>
      </c>
      <c r="D202" s="148"/>
      <c r="E202" s="148"/>
      <c r="F202" s="148"/>
      <c r="G202" s="148"/>
      <c r="H202" s="148"/>
      <c r="I202" s="148"/>
      <c r="J202" s="148"/>
      <c r="K202" s="148"/>
      <c r="L202" s="148"/>
      <c r="M202" s="148"/>
      <c r="N202" s="148"/>
      <c r="O202" s="148"/>
      <c r="P202" s="148"/>
      <c r="Q202" s="151" t="s">
        <v>1255</v>
      </c>
      <c r="R202" s="151" t="s">
        <v>1256</v>
      </c>
      <c r="S202" s="151" t="s">
        <v>1253</v>
      </c>
      <c r="T202" s="148"/>
      <c r="U202" s="148"/>
      <c r="V202" s="148"/>
      <c r="W202" s="148"/>
      <c r="X202" s="148"/>
      <c r="Y202" s="148"/>
      <c r="Z202" s="148"/>
    </row>
    <row r="203" spans="1:26" x14ac:dyDescent="0.35">
      <c r="A203" s="148" t="s">
        <v>1003</v>
      </c>
      <c r="B203" s="148"/>
      <c r="C203" s="148" t="s">
        <v>1264</v>
      </c>
      <c r="D203" s="148"/>
      <c r="E203" s="148"/>
      <c r="F203" s="148"/>
      <c r="G203" s="148"/>
      <c r="H203" s="148"/>
      <c r="I203" s="148"/>
      <c r="J203" s="148"/>
      <c r="K203" s="148"/>
      <c r="L203" s="148"/>
      <c r="M203" s="148"/>
      <c r="N203" s="148"/>
      <c r="O203" s="148"/>
      <c r="P203" s="148"/>
      <c r="Q203" s="151" t="s">
        <v>1255</v>
      </c>
      <c r="R203" s="151" t="s">
        <v>1256</v>
      </c>
      <c r="S203" s="151" t="s">
        <v>1253</v>
      </c>
      <c r="T203" s="148"/>
      <c r="U203" s="148"/>
      <c r="V203" s="148"/>
      <c r="W203" s="148"/>
      <c r="X203" s="148"/>
      <c r="Y203" s="148"/>
      <c r="Z203" s="148"/>
    </row>
    <row r="204" spans="1:26" x14ac:dyDescent="0.35">
      <c r="A204" s="156" t="s">
        <v>960</v>
      </c>
      <c r="B204" s="156" t="s">
        <v>1265</v>
      </c>
      <c r="C204" s="156" t="s">
        <v>1249</v>
      </c>
      <c r="D204" s="156">
        <v>5740</v>
      </c>
      <c r="E204" s="156"/>
      <c r="F204" s="156" t="s">
        <v>1266</v>
      </c>
      <c r="G204" s="156"/>
      <c r="H204" s="157">
        <v>14.210526315789474</v>
      </c>
      <c r="I204" s="156"/>
      <c r="J204" s="156"/>
      <c r="K204" s="161">
        <v>0.14425087108013937</v>
      </c>
      <c r="L204" s="156"/>
      <c r="M204" s="156"/>
      <c r="N204" s="156"/>
      <c r="O204" s="156">
        <v>3.6999999999999998E-2</v>
      </c>
      <c r="P204" s="156" t="s">
        <v>1267</v>
      </c>
      <c r="Q204" s="156" t="s">
        <v>1251</v>
      </c>
      <c r="R204" s="164" t="s">
        <v>1252</v>
      </c>
      <c r="S204" s="164" t="s">
        <v>1268</v>
      </c>
      <c r="T204" s="164" t="s">
        <v>1269</v>
      </c>
      <c r="U204" s="156"/>
      <c r="V204" s="156"/>
      <c r="W204" s="156"/>
      <c r="X204" s="156"/>
      <c r="Y204" s="156"/>
      <c r="Z204" s="156"/>
    </row>
    <row r="205" spans="1:26" x14ac:dyDescent="0.35">
      <c r="A205" s="148" t="s">
        <v>960</v>
      </c>
      <c r="B205" s="148"/>
      <c r="C205" s="148" t="s">
        <v>1270</v>
      </c>
      <c r="D205" s="148"/>
      <c r="E205" s="148"/>
      <c r="F205" s="148" t="s">
        <v>1271</v>
      </c>
      <c r="G205" s="148"/>
      <c r="H205" s="168"/>
      <c r="I205" s="148"/>
      <c r="J205" s="148"/>
      <c r="K205" s="148"/>
      <c r="L205" s="148"/>
      <c r="M205" s="148"/>
      <c r="N205" s="148"/>
      <c r="O205" s="148"/>
      <c r="P205" s="148" t="s">
        <v>1272</v>
      </c>
      <c r="Q205" s="151" t="s">
        <v>1269</v>
      </c>
      <c r="R205" s="151"/>
      <c r="S205" s="151"/>
      <c r="T205" s="148"/>
      <c r="U205" s="148"/>
      <c r="V205" s="148"/>
      <c r="W205" s="148"/>
      <c r="X205" s="148"/>
      <c r="Y205" s="148"/>
      <c r="Z205" s="148"/>
    </row>
    <row r="206" spans="1:26" x14ac:dyDescent="0.35">
      <c r="A206" s="148" t="s">
        <v>960</v>
      </c>
      <c r="B206" s="148"/>
      <c r="C206" s="148" t="s">
        <v>1273</v>
      </c>
      <c r="D206" s="148"/>
      <c r="E206" s="148"/>
      <c r="F206" s="148">
        <v>15</v>
      </c>
      <c r="G206" s="148" t="s">
        <v>1274</v>
      </c>
      <c r="H206" s="168"/>
      <c r="I206" s="148"/>
      <c r="J206" s="148"/>
      <c r="K206" s="148"/>
      <c r="L206" s="148"/>
      <c r="M206" s="148"/>
      <c r="N206" s="148"/>
      <c r="O206" s="148"/>
      <c r="P206" s="148" t="s">
        <v>1275</v>
      </c>
      <c r="Q206" s="151" t="s">
        <v>1269</v>
      </c>
      <c r="R206" s="151"/>
      <c r="S206" s="151"/>
      <c r="T206" s="148"/>
      <c r="U206" s="148"/>
      <c r="V206" s="148"/>
      <c r="W206" s="148"/>
      <c r="X206" s="148"/>
      <c r="Y206" s="148"/>
      <c r="Z206" s="148"/>
    </row>
    <row r="207" spans="1:26" x14ac:dyDescent="0.35">
      <c r="A207" s="148" t="s">
        <v>960</v>
      </c>
      <c r="B207" s="148"/>
      <c r="C207" s="148" t="s">
        <v>1276</v>
      </c>
      <c r="D207" s="148"/>
      <c r="E207" s="148"/>
      <c r="F207" s="148">
        <v>15</v>
      </c>
      <c r="G207" s="148"/>
      <c r="H207" s="148"/>
      <c r="I207" s="148"/>
      <c r="J207" s="148"/>
      <c r="K207" s="148"/>
      <c r="L207" s="148"/>
      <c r="M207" s="148"/>
      <c r="N207" s="148"/>
      <c r="O207" s="148"/>
      <c r="P207" s="148" t="s">
        <v>1277</v>
      </c>
      <c r="Q207" s="151" t="s">
        <v>1269</v>
      </c>
      <c r="R207" s="148"/>
      <c r="S207" s="148"/>
      <c r="T207" s="148"/>
      <c r="U207" s="148"/>
      <c r="V207" s="148"/>
      <c r="W207" s="148"/>
      <c r="X207" s="148"/>
      <c r="Y207" s="148"/>
      <c r="Z207" s="148"/>
    </row>
    <row r="208" spans="1:26" x14ac:dyDescent="0.35">
      <c r="A208" s="148" t="s">
        <v>960</v>
      </c>
      <c r="B208" s="148"/>
      <c r="C208" s="148" t="s">
        <v>1278</v>
      </c>
      <c r="D208" s="148"/>
      <c r="E208" s="148"/>
      <c r="F208" s="148">
        <v>60</v>
      </c>
      <c r="G208" s="148"/>
      <c r="H208" s="148"/>
      <c r="I208" s="148"/>
      <c r="J208" s="148"/>
      <c r="K208" s="148"/>
      <c r="L208" s="148"/>
      <c r="M208" s="148"/>
      <c r="N208" s="148"/>
      <c r="O208" s="148"/>
      <c r="P208" s="148" t="s">
        <v>1277</v>
      </c>
      <c r="Q208" s="151" t="s">
        <v>1269</v>
      </c>
      <c r="R208" s="148"/>
      <c r="S208" s="148"/>
      <c r="T208" s="148"/>
      <c r="U208" s="148"/>
      <c r="V208" s="148"/>
      <c r="W208" s="148"/>
      <c r="X208" s="148"/>
      <c r="Y208" s="148"/>
      <c r="Z208" s="148"/>
    </row>
    <row r="213" spans="1:4" x14ac:dyDescent="0.35">
      <c r="A213" s="172" t="s">
        <v>1279</v>
      </c>
    </row>
    <row r="214" spans="1:4" s="172" customFormat="1" x14ac:dyDescent="0.35">
      <c r="A214" s="172" t="s">
        <v>1280</v>
      </c>
      <c r="B214" s="152" t="s">
        <v>1281</v>
      </c>
      <c r="C214" s="172" t="s">
        <v>1282</v>
      </c>
      <c r="D214" s="172" t="s">
        <v>1283</v>
      </c>
    </row>
    <row r="215" spans="1:4" x14ac:dyDescent="0.35">
      <c r="A215" s="172" t="s">
        <v>962</v>
      </c>
      <c r="B215" s="167" t="s">
        <v>1284</v>
      </c>
      <c r="D215" s="138">
        <v>0.9</v>
      </c>
    </row>
    <row r="216" spans="1:4" x14ac:dyDescent="0.35">
      <c r="A216" s="172"/>
      <c r="B216" s="167" t="s">
        <v>1285</v>
      </c>
      <c r="D216" s="138">
        <v>0.04</v>
      </c>
    </row>
    <row r="217" spans="1:4" x14ac:dyDescent="0.35">
      <c r="A217" s="172"/>
      <c r="B217" s="167" t="s">
        <v>1286</v>
      </c>
      <c r="D217" s="138">
        <v>0.05</v>
      </c>
    </row>
    <row r="218" spans="1:4" x14ac:dyDescent="0.35">
      <c r="A218" s="172"/>
      <c r="B218" s="167" t="s">
        <v>1284</v>
      </c>
      <c r="C218" s="138" t="s">
        <v>1287</v>
      </c>
      <c r="D218" s="138">
        <f>0.01*0.01</f>
        <v>1E-4</v>
      </c>
    </row>
    <row r="219" spans="1:4" x14ac:dyDescent="0.35">
      <c r="A219" s="172"/>
      <c r="B219" s="167" t="s">
        <v>1285</v>
      </c>
      <c r="C219" s="138" t="s">
        <v>1287</v>
      </c>
      <c r="D219" s="138">
        <f>0.01*0.32</f>
        <v>3.2000000000000002E-3</v>
      </c>
    </row>
    <row r="220" spans="1:4" x14ac:dyDescent="0.35">
      <c r="A220" s="172"/>
      <c r="B220" s="167" t="s">
        <v>1286</v>
      </c>
      <c r="C220" s="138" t="s">
        <v>1287</v>
      </c>
      <c r="D220" s="138">
        <f>0.01*0.19</f>
        <v>1.9E-3</v>
      </c>
    </row>
    <row r="221" spans="1:4" x14ac:dyDescent="0.35">
      <c r="A221" s="172"/>
      <c r="B221" s="167" t="s">
        <v>1288</v>
      </c>
      <c r="C221" s="138" t="s">
        <v>1287</v>
      </c>
      <c r="D221" s="138">
        <f>0.01*0.26</f>
        <v>2.6000000000000003E-3</v>
      </c>
    </row>
    <row r="222" spans="1:4" x14ac:dyDescent="0.35">
      <c r="A222" s="172"/>
      <c r="B222" s="167" t="s">
        <v>1289</v>
      </c>
      <c r="C222" s="138" t="s">
        <v>1287</v>
      </c>
      <c r="D222" s="138">
        <f>0.01*0.22</f>
        <v>2.2000000000000001E-3</v>
      </c>
    </row>
    <row r="223" spans="1:4" x14ac:dyDescent="0.35">
      <c r="A223" s="172" t="s">
        <v>1290</v>
      </c>
      <c r="B223" s="167" t="s">
        <v>1284</v>
      </c>
      <c r="D223" s="138">
        <v>0.34</v>
      </c>
    </row>
    <row r="224" spans="1:4" x14ac:dyDescent="0.35">
      <c r="A224" s="172"/>
      <c r="B224" s="167" t="s">
        <v>1285</v>
      </c>
      <c r="D224" s="138">
        <v>0.4</v>
      </c>
    </row>
    <row r="225" spans="1:4" x14ac:dyDescent="0.35">
      <c r="A225" s="172"/>
      <c r="B225" s="167" t="s">
        <v>1286</v>
      </c>
      <c r="D225" s="138">
        <v>0.09</v>
      </c>
    </row>
    <row r="226" spans="1:4" x14ac:dyDescent="0.35">
      <c r="A226" s="172"/>
      <c r="B226" s="167" t="s">
        <v>1288</v>
      </c>
      <c r="D226" s="138">
        <v>0.04</v>
      </c>
    </row>
    <row r="227" spans="1:4" x14ac:dyDescent="0.35">
      <c r="A227" s="172"/>
      <c r="B227" s="167" t="s">
        <v>1284</v>
      </c>
      <c r="C227" s="138" t="s">
        <v>1287</v>
      </c>
      <c r="D227" s="138">
        <f>0.13*0.01</f>
        <v>1.3000000000000002E-3</v>
      </c>
    </row>
    <row r="228" spans="1:4" x14ac:dyDescent="0.35">
      <c r="A228" s="172"/>
      <c r="B228" s="167" t="s">
        <v>1285</v>
      </c>
      <c r="C228" s="138" t="s">
        <v>1287</v>
      </c>
      <c r="D228" s="138">
        <f>0.13*0.32</f>
        <v>4.1600000000000005E-2</v>
      </c>
    </row>
    <row r="229" spans="1:4" x14ac:dyDescent="0.35">
      <c r="A229" s="172"/>
      <c r="B229" s="167" t="s">
        <v>1286</v>
      </c>
      <c r="C229" s="138" t="s">
        <v>1287</v>
      </c>
      <c r="D229" s="138">
        <f>0.13*0.19</f>
        <v>2.47E-2</v>
      </c>
    </row>
    <row r="230" spans="1:4" x14ac:dyDescent="0.35">
      <c r="A230" s="172"/>
      <c r="B230" s="167" t="s">
        <v>1288</v>
      </c>
      <c r="C230" s="138" t="s">
        <v>1287</v>
      </c>
      <c r="D230" s="138">
        <f>0.13*0.26</f>
        <v>3.3800000000000004E-2</v>
      </c>
    </row>
    <row r="231" spans="1:4" x14ac:dyDescent="0.35">
      <c r="A231" s="172"/>
      <c r="B231" s="167" t="s">
        <v>1289</v>
      </c>
      <c r="C231" s="138" t="s">
        <v>1287</v>
      </c>
      <c r="D231" s="138">
        <f>0.13*0.22</f>
        <v>2.86E-2</v>
      </c>
    </row>
    <row r="232" spans="1:4" x14ac:dyDescent="0.35">
      <c r="A232" s="172" t="s">
        <v>1291</v>
      </c>
      <c r="B232" s="167" t="s">
        <v>1284</v>
      </c>
      <c r="D232" s="138">
        <v>0.08</v>
      </c>
    </row>
    <row r="233" spans="1:4" x14ac:dyDescent="0.35">
      <c r="A233" s="172"/>
      <c r="B233" s="167" t="s">
        <v>1285</v>
      </c>
      <c r="D233" s="138">
        <v>0.42</v>
      </c>
    </row>
    <row r="234" spans="1:4" x14ac:dyDescent="0.35">
      <c r="A234" s="172"/>
      <c r="B234" s="167" t="s">
        <v>1286</v>
      </c>
      <c r="D234" s="138">
        <v>7.0000000000000007E-2</v>
      </c>
    </row>
    <row r="235" spans="1:4" x14ac:dyDescent="0.35">
      <c r="A235" s="172"/>
      <c r="B235" s="167" t="s">
        <v>1284</v>
      </c>
      <c r="C235" s="138" t="s">
        <v>1287</v>
      </c>
      <c r="D235" s="138">
        <f>0.43*0.01</f>
        <v>4.3E-3</v>
      </c>
    </row>
    <row r="236" spans="1:4" x14ac:dyDescent="0.35">
      <c r="A236" s="172"/>
      <c r="B236" s="167" t="s">
        <v>1285</v>
      </c>
      <c r="C236" s="138" t="s">
        <v>1287</v>
      </c>
      <c r="D236" s="138">
        <f>0.43*0.32</f>
        <v>0.1376</v>
      </c>
    </row>
    <row r="237" spans="1:4" x14ac:dyDescent="0.35">
      <c r="A237" s="172"/>
      <c r="B237" s="167" t="s">
        <v>1286</v>
      </c>
      <c r="C237" s="138" t="s">
        <v>1287</v>
      </c>
      <c r="D237" s="138">
        <f>0.43*0.19</f>
        <v>8.1699999999999995E-2</v>
      </c>
    </row>
    <row r="238" spans="1:4" x14ac:dyDescent="0.35">
      <c r="A238" s="172"/>
      <c r="B238" s="167" t="s">
        <v>1288</v>
      </c>
      <c r="C238" s="138" t="s">
        <v>1287</v>
      </c>
      <c r="D238" s="138">
        <f>0.43*0.26</f>
        <v>0.1118</v>
      </c>
    </row>
    <row r="239" spans="1:4" x14ac:dyDescent="0.35">
      <c r="A239" s="172"/>
      <c r="B239" s="167" t="s">
        <v>1289</v>
      </c>
      <c r="C239" s="138" t="s">
        <v>1287</v>
      </c>
      <c r="D239" s="138">
        <f>0.43*0.22</f>
        <v>9.4600000000000004E-2</v>
      </c>
    </row>
    <row r="240" spans="1:4" x14ac:dyDescent="0.35">
      <c r="A240" s="172" t="s">
        <v>1292</v>
      </c>
      <c r="B240" s="167" t="s">
        <v>1284</v>
      </c>
      <c r="D240" s="138">
        <v>0.1</v>
      </c>
    </row>
    <row r="241" spans="1:5" x14ac:dyDescent="0.35">
      <c r="A241" s="172"/>
      <c r="B241" s="167" t="s">
        <v>1285</v>
      </c>
      <c r="D241" s="138">
        <v>0.37</v>
      </c>
    </row>
    <row r="242" spans="1:5" x14ac:dyDescent="0.35">
      <c r="A242" s="172"/>
      <c r="B242" s="167" t="s">
        <v>1286</v>
      </c>
      <c r="D242" s="138">
        <v>0.03</v>
      </c>
    </row>
    <row r="243" spans="1:5" x14ac:dyDescent="0.35">
      <c r="A243" s="172"/>
      <c r="B243" s="167" t="s">
        <v>1288</v>
      </c>
      <c r="D243" s="138">
        <v>0.01</v>
      </c>
    </row>
    <row r="244" spans="1:5" x14ac:dyDescent="0.35">
      <c r="A244" s="172"/>
      <c r="B244" s="167" t="s">
        <v>1284</v>
      </c>
      <c r="C244" s="138" t="s">
        <v>1287</v>
      </c>
      <c r="D244" s="138">
        <f>0.49*0.01</f>
        <v>4.8999999999999998E-3</v>
      </c>
    </row>
    <row r="245" spans="1:5" x14ac:dyDescent="0.35">
      <c r="A245" s="172"/>
      <c r="B245" s="167" t="s">
        <v>1285</v>
      </c>
      <c r="C245" s="138" t="s">
        <v>1287</v>
      </c>
      <c r="D245" s="138">
        <f>0.49*0.32</f>
        <v>0.15679999999999999</v>
      </c>
    </row>
    <row r="246" spans="1:5" x14ac:dyDescent="0.35">
      <c r="A246" s="172"/>
      <c r="B246" s="167" t="s">
        <v>1286</v>
      </c>
      <c r="C246" s="138" t="s">
        <v>1287</v>
      </c>
      <c r="D246" s="138">
        <f>0.49*0.19</f>
        <v>9.3100000000000002E-2</v>
      </c>
    </row>
    <row r="247" spans="1:5" x14ac:dyDescent="0.35">
      <c r="A247" s="172"/>
      <c r="B247" s="167" t="s">
        <v>1288</v>
      </c>
      <c r="C247" s="138" t="s">
        <v>1287</v>
      </c>
      <c r="D247" s="138">
        <f>0.49*0.26</f>
        <v>0.12740000000000001</v>
      </c>
    </row>
    <row r="248" spans="1:5" x14ac:dyDescent="0.35">
      <c r="A248" s="172"/>
      <c r="B248" s="167" t="s">
        <v>1289</v>
      </c>
      <c r="C248" s="138" t="s">
        <v>1287</v>
      </c>
      <c r="D248" s="138">
        <f>0.49*0.22</f>
        <v>0.10779999999999999</v>
      </c>
    </row>
    <row r="252" spans="1:5" x14ac:dyDescent="0.35">
      <c r="A252" s="11" t="s">
        <v>1293</v>
      </c>
      <c r="B252" s="11" t="s">
        <v>1294</v>
      </c>
      <c r="C252" s="11" t="s">
        <v>1295</v>
      </c>
      <c r="D252" s="11" t="s">
        <v>356</v>
      </c>
      <c r="E252" s="11" t="s">
        <v>371</v>
      </c>
    </row>
    <row r="253" spans="1:5" x14ac:dyDescent="0.35">
      <c r="A253" t="s">
        <v>1296</v>
      </c>
      <c r="B253" t="s">
        <v>1297</v>
      </c>
      <c r="C253">
        <v>2.8</v>
      </c>
      <c r="D253" t="s">
        <v>1298</v>
      </c>
      <c r="E253" s="151" t="s">
        <v>1299</v>
      </c>
    </row>
    <row r="254" spans="1:5" x14ac:dyDescent="0.35">
      <c r="A254" t="s">
        <v>1231</v>
      </c>
      <c r="B254" t="s">
        <v>1300</v>
      </c>
      <c r="C254">
        <v>1</v>
      </c>
      <c r="D254" t="s">
        <v>1301</v>
      </c>
      <c r="E254" s="151" t="s">
        <v>1299</v>
      </c>
    </row>
    <row r="255" spans="1:5" x14ac:dyDescent="0.35">
      <c r="A255" t="s">
        <v>1302</v>
      </c>
      <c r="B255" t="s">
        <v>1303</v>
      </c>
      <c r="C255">
        <v>1</v>
      </c>
      <c r="D255" t="s">
        <v>1304</v>
      </c>
      <c r="E255" s="151"/>
    </row>
    <row r="256" spans="1:5" x14ac:dyDescent="0.35">
      <c r="A256" t="s">
        <v>1231</v>
      </c>
      <c r="B256" t="s">
        <v>1285</v>
      </c>
      <c r="C256">
        <v>1.05</v>
      </c>
      <c r="D256" t="s">
        <v>1298</v>
      </c>
      <c r="E256" s="151" t="s">
        <v>1299</v>
      </c>
    </row>
    <row r="257" spans="1:5" x14ac:dyDescent="0.35">
      <c r="A257" t="s">
        <v>1231</v>
      </c>
      <c r="B257" t="s">
        <v>1305</v>
      </c>
      <c r="C257">
        <v>1.01</v>
      </c>
      <c r="D257" t="s">
        <v>1306</v>
      </c>
      <c r="E257" s="151" t="s">
        <v>1299</v>
      </c>
    </row>
    <row r="258" spans="1:5" x14ac:dyDescent="0.35">
      <c r="A258" t="s">
        <v>1307</v>
      </c>
      <c r="B258" t="s">
        <v>1297</v>
      </c>
      <c r="C258">
        <v>1.35</v>
      </c>
      <c r="D258" t="s">
        <v>1308</v>
      </c>
      <c r="E258" s="151" t="s">
        <v>1299</v>
      </c>
    </row>
    <row r="259" spans="1:5" x14ac:dyDescent="0.35">
      <c r="A259" t="s">
        <v>1309</v>
      </c>
      <c r="B259" t="s">
        <v>1297</v>
      </c>
      <c r="C259">
        <v>1.0900000000000001</v>
      </c>
      <c r="D259" t="s">
        <v>1310</v>
      </c>
      <c r="E259" s="151" t="s">
        <v>1299</v>
      </c>
    </row>
    <row r="260" spans="1:5" x14ac:dyDescent="0.35">
      <c r="A260" t="s">
        <v>1311</v>
      </c>
      <c r="B260" t="s">
        <v>1297</v>
      </c>
      <c r="C260">
        <v>1.2</v>
      </c>
      <c r="D260" t="s">
        <v>1312</v>
      </c>
      <c r="E260" s="151" t="s">
        <v>1299</v>
      </c>
    </row>
    <row r="261" spans="1:5" x14ac:dyDescent="0.35">
      <c r="A261" t="s">
        <v>1313</v>
      </c>
      <c r="B261" t="s">
        <v>1297</v>
      </c>
      <c r="C261">
        <v>1.2</v>
      </c>
      <c r="D261" t="s">
        <v>1314</v>
      </c>
      <c r="E261" s="151" t="s">
        <v>1299</v>
      </c>
    </row>
    <row r="262" spans="1:5" x14ac:dyDescent="0.35">
      <c r="A262" t="s">
        <v>1315</v>
      </c>
      <c r="B262" t="s">
        <v>1297</v>
      </c>
      <c r="C262">
        <v>0.88</v>
      </c>
      <c r="D262" t="s">
        <v>1316</v>
      </c>
      <c r="E262" s="151" t="s">
        <v>1299</v>
      </c>
    </row>
    <row r="263" spans="1:5" x14ac:dyDescent="0.35">
      <c r="A263" t="s">
        <v>1317</v>
      </c>
      <c r="B263" t="s">
        <v>1234</v>
      </c>
      <c r="C263">
        <v>1.1100000000000001</v>
      </c>
      <c r="D263"/>
      <c r="E263" s="151" t="s">
        <v>1299</v>
      </c>
    </row>
    <row r="264" spans="1:5" x14ac:dyDescent="0.35">
      <c r="A264" t="s">
        <v>1318</v>
      </c>
      <c r="B264" t="s">
        <v>1297</v>
      </c>
      <c r="C264">
        <v>0.91</v>
      </c>
      <c r="D264" t="s">
        <v>1319</v>
      </c>
      <c r="E264" s="151" t="s">
        <v>1299</v>
      </c>
    </row>
  </sheetData>
  <mergeCells count="1">
    <mergeCell ref="A66:Q66"/>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9F11D2A2FBBEED40A750386529AFE883" ma:contentTypeVersion="18" ma:contentTypeDescription="Create a new document." ma:contentTypeScope="" ma:versionID="60adfe20a4461864a07af2b2bda9f824">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241d41d8-5778-4e30-b44e-dee891c66b79" xmlns:ns6="af43f131-d884-42a1-ba66-3c1404ec48fc" targetNamespace="http://schemas.microsoft.com/office/2006/metadata/properties" ma:root="true" ma:fieldsID="cd1f1b4cf5c128982c086c8e5b8d9b74" ns1:_="" ns2:_="" ns3:_="" ns4:_="" ns5:_="" ns6:_="">
    <xsd:import namespace="http://schemas.microsoft.com/sharepoint/v3"/>
    <xsd:import namespace="4ffa91fb-a0ff-4ac5-b2db-65c790d184a4"/>
    <xsd:import namespace="http://schemas.microsoft.com/sharepoint.v3"/>
    <xsd:import namespace="http://schemas.microsoft.com/sharepoint/v3/fields"/>
    <xsd:import namespace="241d41d8-5778-4e30-b44e-dee891c66b79"/>
    <xsd:import namespace="af43f131-d884-42a1-ba66-3c1404ec48fc"/>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5:MediaServiceAutoKeyPoints" minOccurs="0"/>
                <xsd:element ref="ns5:MediaServiceKeyPoints"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bbef4fbc-904d-4533-a74d-67633234e494}" ma:internalName="TaxCatchAllLabel" ma:readOnly="true" ma:showField="CatchAllDataLabel" ma:web="af43f131-d884-42a1-ba66-3c1404ec48f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bbef4fbc-904d-4533-a74d-67633234e494}" ma:internalName="TaxCatchAll" ma:showField="CatchAllData" ma:web="af43f131-d884-42a1-ba66-3c1404ec48f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41d41d8-5778-4e30-b44e-dee891c66b79"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DateTaken" ma:index="38" nillable="true" ma:displayName="MediaServiceDateTaken" ma:hidden="true" ma:internalName="MediaServiceDateTaken" ma:readOnly="true">
      <xsd:simpleType>
        <xsd:restriction base="dms:Text"/>
      </xsd:simpleType>
    </xsd:element>
    <xsd:element name="MediaLengthInSeconds" ma:index="39" nillable="true" ma:displayName="Length (seconds)" ma:internalName="MediaLengthInSeconds" ma:readOnly="true">
      <xsd:simpleType>
        <xsd:restriction base="dms:Unknown"/>
      </xsd:simpleType>
    </xsd:element>
    <xsd:element name="lcf76f155ced4ddcb4097134ff3c332f" ma:index="41"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2" nillable="true" ma:displayName="MediaServiceObjectDetectorVersions" ma:hidden="true" ma:indexed="true" ma:internalName="MediaServiceObjectDetectorVersions" ma:readOnly="true">
      <xsd:simpleType>
        <xsd:restriction base="dms:Text"/>
      </xsd:simpleType>
    </xsd:element>
    <xsd:element name="MediaServiceSearchProperties" ma:index="4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f43f131-d884-42a1-ba66-3c1404ec48fc"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 xsi:nil="true"/>
    <EPA_x0020_Office xmlns="4ffa91fb-a0ff-4ac5-b2db-65c790d184a4" xsi:nil="true"/>
    <Document_x0020_Creation_x0020_Date xmlns="4ffa91fb-a0ff-4ac5-b2db-65c790d184a4" xsi:nil="true"/>
    <EPA_x0020_Related_x0020_Documents xmlns="4ffa91fb-a0ff-4ac5-b2db-65c790d184a4" xsi:nil="true"/>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xsi:nil="true"/>
    <TaxKeywordTaxHTField xmlns="4ffa91fb-a0ff-4ac5-b2db-65c790d184a4">
      <Terms xmlns="http://schemas.microsoft.com/office/infopath/2007/PartnerControls"/>
    </TaxKeywordTaxHTField>
    <Rights xmlns="4ffa91fb-a0ff-4ac5-b2db-65c790d184a4" xsi:nil="true"/>
    <External_x0020_Contributor xmlns="4ffa91fb-a0ff-4ac5-b2db-65c790d184a4" xsi:nil="true"/>
    <Identifier xmlns="4ffa91fb-a0ff-4ac5-b2db-65c790d184a4" xsi:nil="true"/>
    <Creator xmlns="4ffa91fb-a0ff-4ac5-b2db-65c790d184a4">
      <UserInfo>
        <DisplayName/>
        <AccountId xsi:nil="true"/>
        <AccountType/>
      </UserInfo>
    </Creator>
    <Language xmlns="http://schemas.microsoft.com/sharepoint/v3" xsi:nil="true"/>
    <j747ac98061d40f0aa7bd47e1db5675d xmlns="4ffa91fb-a0ff-4ac5-b2db-65c790d184a4">
      <Terms xmlns="http://schemas.microsoft.com/office/infopath/2007/PartnerControls"/>
    </j747ac98061d40f0aa7bd47e1db5675d>
    <lcf76f155ced4ddcb4097134ff3c332f xmlns="241d41d8-5778-4e30-b44e-dee891c66b79">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0BB799-4F7E-4E10-83CF-889B684C613B}">
  <ds:schemaRefs>
    <ds:schemaRef ds:uri="Microsoft.SharePoint.Taxonomy.ContentTypeSync"/>
  </ds:schemaRefs>
</ds:datastoreItem>
</file>

<file path=customXml/itemProps2.xml><?xml version="1.0" encoding="utf-8"?>
<ds:datastoreItem xmlns:ds="http://schemas.openxmlformats.org/officeDocument/2006/customXml" ds:itemID="{27391CA5-5F7A-49A9-A92B-DB58D010556E}"/>
</file>

<file path=customXml/itemProps3.xml><?xml version="1.0" encoding="utf-8"?>
<ds:datastoreItem xmlns:ds="http://schemas.openxmlformats.org/officeDocument/2006/customXml" ds:itemID="{CF271941-60E5-40A1-B616-0FB56DDDBE8F}">
  <ds:schemaRefs>
    <ds:schemaRef ds:uri="http://www.w3.org/XML/1998/namespace"/>
    <ds:schemaRef ds:uri="http://purl.org/dc/elements/1.1/"/>
    <ds:schemaRef ds:uri="http://schemas.microsoft.com/office/2006/documentManagement/types"/>
    <ds:schemaRef ds:uri="241d41d8-5778-4e30-b44e-dee891c66b79"/>
    <ds:schemaRef ds:uri="http://schemas.microsoft.com/office/infopath/2007/PartnerControls"/>
    <ds:schemaRef ds:uri="4ffa91fb-a0ff-4ac5-b2db-65c790d184a4"/>
    <ds:schemaRef ds:uri="http://schemas.openxmlformats.org/package/2006/metadata/core-properties"/>
    <ds:schemaRef ds:uri="http://purl.org/dc/terms/"/>
    <ds:schemaRef ds:uri="af43f131-d884-42a1-ba66-3c1404ec48fc"/>
    <ds:schemaRef ds:uri="http://schemas.microsoft.com/sharepoint/v3/fields"/>
    <ds:schemaRef ds:uri="http://schemas.microsoft.com/sharepoint.v3"/>
    <ds:schemaRef ds:uri="http://schemas.microsoft.com/sharepoint/v3"/>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899F8534-6176-47F2-89AD-60675784BB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AM Techniques</vt:lpstr>
      <vt:lpstr>AM Categories</vt:lpstr>
      <vt:lpstr>AM End-of-Life Diagram</vt:lpstr>
      <vt:lpstr>EoL Material Flow Analysis</vt:lpstr>
      <vt:lpstr>Material Cost Data</vt:lpstr>
      <vt:lpstr>GREENSCOPE Calculation</vt:lpstr>
      <vt:lpstr>Economic Analysis</vt:lpstr>
      <vt:lpstr>Energy Consumption</vt:lpstr>
      <vt:lpstr>Energy Consumption2</vt:lpstr>
      <vt:lpstr>Stream Transport Energy-Cost</vt:lpstr>
      <vt:lpstr>Stream Transport Energy-Cost2</vt:lpstr>
      <vt:lpstr>GREENSCOPE Equations</vt:lpstr>
      <vt:lpstr>Efficiency Indicator</vt:lpstr>
      <vt:lpstr>Environmental Indicator</vt:lpstr>
      <vt:lpstr>Energy Indicator</vt:lpstr>
      <vt:lpstr>Economic Indicator</vt:lpstr>
      <vt:lpstr>Generic Scenario</vt:lpstr>
      <vt:lpstr>Materials in AM</vt:lpstr>
      <vt:lpstr>References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Chea, John</dc:creator>
  <cp:keywords/>
  <dc:description/>
  <cp:lastModifiedBy>Chea, John</cp:lastModifiedBy>
  <cp:revision/>
  <dcterms:created xsi:type="dcterms:W3CDTF">2022-10-28T14:27:55Z</dcterms:created>
  <dcterms:modified xsi:type="dcterms:W3CDTF">2024-02-05T19:10:01Z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0x0101009F11D2A2FBBEED40A750386529AFE883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Order">
    <vt:r8>19600</vt:r8>
  </property>
  <property fmtid="{D5CDD505-2E9C-101B-9397-08002B2CF9AE}" pid="9" name="xd_Signature">
    <vt:bool>false</vt:bool>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_ExtendedDescription">
    <vt:lpwstr/>
  </property>
  <property fmtid="{D5CDD505-2E9C-101B-9397-08002B2CF9AE}" pid="14" name="TriggerFlowInfo">
    <vt:lpwstr/>
  </property>
  <property fmtid="{D5CDD505-2E9C-101B-9397-08002B2CF9AE}" pid="15" name="_SourceUrl">
    <vt:lpwstr/>
  </property>
  <property fmtid="{D5CDD505-2E9C-101B-9397-08002B2CF9AE}" pid="16" name="_SharedFileIndex">
    <vt:lpwstr/>
  </property>
  <property fmtid="{D5CDD505-2E9C-101B-9397-08002B2CF9AE}" pid="17" name="MediaServiceImageTags">
    <vt:lpwstr/>
  </property>
</Properties>
</file>