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documenttasks/documenttask1.xml" ContentType="application/vnd.ms-excel.documenttasks+xml"/>
  <Override PartName="/xl/tables/table2.xml" ContentType="application/vnd.openxmlformats-officedocument.spreadsheetml.table+xml"/>
  <Override PartName="/xl/comments3.xml" ContentType="application/vnd.openxmlformats-officedocument.spreadsheetml.comments+xml"/>
  <Override PartName="/xl/threadedComments/threadedComment3.xml" ContentType="application/vnd.ms-excel.threaded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tables/table3.xml" ContentType="application/vnd.openxmlformats-officedocument.spreadsheetml.table+xml"/>
  <Override PartName="/xl/tables/table4.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hidePivotFieldList="1"/>
  <mc:AlternateContent xmlns:mc="http://schemas.openxmlformats.org/markup-compatibility/2006">
    <mc:Choice Requires="x15">
      <x15ac:absPath xmlns:x15ac="http://schemas.microsoft.com/office/spreadsheetml/2010/11/ac" url="https://easternresearchgroup.sharepoint.com/sites/ERGLCA/Shared Documents/Integrated Sustainability ORD SSWW/Task 3 Microbial LR/Deliverables/2024_010924 Unit Process for WR/second round due 050524/"/>
    </mc:Choice>
  </mc:AlternateContent>
  <xr:revisionPtr revIDLastSave="64" documentId="8_{9DA9387C-3DEC-410E-8117-8349C2CCF9AB}" xr6:coauthVersionLast="47" xr6:coauthVersionMax="47" xr10:uidLastSave="{03E2BC88-9E5F-48E8-965D-8462B6C51842}"/>
  <bookViews>
    <workbookView xWindow="-10545" yWindow="-15870" windowWidth="25440" windowHeight="15390" tabRatio="709" xr2:uid="{00000000-000D-0000-FFFF-FFFF00000000}"/>
  </bookViews>
  <sheets>
    <sheet name="TOC" sheetId="58" r:id="rId1"/>
    <sheet name="Terminology" sheetId="64" r:id="rId2"/>
    <sheet name="Paper Tracker" sheetId="7" state="hidden" r:id="rId3"/>
    <sheet name="LRVs" sheetId="13" r:id="rId4"/>
    <sheet name="LRCs" sheetId="49" r:id="rId5"/>
    <sheet name="Data Summary" sheetId="10" r:id="rId6"/>
    <sheet name="Table 1" sheetId="60" r:id="rId7"/>
    <sheet name="Figures 1-3" sheetId="59" r:id="rId8"/>
    <sheet name="References" sheetId="63" r:id="rId9"/>
    <sheet name="Chlorine" sheetId="50" state="hidden" r:id="rId10"/>
    <sheet name="Chlorine_LRC" sheetId="55" state="hidden" r:id="rId11"/>
    <sheet name="Variables" sheetId="51" state="hidden" r:id="rId12"/>
  </sheets>
  <externalReferences>
    <externalReference r:id="rId13"/>
    <externalReference r:id="rId14"/>
  </externalReferences>
  <definedNames>
    <definedName name="_xlnm._FilterDatabase" localSheetId="7" hidden="1">'Figures 1-3'!$AF$2:$AK$22</definedName>
    <definedName name="_xlnm._FilterDatabase" localSheetId="3" hidden="1">LRVs!$B$3:$CH$1036</definedName>
    <definedName name="_xlnm._FilterDatabase" localSheetId="2" hidden="1">'Paper Tracker'!$A$1:$J$88</definedName>
    <definedName name="Avg_Year_Flow">[1]SCFP!$C$23</definedName>
    <definedName name="ElectricityCost">[1]LCCA!$E$11</definedName>
    <definedName name="FWH_20MGD_Annual">'[1]FWH WRC - IPR'!$C$79</definedName>
    <definedName name="FWH_40MGD_Avg_Flow">'[1]FWH WRC - IPR'!$C$106</definedName>
    <definedName name="FWH_Avg_Cap">'[1]FWH WRC - IPR'!$D$42</definedName>
    <definedName name="FWH_Avg_Flow">'[1]FWH WRC - IPR'!$D$43</definedName>
    <definedName name="FWH_Design_Cap">'[1]FWH WRC - IPR'!$D$41</definedName>
    <definedName name="H_feed">'[1]FWH WRC - ozone DPR'!#REF!</definedName>
    <definedName name="Inf_Life">[1]SCFP!$C$27</definedName>
    <definedName name="SCFP_Avg_Cap">[1]SCFP!$C$21</definedName>
    <definedName name="treated_feed_pH">[2]INPUT!$G$90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 i="60" l="1"/>
  <c r="N8" i="60"/>
  <c r="AD3" i="59"/>
  <c r="R14" i="60"/>
  <c r="G10" i="60" s="1"/>
  <c r="I8" i="60"/>
  <c r="I9" i="60"/>
  <c r="H9" i="60"/>
  <c r="G9" i="60"/>
  <c r="H10" i="60"/>
  <c r="I10" i="60"/>
  <c r="W13" i="60"/>
  <c r="V13" i="60"/>
  <c r="W12" i="60"/>
  <c r="V12" i="60"/>
  <c r="U13" i="60"/>
  <c r="T13" i="60"/>
  <c r="U12" i="60"/>
  <c r="T12" i="60"/>
  <c r="S12" i="60"/>
  <c r="S14" i="60" s="1"/>
  <c r="R15" i="60"/>
  <c r="S15" i="60"/>
  <c r="T15" i="60"/>
  <c r="U15" i="60"/>
  <c r="W15" i="60"/>
  <c r="V15" i="60"/>
  <c r="Z15" i="60"/>
  <c r="Y15" i="60"/>
  <c r="X15" i="60"/>
  <c r="Z14" i="60"/>
  <c r="Z12" i="60"/>
  <c r="X12" i="60"/>
  <c r="X13" i="60"/>
  <c r="X11" i="60"/>
  <c r="X10" i="60"/>
  <c r="Q15" i="60"/>
  <c r="F11" i="60" s="1"/>
  <c r="P15" i="60"/>
  <c r="O15" i="60"/>
  <c r="E11" i="60" s="1"/>
  <c r="N15" i="60"/>
  <c r="M15" i="60"/>
  <c r="D11" i="60" s="1"/>
  <c r="L15" i="60"/>
  <c r="O14" i="60"/>
  <c r="N14" i="60"/>
  <c r="M14" i="60"/>
  <c r="L14" i="60"/>
  <c r="L13" i="60"/>
  <c r="M13" i="60"/>
  <c r="N13" i="60"/>
  <c r="O13" i="60"/>
  <c r="P13" i="60"/>
  <c r="Q13" i="60"/>
  <c r="R13" i="60"/>
  <c r="S13" i="60"/>
  <c r="R12" i="60"/>
  <c r="L12" i="60"/>
  <c r="R11" i="60"/>
  <c r="L11" i="60"/>
  <c r="M11" i="60"/>
  <c r="D9" i="60" s="1"/>
  <c r="N11" i="60"/>
  <c r="O11" i="60"/>
  <c r="P11" i="60"/>
  <c r="Q11" i="60"/>
  <c r="F9" i="60" s="1"/>
  <c r="S11" i="60"/>
  <c r="T11" i="60"/>
  <c r="U11" i="60"/>
  <c r="V11" i="60"/>
  <c r="W11" i="60"/>
  <c r="L10" i="60"/>
  <c r="M10" i="60"/>
  <c r="N10" i="60"/>
  <c r="O10" i="60"/>
  <c r="P10" i="60"/>
  <c r="Q10" i="60"/>
  <c r="R10" i="60"/>
  <c r="S10" i="60"/>
  <c r="T10" i="60"/>
  <c r="U10" i="60"/>
  <c r="V10" i="60"/>
  <c r="W10" i="60"/>
  <c r="L9" i="60"/>
  <c r="M9" i="60"/>
  <c r="N9" i="60"/>
  <c r="O9" i="60"/>
  <c r="P9" i="60"/>
  <c r="Q9" i="60"/>
  <c r="R9" i="60"/>
  <c r="S9" i="60"/>
  <c r="T9" i="60"/>
  <c r="U9" i="60"/>
  <c r="V9" i="60"/>
  <c r="W9" i="60"/>
  <c r="L8" i="60"/>
  <c r="M8" i="60"/>
  <c r="P8" i="60"/>
  <c r="Q8" i="60"/>
  <c r="F8" i="60" s="1"/>
  <c r="R8" i="60"/>
  <c r="S8" i="60"/>
  <c r="T8" i="60"/>
  <c r="U8" i="60"/>
  <c r="V8" i="60"/>
  <c r="W8" i="60"/>
  <c r="L7" i="60"/>
  <c r="M7" i="60"/>
  <c r="N7" i="60"/>
  <c r="O7" i="60"/>
  <c r="E7" i="60" s="1"/>
  <c r="P7" i="60"/>
  <c r="Q7" i="60"/>
  <c r="F7" i="60" s="1"/>
  <c r="R7" i="60"/>
  <c r="S7" i="60"/>
  <c r="T7" i="60"/>
  <c r="U7" i="60"/>
  <c r="V7" i="60"/>
  <c r="W7" i="60"/>
  <c r="L6" i="60"/>
  <c r="M6" i="60"/>
  <c r="N6" i="60"/>
  <c r="O6" i="60"/>
  <c r="E6" i="60" s="1"/>
  <c r="P6" i="60"/>
  <c r="Q6" i="60"/>
  <c r="F6" i="60" s="1"/>
  <c r="R6" i="60"/>
  <c r="S6" i="60"/>
  <c r="T6" i="60"/>
  <c r="U6" i="60"/>
  <c r="V6" i="60"/>
  <c r="W6" i="60"/>
  <c r="L5" i="60"/>
  <c r="M5" i="60"/>
  <c r="N5" i="60"/>
  <c r="O5" i="60"/>
  <c r="E5" i="60" s="1"/>
  <c r="P5" i="60"/>
  <c r="Q5" i="60"/>
  <c r="F5" i="60" s="1"/>
  <c r="R5" i="60"/>
  <c r="S5" i="60"/>
  <c r="T5" i="60"/>
  <c r="U5" i="60"/>
  <c r="V5" i="60"/>
  <c r="W5" i="60"/>
  <c r="M12" i="60"/>
  <c r="N12" i="60"/>
  <c r="O12" i="60"/>
  <c r="P12" i="60"/>
  <c r="Q12" i="60"/>
  <c r="P14" i="60"/>
  <c r="Q14" i="60"/>
  <c r="X9" i="60"/>
  <c r="Y9" i="60"/>
  <c r="Z9" i="60"/>
  <c r="Y10" i="60"/>
  <c r="Z10" i="60"/>
  <c r="E8" i="60" l="1"/>
  <c r="W14" i="60"/>
  <c r="V14" i="60"/>
  <c r="U14" i="60"/>
  <c r="T14" i="60"/>
  <c r="G11" i="60"/>
  <c r="H11" i="60"/>
  <c r="I11" i="60"/>
  <c r="E9" i="60"/>
  <c r="D5" i="60"/>
  <c r="D10" i="60"/>
  <c r="Z11" i="60"/>
  <c r="Y11" i="60"/>
  <c r="Y12" i="60" l="1"/>
  <c r="BL919" i="13" l="1"/>
  <c r="BL920" i="13"/>
  <c r="BL918" i="13"/>
  <c r="BL655" i="13"/>
  <c r="BL656" i="13"/>
  <c r="BL654" i="13"/>
  <c r="B3" i="59" a="1"/>
  <c r="C59" i="59" s="1"/>
  <c r="I3" i="10" a="1"/>
  <c r="I3" i="10" s="1"/>
  <c r="J3" i="10" s="1"/>
  <c r="U4" i="60"/>
  <c r="T4" i="60"/>
  <c r="S4" i="60"/>
  <c r="R4" i="60"/>
  <c r="X5" i="60"/>
  <c r="Y5" i="60"/>
  <c r="Z5" i="60"/>
  <c r="X6" i="60"/>
  <c r="Y6" i="60"/>
  <c r="Z6" i="60"/>
  <c r="X7" i="60"/>
  <c r="Y7" i="60"/>
  <c r="Z7" i="60"/>
  <c r="X8" i="60"/>
  <c r="Y8" i="60"/>
  <c r="Z8" i="60"/>
  <c r="X14" i="60"/>
  <c r="Y13" i="60"/>
  <c r="Y14" i="60" s="1"/>
  <c r="Z13" i="60"/>
  <c r="Z4" i="60"/>
  <c r="Y4" i="60"/>
  <c r="X4" i="60"/>
  <c r="L4" i="60"/>
  <c r="P4" i="60"/>
  <c r="Q4" i="60"/>
  <c r="F4" i="60" s="1"/>
  <c r="M4" i="60"/>
  <c r="O4" i="60"/>
  <c r="E4" i="60" s="1"/>
  <c r="N4" i="60"/>
  <c r="D3" i="10"/>
  <c r="BS1019" i="13"/>
  <c r="BT1019" i="13"/>
  <c r="BS1020" i="13"/>
  <c r="BT1020" i="13"/>
  <c r="BS1021" i="13"/>
  <c r="BT1021" i="13"/>
  <c r="BS1022" i="13"/>
  <c r="BL1022" i="13" s="1"/>
  <c r="BT1022" i="13"/>
  <c r="BS1023" i="13"/>
  <c r="BT1023" i="13"/>
  <c r="BS1024" i="13"/>
  <c r="BT1024" i="13"/>
  <c r="BS1025" i="13"/>
  <c r="BT1025" i="13"/>
  <c r="BS1026" i="13"/>
  <c r="BT1026" i="13"/>
  <c r="BS1027" i="13"/>
  <c r="BT1027" i="13"/>
  <c r="BS1028" i="13"/>
  <c r="BT1028" i="13"/>
  <c r="BT1018" i="13"/>
  <c r="BS1018" i="13"/>
  <c r="BL1018" i="13" s="1"/>
  <c r="BS1008" i="13"/>
  <c r="BT1008" i="13"/>
  <c r="BS1009" i="13"/>
  <c r="BT1009" i="13"/>
  <c r="BS1010" i="13"/>
  <c r="BL1010" i="13" s="1"/>
  <c r="BT1010" i="13"/>
  <c r="BS1011" i="13"/>
  <c r="BT1011" i="13"/>
  <c r="BS1012" i="13"/>
  <c r="BT1012" i="13"/>
  <c r="BS1013" i="13"/>
  <c r="BT1013" i="13"/>
  <c r="BS1014" i="13"/>
  <c r="BL1014" i="13" s="1"/>
  <c r="BT1014" i="13"/>
  <c r="BS1015" i="13"/>
  <c r="BT1015" i="13"/>
  <c r="BS1016" i="13"/>
  <c r="BT1016" i="13"/>
  <c r="BS1017" i="13"/>
  <c r="BT1017" i="13"/>
  <c r="BT1007" i="13"/>
  <c r="BS1007" i="13"/>
  <c r="D4" i="60" l="1"/>
  <c r="F10" i="60"/>
  <c r="E10" i="60"/>
  <c r="D6" i="60"/>
  <c r="G5" i="60"/>
  <c r="I5" i="60"/>
  <c r="I7" i="60"/>
  <c r="H7" i="60"/>
  <c r="D8" i="60"/>
  <c r="D7" i="60"/>
  <c r="H8" i="60"/>
  <c r="H6" i="60"/>
  <c r="H5" i="60"/>
  <c r="G7" i="60"/>
  <c r="H4" i="60"/>
  <c r="C1139" i="59"/>
  <c r="C1107" i="59"/>
  <c r="C1060" i="59"/>
  <c r="C996" i="59"/>
  <c r="C883" i="59"/>
  <c r="C755" i="59"/>
  <c r="C609" i="59"/>
  <c r="C414" i="59"/>
  <c r="C1132" i="59"/>
  <c r="C1100" i="59"/>
  <c r="C1052" i="59"/>
  <c r="C987" i="59"/>
  <c r="C867" i="59"/>
  <c r="C739" i="59"/>
  <c r="C588" i="59"/>
  <c r="C377" i="59"/>
  <c r="C1123" i="59"/>
  <c r="C1091" i="59"/>
  <c r="C1028" i="59"/>
  <c r="C947" i="59"/>
  <c r="C819" i="59"/>
  <c r="C691" i="59"/>
  <c r="C524" i="59"/>
  <c r="C259" i="59"/>
  <c r="C1131" i="59"/>
  <c r="C1044" i="59"/>
  <c r="C851" i="59"/>
  <c r="C567" i="59"/>
  <c r="C1092" i="59"/>
  <c r="C1036" i="59"/>
  <c r="C545" i="59"/>
  <c r="C1148" i="59"/>
  <c r="C1116" i="59"/>
  <c r="C1084" i="59"/>
  <c r="C1020" i="59"/>
  <c r="C931" i="59"/>
  <c r="C803" i="59"/>
  <c r="C673" i="59"/>
  <c r="C500" i="59"/>
  <c r="C212" i="59"/>
  <c r="C1099" i="59"/>
  <c r="C340" i="59"/>
  <c r="C962" i="59"/>
  <c r="C303" i="59"/>
  <c r="C1147" i="59"/>
  <c r="C1115" i="59"/>
  <c r="C1076" i="59"/>
  <c r="C1012" i="59"/>
  <c r="C915" i="59"/>
  <c r="C787" i="59"/>
  <c r="C652" i="59"/>
  <c r="C470" i="59"/>
  <c r="C172" i="59"/>
  <c r="C976" i="59"/>
  <c r="C723" i="59"/>
  <c r="C1124" i="59"/>
  <c r="C835" i="59"/>
  <c r="C707" i="59"/>
  <c r="C1140" i="59"/>
  <c r="C1108" i="59"/>
  <c r="C1068" i="59"/>
  <c r="C1004" i="59"/>
  <c r="C899" i="59"/>
  <c r="C771" i="59"/>
  <c r="C631" i="59"/>
  <c r="C439" i="59"/>
  <c r="C91" i="59"/>
  <c r="C1083" i="59"/>
  <c r="C1059" i="59"/>
  <c r="C1027" i="59"/>
  <c r="C995" i="59"/>
  <c r="C946" i="59"/>
  <c r="C882" i="59"/>
  <c r="C818" i="59"/>
  <c r="C754" i="59"/>
  <c r="C690" i="59"/>
  <c r="C651" i="59"/>
  <c r="C566" i="59"/>
  <c r="C468" i="59"/>
  <c r="C339" i="59"/>
  <c r="C211" i="59"/>
  <c r="C1130" i="59"/>
  <c r="C1082" i="59"/>
  <c r="C1034" i="59"/>
  <c r="C985" i="59"/>
  <c r="C897" i="59"/>
  <c r="C753" i="59"/>
  <c r="C671" i="59"/>
  <c r="C564" i="59"/>
  <c r="C291" i="59"/>
  <c r="C1137" i="59"/>
  <c r="C1097" i="59"/>
  <c r="C1057" i="59"/>
  <c r="C1025" i="59"/>
  <c r="C1017" i="59"/>
  <c r="C1009" i="59"/>
  <c r="C956" i="59"/>
  <c r="C944" i="59"/>
  <c r="C928" i="59"/>
  <c r="C912" i="59"/>
  <c r="C896" i="59"/>
  <c r="C880" i="59"/>
  <c r="C864" i="59"/>
  <c r="C848" i="59"/>
  <c r="C832" i="59"/>
  <c r="C816" i="59"/>
  <c r="C800" i="59"/>
  <c r="C784" i="59"/>
  <c r="C768" i="59"/>
  <c r="C752" i="59"/>
  <c r="C736" i="59"/>
  <c r="C720" i="59"/>
  <c r="C704" i="59"/>
  <c r="C688" i="59"/>
  <c r="C670" i="59"/>
  <c r="C648" i="59"/>
  <c r="C627" i="59"/>
  <c r="C606" i="59"/>
  <c r="C584" i="59"/>
  <c r="C563" i="59"/>
  <c r="C542" i="59"/>
  <c r="C513" i="59"/>
  <c r="C489" i="59"/>
  <c r="C459" i="59"/>
  <c r="C428" i="59"/>
  <c r="C401" i="59"/>
  <c r="C364" i="59"/>
  <c r="C324" i="59"/>
  <c r="C287" i="59"/>
  <c r="C243" i="59"/>
  <c r="C196" i="59"/>
  <c r="C148" i="59"/>
  <c r="B3" i="59"/>
  <c r="C7" i="59"/>
  <c r="C15" i="59"/>
  <c r="C23" i="59"/>
  <c r="C31" i="59"/>
  <c r="C39" i="59"/>
  <c r="C47" i="59"/>
  <c r="C55" i="59"/>
  <c r="C63" i="59"/>
  <c r="C71" i="59"/>
  <c r="C79" i="59"/>
  <c r="C87" i="59"/>
  <c r="C95" i="59"/>
  <c r="C103" i="59"/>
  <c r="C111" i="59"/>
  <c r="C119" i="59"/>
  <c r="C127" i="59"/>
  <c r="C135" i="59"/>
  <c r="C143" i="59"/>
  <c r="C151" i="59"/>
  <c r="C8" i="59"/>
  <c r="C16" i="59"/>
  <c r="C24" i="59"/>
  <c r="C32" i="59"/>
  <c r="C40" i="59"/>
  <c r="C48" i="59"/>
  <c r="C56" i="59"/>
  <c r="C64" i="59"/>
  <c r="C72" i="59"/>
  <c r="C80" i="59"/>
  <c r="C88" i="59"/>
  <c r="C96" i="59"/>
  <c r="C104" i="59"/>
  <c r="C112" i="59"/>
  <c r="C120" i="59"/>
  <c r="C128" i="59"/>
  <c r="C136" i="59"/>
  <c r="C144" i="59"/>
  <c r="C152" i="59"/>
  <c r="C160" i="59"/>
  <c r="C168" i="59"/>
  <c r="C176" i="59"/>
  <c r="C184" i="59"/>
  <c r="C192" i="59"/>
  <c r="C200" i="59"/>
  <c r="C208" i="59"/>
  <c r="C216" i="59"/>
  <c r="C224" i="59"/>
  <c r="C232" i="59"/>
  <c r="C240" i="59"/>
  <c r="C248" i="59"/>
  <c r="C256" i="59"/>
  <c r="C264" i="59"/>
  <c r="C272" i="59"/>
  <c r="C280" i="59"/>
  <c r="C288" i="59"/>
  <c r="C296" i="59"/>
  <c r="C304" i="59"/>
  <c r="C312" i="59"/>
  <c r="C320" i="59"/>
  <c r="C328" i="59"/>
  <c r="C336" i="59"/>
  <c r="C344" i="59"/>
  <c r="C352" i="59"/>
  <c r="C360" i="59"/>
  <c r="C368" i="59"/>
  <c r="C376" i="59"/>
  <c r="C384" i="59"/>
  <c r="C392" i="59"/>
  <c r="C400" i="59"/>
  <c r="C408" i="59"/>
  <c r="C416" i="59"/>
  <c r="C9" i="59"/>
  <c r="C17" i="59"/>
  <c r="C25" i="59"/>
  <c r="C33" i="59"/>
  <c r="C41" i="59"/>
  <c r="C49" i="59"/>
  <c r="C57" i="59"/>
  <c r="C65" i="59"/>
  <c r="C73" i="59"/>
  <c r="C81" i="59"/>
  <c r="C89" i="59"/>
  <c r="C97" i="59"/>
  <c r="C105" i="59"/>
  <c r="C113" i="59"/>
  <c r="C121" i="59"/>
  <c r="C129" i="59"/>
  <c r="C137" i="59"/>
  <c r="C145" i="59"/>
  <c r="C153" i="59"/>
  <c r="C161" i="59"/>
  <c r="C169" i="59"/>
  <c r="C177" i="59"/>
  <c r="C185" i="59"/>
  <c r="C193" i="59"/>
  <c r="C201" i="59"/>
  <c r="C209" i="59"/>
  <c r="C217" i="59"/>
  <c r="C225" i="59"/>
  <c r="C233" i="59"/>
  <c r="C241" i="59"/>
  <c r="C249" i="59"/>
  <c r="C257" i="59"/>
  <c r="C265" i="59"/>
  <c r="C273" i="59"/>
  <c r="C281" i="59"/>
  <c r="C289" i="59"/>
  <c r="C297" i="59"/>
  <c r="C305" i="59"/>
  <c r="C313" i="59"/>
  <c r="C321" i="59"/>
  <c r="C329" i="59"/>
  <c r="C337" i="59"/>
  <c r="C10" i="59"/>
  <c r="C18" i="59"/>
  <c r="C26" i="59"/>
  <c r="C34" i="59"/>
  <c r="C42" i="59"/>
  <c r="C50" i="59"/>
  <c r="C58" i="59"/>
  <c r="C66" i="59"/>
  <c r="C74" i="59"/>
  <c r="C82" i="59"/>
  <c r="C90" i="59"/>
  <c r="C98" i="59"/>
  <c r="C106" i="59"/>
  <c r="C114" i="59"/>
  <c r="C122" i="59"/>
  <c r="C130" i="59"/>
  <c r="C138" i="59"/>
  <c r="C146" i="59"/>
  <c r="C154" i="59"/>
  <c r="C162" i="59"/>
  <c r="C170" i="59"/>
  <c r="C178" i="59"/>
  <c r="C186" i="59"/>
  <c r="C194" i="59"/>
  <c r="C202" i="59"/>
  <c r="C210" i="59"/>
  <c r="C218" i="59"/>
  <c r="C226" i="59"/>
  <c r="C234" i="59"/>
  <c r="C242" i="59"/>
  <c r="C250" i="59"/>
  <c r="C258" i="59"/>
  <c r="C266" i="59"/>
  <c r="C274" i="59"/>
  <c r="C282" i="59"/>
  <c r="C290" i="59"/>
  <c r="C298" i="59"/>
  <c r="C306" i="59"/>
  <c r="C314" i="59"/>
  <c r="C322" i="59"/>
  <c r="C330" i="59"/>
  <c r="C338" i="59"/>
  <c r="C346" i="59"/>
  <c r="C354" i="59"/>
  <c r="C362" i="59"/>
  <c r="C370" i="59"/>
  <c r="C378" i="59"/>
  <c r="C386" i="59"/>
  <c r="C394" i="59"/>
  <c r="C402" i="59"/>
  <c r="C410" i="59"/>
  <c r="C418" i="59"/>
  <c r="C426" i="59"/>
  <c r="C434" i="59"/>
  <c r="C442" i="59"/>
  <c r="C450" i="59"/>
  <c r="C458" i="59"/>
  <c r="C466" i="59"/>
  <c r="C474" i="59"/>
  <c r="C482" i="59"/>
  <c r="C490" i="59"/>
  <c r="C498" i="59"/>
  <c r="C506" i="59"/>
  <c r="C514" i="59"/>
  <c r="C522" i="59"/>
  <c r="C530" i="59"/>
  <c r="C538" i="59"/>
  <c r="C546" i="59"/>
  <c r="C554" i="59"/>
  <c r="C562" i="59"/>
  <c r="C570" i="59"/>
  <c r="C578" i="59"/>
  <c r="C586" i="59"/>
  <c r="C594" i="59"/>
  <c r="C602" i="59"/>
  <c r="C610" i="59"/>
  <c r="C618" i="59"/>
  <c r="C626" i="59"/>
  <c r="C634" i="59"/>
  <c r="C642" i="59"/>
  <c r="C650" i="59"/>
  <c r="C658" i="59"/>
  <c r="C666" i="59"/>
  <c r="C674" i="59"/>
  <c r="C5" i="59"/>
  <c r="C13" i="59"/>
  <c r="C21" i="59"/>
  <c r="C29" i="59"/>
  <c r="C37" i="59"/>
  <c r="C45" i="59"/>
  <c r="C53" i="59"/>
  <c r="C61" i="59"/>
  <c r="C69" i="59"/>
  <c r="C77" i="59"/>
  <c r="C85" i="59"/>
  <c r="C93" i="59"/>
  <c r="C101" i="59"/>
  <c r="C109" i="59"/>
  <c r="C117" i="59"/>
  <c r="C125" i="59"/>
  <c r="C133" i="59"/>
  <c r="C141" i="59"/>
  <c r="C149" i="59"/>
  <c r="C157" i="59"/>
  <c r="C165" i="59"/>
  <c r="C173" i="59"/>
  <c r="C181" i="59"/>
  <c r="C189" i="59"/>
  <c r="C197" i="59"/>
  <c r="C205" i="59"/>
  <c r="C213" i="59"/>
  <c r="C221" i="59"/>
  <c r="C229" i="59"/>
  <c r="C237" i="59"/>
  <c r="C245" i="59"/>
  <c r="C253" i="59"/>
  <c r="C261" i="59"/>
  <c r="C269" i="59"/>
  <c r="C277" i="59"/>
  <c r="C285" i="59"/>
  <c r="C293" i="59"/>
  <c r="C301" i="59"/>
  <c r="C309" i="59"/>
  <c r="C317" i="59"/>
  <c r="C325" i="59"/>
  <c r="C333" i="59"/>
  <c r="C341" i="59"/>
  <c r="C349" i="59"/>
  <c r="C357" i="59"/>
  <c r="C365" i="59"/>
  <c r="C373" i="59"/>
  <c r="C381" i="59"/>
  <c r="C389" i="59"/>
  <c r="C397" i="59"/>
  <c r="C405" i="59"/>
  <c r="C413" i="59"/>
  <c r="C421" i="59"/>
  <c r="C429" i="59"/>
  <c r="C437" i="59"/>
  <c r="C445" i="59"/>
  <c r="C453" i="59"/>
  <c r="C461" i="59"/>
  <c r="C469" i="59"/>
  <c r="C477" i="59"/>
  <c r="C485" i="59"/>
  <c r="C493" i="59"/>
  <c r="C501" i="59"/>
  <c r="C509" i="59"/>
  <c r="C517" i="59"/>
  <c r="C525" i="59"/>
  <c r="C533" i="59"/>
  <c r="C541" i="59"/>
  <c r="C549" i="59"/>
  <c r="C557" i="59"/>
  <c r="C565" i="59"/>
  <c r="C573" i="59"/>
  <c r="C581" i="59"/>
  <c r="C589" i="59"/>
  <c r="C597" i="59"/>
  <c r="C605" i="59"/>
  <c r="C613" i="59"/>
  <c r="C621" i="59"/>
  <c r="C629" i="59"/>
  <c r="C637" i="59"/>
  <c r="C645" i="59"/>
  <c r="C653" i="59"/>
  <c r="C661" i="59"/>
  <c r="C669" i="59"/>
  <c r="C677" i="59"/>
  <c r="C6" i="59"/>
  <c r="C14" i="59"/>
  <c r="C22" i="59"/>
  <c r="C30" i="59"/>
  <c r="C38" i="59"/>
  <c r="C46" i="59"/>
  <c r="C54" i="59"/>
  <c r="C62" i="59"/>
  <c r="C70" i="59"/>
  <c r="C78" i="59"/>
  <c r="C86" i="59"/>
  <c r="C94" i="59"/>
  <c r="C102" i="59"/>
  <c r="C110" i="59"/>
  <c r="C118" i="59"/>
  <c r="C126" i="59"/>
  <c r="C134" i="59"/>
  <c r="C142" i="59"/>
  <c r="C150" i="59"/>
  <c r="C158" i="59"/>
  <c r="C166" i="59"/>
  <c r="C174" i="59"/>
  <c r="C182" i="59"/>
  <c r="C35" i="59"/>
  <c r="C67" i="59"/>
  <c r="C99" i="59"/>
  <c r="C131" i="59"/>
  <c r="C159" i="59"/>
  <c r="C180" i="59"/>
  <c r="C198" i="59"/>
  <c r="C214" i="59"/>
  <c r="C230" i="59"/>
  <c r="C246" i="59"/>
  <c r="C262" i="59"/>
  <c r="C278" i="59"/>
  <c r="C294" i="59"/>
  <c r="C310" i="59"/>
  <c r="C326" i="59"/>
  <c r="C342" i="59"/>
  <c r="C355" i="59"/>
  <c r="C367" i="59"/>
  <c r="C380" i="59"/>
  <c r="C393" i="59"/>
  <c r="C406" i="59"/>
  <c r="C419" i="59"/>
  <c r="C430" i="59"/>
  <c r="C440" i="59"/>
  <c r="C451" i="59"/>
  <c r="C462" i="59"/>
  <c r="C472" i="59"/>
  <c r="C483" i="59"/>
  <c r="C494" i="59"/>
  <c r="C504" i="59"/>
  <c r="C515" i="59"/>
  <c r="C526" i="59"/>
  <c r="C536" i="59"/>
  <c r="C547" i="59"/>
  <c r="C558" i="59"/>
  <c r="C568" i="59"/>
  <c r="C579" i="59"/>
  <c r="C590" i="59"/>
  <c r="C600" i="59"/>
  <c r="C611" i="59"/>
  <c r="C622" i="59"/>
  <c r="C632" i="59"/>
  <c r="C643" i="59"/>
  <c r="C654" i="59"/>
  <c r="C664" i="59"/>
  <c r="C675" i="59"/>
  <c r="C684" i="59"/>
  <c r="C692" i="59"/>
  <c r="C700" i="59"/>
  <c r="C708" i="59"/>
  <c r="C716" i="59"/>
  <c r="C724" i="59"/>
  <c r="C732" i="59"/>
  <c r="C740" i="59"/>
  <c r="C748" i="59"/>
  <c r="C756" i="59"/>
  <c r="C764" i="59"/>
  <c r="C772" i="59"/>
  <c r="C780" i="59"/>
  <c r="C788" i="59"/>
  <c r="C796" i="59"/>
  <c r="C804" i="59"/>
  <c r="C812" i="59"/>
  <c r="C820" i="59"/>
  <c r="C828" i="59"/>
  <c r="C836" i="59"/>
  <c r="C844" i="59"/>
  <c r="C852" i="59"/>
  <c r="C860" i="59"/>
  <c r="C868" i="59"/>
  <c r="C876" i="59"/>
  <c r="C884" i="59"/>
  <c r="C892" i="59"/>
  <c r="C900" i="59"/>
  <c r="C908" i="59"/>
  <c r="C916" i="59"/>
  <c r="C924" i="59"/>
  <c r="C932" i="59"/>
  <c r="C940" i="59"/>
  <c r="C948" i="59"/>
  <c r="C4" i="59"/>
  <c r="C36" i="59"/>
  <c r="C68" i="59"/>
  <c r="C100" i="59"/>
  <c r="C132" i="59"/>
  <c r="C163" i="59"/>
  <c r="C183" i="59"/>
  <c r="C199" i="59"/>
  <c r="C215" i="59"/>
  <c r="C231" i="59"/>
  <c r="C247" i="59"/>
  <c r="C263" i="59"/>
  <c r="C279" i="59"/>
  <c r="C295" i="59"/>
  <c r="C311" i="59"/>
  <c r="C327" i="59"/>
  <c r="C343" i="59"/>
  <c r="C356" i="59"/>
  <c r="C369" i="59"/>
  <c r="C382" i="59"/>
  <c r="C395" i="59"/>
  <c r="C407" i="59"/>
  <c r="C420" i="59"/>
  <c r="C431" i="59"/>
  <c r="C441" i="59"/>
  <c r="C452" i="59"/>
  <c r="C463" i="59"/>
  <c r="C473" i="59"/>
  <c r="C484" i="59"/>
  <c r="C495" i="59"/>
  <c r="C505" i="59"/>
  <c r="C516" i="59"/>
  <c r="C527" i="59"/>
  <c r="C537" i="59"/>
  <c r="C548" i="59"/>
  <c r="C559" i="59"/>
  <c r="C569" i="59"/>
  <c r="C580" i="59"/>
  <c r="C591" i="59"/>
  <c r="C601" i="59"/>
  <c r="C612" i="59"/>
  <c r="C623" i="59"/>
  <c r="C633" i="59"/>
  <c r="C644" i="59"/>
  <c r="C655" i="59"/>
  <c r="C665" i="59"/>
  <c r="C676" i="59"/>
  <c r="C685" i="59"/>
  <c r="C693" i="59"/>
  <c r="C701" i="59"/>
  <c r="C709" i="59"/>
  <c r="C717" i="59"/>
  <c r="C725" i="59"/>
  <c r="C733" i="59"/>
  <c r="C741" i="59"/>
  <c r="C749" i="59"/>
  <c r="C757" i="59"/>
  <c r="C765" i="59"/>
  <c r="C773" i="59"/>
  <c r="C781" i="59"/>
  <c r="C789" i="59"/>
  <c r="C797" i="59"/>
  <c r="C805" i="59"/>
  <c r="C813" i="59"/>
  <c r="C821" i="59"/>
  <c r="C829" i="59"/>
  <c r="C837" i="59"/>
  <c r="C845" i="59"/>
  <c r="C853" i="59"/>
  <c r="C861" i="59"/>
  <c r="C869" i="59"/>
  <c r="C877" i="59"/>
  <c r="C885" i="59"/>
  <c r="C893" i="59"/>
  <c r="C901" i="59"/>
  <c r="C909" i="59"/>
  <c r="C917" i="59"/>
  <c r="C925" i="59"/>
  <c r="C933" i="59"/>
  <c r="C941" i="59"/>
  <c r="C949" i="59"/>
  <c r="C957" i="59"/>
  <c r="C965" i="59"/>
  <c r="C973" i="59"/>
  <c r="C981" i="59"/>
  <c r="C11" i="59"/>
  <c r="C43" i="59"/>
  <c r="C75" i="59"/>
  <c r="C107" i="59"/>
  <c r="C139" i="59"/>
  <c r="C164" i="59"/>
  <c r="C187" i="59"/>
  <c r="C203" i="59"/>
  <c r="C219" i="59"/>
  <c r="C235" i="59"/>
  <c r="C251" i="59"/>
  <c r="C267" i="59"/>
  <c r="C283" i="59"/>
  <c r="C299" i="59"/>
  <c r="C315" i="59"/>
  <c r="C331" i="59"/>
  <c r="C345" i="59"/>
  <c r="C358" i="59"/>
  <c r="C371" i="59"/>
  <c r="C383" i="59"/>
  <c r="C396" i="59"/>
  <c r="C409" i="59"/>
  <c r="C422" i="59"/>
  <c r="C432" i="59"/>
  <c r="C443" i="59"/>
  <c r="C454" i="59"/>
  <c r="C464" i="59"/>
  <c r="C475" i="59"/>
  <c r="C486" i="59"/>
  <c r="C496" i="59"/>
  <c r="C507" i="59"/>
  <c r="C518" i="59"/>
  <c r="C528" i="59"/>
  <c r="C539" i="59"/>
  <c r="C550" i="59"/>
  <c r="C560" i="59"/>
  <c r="C571" i="59"/>
  <c r="C582" i="59"/>
  <c r="C592" i="59"/>
  <c r="C603" i="59"/>
  <c r="C614" i="59"/>
  <c r="C624" i="59"/>
  <c r="C635" i="59"/>
  <c r="C646" i="59"/>
  <c r="C656" i="59"/>
  <c r="C667" i="59"/>
  <c r="C678" i="59"/>
  <c r="C686" i="59"/>
  <c r="C694" i="59"/>
  <c r="C702" i="59"/>
  <c r="C710" i="59"/>
  <c r="C718" i="59"/>
  <c r="C726" i="59"/>
  <c r="C734" i="59"/>
  <c r="C742" i="59"/>
  <c r="C750" i="59"/>
  <c r="C758" i="59"/>
  <c r="C766" i="59"/>
  <c r="C774" i="59"/>
  <c r="C782" i="59"/>
  <c r="C790" i="59"/>
  <c r="C798" i="59"/>
  <c r="C806" i="59"/>
  <c r="C814" i="59"/>
  <c r="C822" i="59"/>
  <c r="C830" i="59"/>
  <c r="C838" i="59"/>
  <c r="C846" i="59"/>
  <c r="C854" i="59"/>
  <c r="C862" i="59"/>
  <c r="C870" i="59"/>
  <c r="C878" i="59"/>
  <c r="C886" i="59"/>
  <c r="C894" i="59"/>
  <c r="C902" i="59"/>
  <c r="C910" i="59"/>
  <c r="C918" i="59"/>
  <c r="C926" i="59"/>
  <c r="C934" i="59"/>
  <c r="C942" i="59"/>
  <c r="C950" i="59"/>
  <c r="C958" i="59"/>
  <c r="C966" i="59"/>
  <c r="C974" i="59"/>
  <c r="C982" i="59"/>
  <c r="C12" i="59"/>
  <c r="C44" i="59"/>
  <c r="C76" i="59"/>
  <c r="C108" i="59"/>
  <c r="C140" i="59"/>
  <c r="C167" i="59"/>
  <c r="C188" i="59"/>
  <c r="C204" i="59"/>
  <c r="C220" i="59"/>
  <c r="C236" i="59"/>
  <c r="C252" i="59"/>
  <c r="C268" i="59"/>
  <c r="C284" i="59"/>
  <c r="C300" i="59"/>
  <c r="C316" i="59"/>
  <c r="C332" i="59"/>
  <c r="C347" i="59"/>
  <c r="C359" i="59"/>
  <c r="C372" i="59"/>
  <c r="C385" i="59"/>
  <c r="C398" i="59"/>
  <c r="C411" i="59"/>
  <c r="C423" i="59"/>
  <c r="C433" i="59"/>
  <c r="C444" i="59"/>
  <c r="C455" i="59"/>
  <c r="C465" i="59"/>
  <c r="C476" i="59"/>
  <c r="C487" i="59"/>
  <c r="C497" i="59"/>
  <c r="C508" i="59"/>
  <c r="C519" i="59"/>
  <c r="C529" i="59"/>
  <c r="C540" i="59"/>
  <c r="C551" i="59"/>
  <c r="C561" i="59"/>
  <c r="C572" i="59"/>
  <c r="C583" i="59"/>
  <c r="C593" i="59"/>
  <c r="C604" i="59"/>
  <c r="C615" i="59"/>
  <c r="C625" i="59"/>
  <c r="C636" i="59"/>
  <c r="C647" i="59"/>
  <c r="C657" i="59"/>
  <c r="C668" i="59"/>
  <c r="C679" i="59"/>
  <c r="C687" i="59"/>
  <c r="C695" i="59"/>
  <c r="C703" i="59"/>
  <c r="C711" i="59"/>
  <c r="C719" i="59"/>
  <c r="C727" i="59"/>
  <c r="C735" i="59"/>
  <c r="C743" i="59"/>
  <c r="C751" i="59"/>
  <c r="C759" i="59"/>
  <c r="C767" i="59"/>
  <c r="C775" i="59"/>
  <c r="C783" i="59"/>
  <c r="C791" i="59"/>
  <c r="C799" i="59"/>
  <c r="C807" i="59"/>
  <c r="C815" i="59"/>
  <c r="C823" i="59"/>
  <c r="C831" i="59"/>
  <c r="C839" i="59"/>
  <c r="C847" i="59"/>
  <c r="C855" i="59"/>
  <c r="C863" i="59"/>
  <c r="C871" i="59"/>
  <c r="C879" i="59"/>
  <c r="C887" i="59"/>
  <c r="C895" i="59"/>
  <c r="C903" i="59"/>
  <c r="C911" i="59"/>
  <c r="C919" i="59"/>
  <c r="C927" i="59"/>
  <c r="C935" i="59"/>
  <c r="C943" i="59"/>
  <c r="C951" i="59"/>
  <c r="C959" i="59"/>
  <c r="C967" i="59"/>
  <c r="C975" i="59"/>
  <c r="C983" i="59"/>
  <c r="C991" i="59"/>
  <c r="C19" i="59"/>
  <c r="C51" i="59"/>
  <c r="C83" i="59"/>
  <c r="C115" i="59"/>
  <c r="C147" i="59"/>
  <c r="C171" i="59"/>
  <c r="C190" i="59"/>
  <c r="C206" i="59"/>
  <c r="C222" i="59"/>
  <c r="C238" i="59"/>
  <c r="C254" i="59"/>
  <c r="C270" i="59"/>
  <c r="C286" i="59"/>
  <c r="C302" i="59"/>
  <c r="C318" i="59"/>
  <c r="C334" i="59"/>
  <c r="C348" i="59"/>
  <c r="C361" i="59"/>
  <c r="C374" i="59"/>
  <c r="C387" i="59"/>
  <c r="C399" i="59"/>
  <c r="C412" i="59"/>
  <c r="C424" i="59"/>
  <c r="C435" i="59"/>
  <c r="C446" i="59"/>
  <c r="C456" i="59"/>
  <c r="C467" i="59"/>
  <c r="C478" i="59"/>
  <c r="C488" i="59"/>
  <c r="C499" i="59"/>
  <c r="C510" i="59"/>
  <c r="C520" i="59"/>
  <c r="C1098" i="59"/>
  <c r="C1050" i="59"/>
  <c r="C1010" i="59"/>
  <c r="C994" i="59"/>
  <c r="C913" i="59"/>
  <c r="C865" i="59"/>
  <c r="C817" i="59"/>
  <c r="C721" i="59"/>
  <c r="C628" i="59"/>
  <c r="C521" i="59"/>
  <c r="C403" i="59"/>
  <c r="C335" i="59"/>
  <c r="C60" i="59"/>
  <c r="C1113" i="59"/>
  <c r="C1073" i="59"/>
  <c r="C1041" i="59"/>
  <c r="C970" i="59"/>
  <c r="C1152" i="59"/>
  <c r="C1144" i="59"/>
  <c r="C1136" i="59"/>
  <c r="C1128" i="59"/>
  <c r="C1120" i="59"/>
  <c r="C1112" i="59"/>
  <c r="C1104" i="59"/>
  <c r="C1096" i="59"/>
  <c r="C1088" i="59"/>
  <c r="C1080" i="59"/>
  <c r="C1072" i="59"/>
  <c r="C1064" i="59"/>
  <c r="C1056" i="59"/>
  <c r="C1048" i="59"/>
  <c r="C1040" i="59"/>
  <c r="C1032" i="59"/>
  <c r="C1024" i="59"/>
  <c r="C1016" i="59"/>
  <c r="C1008" i="59"/>
  <c r="C1000" i="59"/>
  <c r="C992" i="59"/>
  <c r="C980" i="59"/>
  <c r="C969" i="59"/>
  <c r="C955" i="59"/>
  <c r="C939" i="59"/>
  <c r="C923" i="59"/>
  <c r="C907" i="59"/>
  <c r="C891" i="59"/>
  <c r="C875" i="59"/>
  <c r="C859" i="59"/>
  <c r="C843" i="59"/>
  <c r="C827" i="59"/>
  <c r="C811" i="59"/>
  <c r="C795" i="59"/>
  <c r="C779" i="59"/>
  <c r="C763" i="59"/>
  <c r="C747" i="59"/>
  <c r="C731" i="59"/>
  <c r="C715" i="59"/>
  <c r="C699" i="59"/>
  <c r="C683" i="59"/>
  <c r="C663" i="59"/>
  <c r="C641" i="59"/>
  <c r="C620" i="59"/>
  <c r="C599" i="59"/>
  <c r="C577" i="59"/>
  <c r="C556" i="59"/>
  <c r="C535" i="59"/>
  <c r="C512" i="59"/>
  <c r="C481" i="59"/>
  <c r="C457" i="59"/>
  <c r="C427" i="59"/>
  <c r="C391" i="59"/>
  <c r="C363" i="59"/>
  <c r="C323" i="59"/>
  <c r="C276" i="59"/>
  <c r="C239" i="59"/>
  <c r="C195" i="59"/>
  <c r="C124" i="59"/>
  <c r="C52" i="59"/>
  <c r="C1075" i="59"/>
  <c r="C1035" i="59"/>
  <c r="C1003" i="59"/>
  <c r="C961" i="59"/>
  <c r="C898" i="59"/>
  <c r="C850" i="59"/>
  <c r="C786" i="59"/>
  <c r="C722" i="59"/>
  <c r="C630" i="59"/>
  <c r="C544" i="59"/>
  <c r="C375" i="59"/>
  <c r="C156" i="59"/>
  <c r="C1138" i="59"/>
  <c r="C1114" i="59"/>
  <c r="C1090" i="59"/>
  <c r="C1058" i="59"/>
  <c r="C1026" i="59"/>
  <c r="C960" i="59"/>
  <c r="C881" i="59"/>
  <c r="C769" i="59"/>
  <c r="C689" i="59"/>
  <c r="C585" i="59"/>
  <c r="C460" i="59"/>
  <c r="C244" i="59"/>
  <c r="C1145" i="59"/>
  <c r="C1105" i="59"/>
  <c r="C1065" i="59"/>
  <c r="C984" i="59"/>
  <c r="C1151" i="59"/>
  <c r="C1143" i="59"/>
  <c r="C1135" i="59"/>
  <c r="C1127" i="59"/>
  <c r="C1119" i="59"/>
  <c r="C1111" i="59"/>
  <c r="C1103" i="59"/>
  <c r="C1095" i="59"/>
  <c r="C1087" i="59"/>
  <c r="C1079" i="59"/>
  <c r="C1071" i="59"/>
  <c r="C1063" i="59"/>
  <c r="C1055" i="59"/>
  <c r="C1047" i="59"/>
  <c r="C1039" i="59"/>
  <c r="C1031" i="59"/>
  <c r="C1023" i="59"/>
  <c r="C1015" i="59"/>
  <c r="C1007" i="59"/>
  <c r="C999" i="59"/>
  <c r="C990" i="59"/>
  <c r="C979" i="59"/>
  <c r="C968" i="59"/>
  <c r="C954" i="59"/>
  <c r="C938" i="59"/>
  <c r="C922" i="59"/>
  <c r="C906" i="59"/>
  <c r="C890" i="59"/>
  <c r="C874" i="59"/>
  <c r="C858" i="59"/>
  <c r="C842" i="59"/>
  <c r="C826" i="59"/>
  <c r="C810" i="59"/>
  <c r="C794" i="59"/>
  <c r="C778" i="59"/>
  <c r="C762" i="59"/>
  <c r="C746" i="59"/>
  <c r="C730" i="59"/>
  <c r="C714" i="59"/>
  <c r="C698" i="59"/>
  <c r="C682" i="59"/>
  <c r="C662" i="59"/>
  <c r="C640" i="59"/>
  <c r="C619" i="59"/>
  <c r="C598" i="59"/>
  <c r="C576" i="59"/>
  <c r="C555" i="59"/>
  <c r="C534" i="59"/>
  <c r="C511" i="59"/>
  <c r="C480" i="59"/>
  <c r="C449" i="59"/>
  <c r="C425" i="59"/>
  <c r="C390" i="59"/>
  <c r="C353" i="59"/>
  <c r="C319" i="59"/>
  <c r="C275" i="59"/>
  <c r="C228" i="59"/>
  <c r="C191" i="59"/>
  <c r="C123" i="59"/>
  <c r="C28" i="59"/>
  <c r="C1067" i="59"/>
  <c r="C1043" i="59"/>
  <c r="C1019" i="59"/>
  <c r="C986" i="59"/>
  <c r="C930" i="59"/>
  <c r="C866" i="59"/>
  <c r="C802" i="59"/>
  <c r="C738" i="59"/>
  <c r="C672" i="59"/>
  <c r="C587" i="59"/>
  <c r="C492" i="59"/>
  <c r="C438" i="59"/>
  <c r="C292" i="59"/>
  <c r="C255" i="59"/>
  <c r="C1146" i="59"/>
  <c r="C1106" i="59"/>
  <c r="C1074" i="59"/>
  <c r="C1042" i="59"/>
  <c r="C1002" i="59"/>
  <c r="C971" i="59"/>
  <c r="C929" i="59"/>
  <c r="C833" i="59"/>
  <c r="C801" i="59"/>
  <c r="C737" i="59"/>
  <c r="C649" i="59"/>
  <c r="C543" i="59"/>
  <c r="C436" i="59"/>
  <c r="C366" i="59"/>
  <c r="C155" i="59"/>
  <c r="C1153" i="59"/>
  <c r="C1121" i="59"/>
  <c r="C1081" i="59"/>
  <c r="C1033" i="59"/>
  <c r="C993" i="59"/>
  <c r="C1150" i="59"/>
  <c r="C1142" i="59"/>
  <c r="C1134" i="59"/>
  <c r="C1126" i="59"/>
  <c r="C1118" i="59"/>
  <c r="C1110" i="59"/>
  <c r="C1102" i="59"/>
  <c r="C1094" i="59"/>
  <c r="C1086" i="59"/>
  <c r="C1078" i="59"/>
  <c r="C1070" i="59"/>
  <c r="C1062" i="59"/>
  <c r="C1054" i="59"/>
  <c r="C1046" i="59"/>
  <c r="C1038" i="59"/>
  <c r="C1030" i="59"/>
  <c r="C1022" i="59"/>
  <c r="C1014" i="59"/>
  <c r="C1006" i="59"/>
  <c r="C998" i="59"/>
  <c r="C989" i="59"/>
  <c r="C978" i="59"/>
  <c r="C964" i="59"/>
  <c r="C953" i="59"/>
  <c r="C937" i="59"/>
  <c r="C921" i="59"/>
  <c r="C905" i="59"/>
  <c r="C889" i="59"/>
  <c r="C873" i="59"/>
  <c r="C857" i="59"/>
  <c r="C841" i="59"/>
  <c r="C825" i="59"/>
  <c r="C809" i="59"/>
  <c r="C793" i="59"/>
  <c r="C777" i="59"/>
  <c r="C761" i="59"/>
  <c r="C745" i="59"/>
  <c r="C729" i="59"/>
  <c r="C713" i="59"/>
  <c r="C697" i="59"/>
  <c r="C681" i="59"/>
  <c r="C660" i="59"/>
  <c r="C639" i="59"/>
  <c r="C617" i="59"/>
  <c r="C596" i="59"/>
  <c r="C575" i="59"/>
  <c r="C553" i="59"/>
  <c r="C532" i="59"/>
  <c r="C503" i="59"/>
  <c r="C479" i="59"/>
  <c r="C448" i="59"/>
  <c r="C417" i="59"/>
  <c r="C388" i="59"/>
  <c r="C351" i="59"/>
  <c r="C308" i="59"/>
  <c r="C271" i="59"/>
  <c r="C227" i="59"/>
  <c r="C179" i="59"/>
  <c r="C116" i="59"/>
  <c r="C27" i="59"/>
  <c r="C1051" i="59"/>
  <c r="C1011" i="59"/>
  <c r="C972" i="59"/>
  <c r="C914" i="59"/>
  <c r="C834" i="59"/>
  <c r="C770" i="59"/>
  <c r="C706" i="59"/>
  <c r="C608" i="59"/>
  <c r="C523" i="59"/>
  <c r="C404" i="59"/>
  <c r="C84" i="59"/>
  <c r="C1122" i="59"/>
  <c r="C1066" i="59"/>
  <c r="C1018" i="59"/>
  <c r="C945" i="59"/>
  <c r="C849" i="59"/>
  <c r="C785" i="59"/>
  <c r="C705" i="59"/>
  <c r="C607" i="59"/>
  <c r="C491" i="59"/>
  <c r="C207" i="59"/>
  <c r="C1129" i="59"/>
  <c r="C1089" i="59"/>
  <c r="C1049" i="59"/>
  <c r="C1001" i="59"/>
  <c r="C1149" i="59"/>
  <c r="C1141" i="59"/>
  <c r="C1133" i="59"/>
  <c r="C1125" i="59"/>
  <c r="C1117" i="59"/>
  <c r="C1109" i="59"/>
  <c r="C1101" i="59"/>
  <c r="C1093" i="59"/>
  <c r="C1085" i="59"/>
  <c r="C1077" i="59"/>
  <c r="C1069" i="59"/>
  <c r="C1061" i="59"/>
  <c r="C1053" i="59"/>
  <c r="C1045" i="59"/>
  <c r="C1037" i="59"/>
  <c r="C1029" i="59"/>
  <c r="C1021" i="59"/>
  <c r="C1013" i="59"/>
  <c r="C1005" i="59"/>
  <c r="C997" i="59"/>
  <c r="C988" i="59"/>
  <c r="C977" i="59"/>
  <c r="C963" i="59"/>
  <c r="C952" i="59"/>
  <c r="C936" i="59"/>
  <c r="C920" i="59"/>
  <c r="C904" i="59"/>
  <c r="C888" i="59"/>
  <c r="C872" i="59"/>
  <c r="C856" i="59"/>
  <c r="C840" i="59"/>
  <c r="C824" i="59"/>
  <c r="C808" i="59"/>
  <c r="C792" i="59"/>
  <c r="C776" i="59"/>
  <c r="C760" i="59"/>
  <c r="C744" i="59"/>
  <c r="C728" i="59"/>
  <c r="C712" i="59"/>
  <c r="C696" i="59"/>
  <c r="C680" i="59"/>
  <c r="C659" i="59"/>
  <c r="C638" i="59"/>
  <c r="C616" i="59"/>
  <c r="C595" i="59"/>
  <c r="C574" i="59"/>
  <c r="C552" i="59"/>
  <c r="C531" i="59"/>
  <c r="C502" i="59"/>
  <c r="C471" i="59"/>
  <c r="C447" i="59"/>
  <c r="C415" i="59"/>
  <c r="C379" i="59"/>
  <c r="C350" i="59"/>
  <c r="C307" i="59"/>
  <c r="C260" i="59"/>
  <c r="C223" i="59"/>
  <c r="C175" i="59"/>
  <c r="C92" i="59"/>
  <c r="C20" i="59"/>
  <c r="I6" i="60"/>
  <c r="G8" i="60"/>
  <c r="G4" i="60"/>
  <c r="G3" i="59" l="1"/>
  <c r="F3" i="59"/>
  <c r="E3" i="59"/>
  <c r="C3" i="59"/>
  <c r="D3" i="59"/>
  <c r="BY970" i="13" l="1"/>
  <c r="C4" i="10" l="1"/>
  <c r="C5"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 i="10"/>
  <c r="C34" i="10" l="1"/>
  <c r="J42" i="10"/>
  <c r="J41" i="10"/>
  <c r="J40" i="10"/>
  <c r="J39" i="10"/>
  <c r="J38" i="10"/>
  <c r="J37" i="10"/>
  <c r="BS1145" i="13"/>
  <c r="BS1144" i="13"/>
  <c r="BS1143" i="13"/>
  <c r="BS1142" i="13"/>
  <c r="BS1141" i="13"/>
  <c r="BS1140" i="13"/>
  <c r="BS1139" i="13"/>
  <c r="BS1138" i="13"/>
  <c r="BS1137" i="13"/>
  <c r="BS1136" i="13"/>
  <c r="BS1135" i="13"/>
  <c r="BL1135" i="13" s="1"/>
  <c r="BS1134" i="13"/>
  <c r="BL1134" i="13" s="1"/>
  <c r="BS1133" i="13"/>
  <c r="BL1133" i="13" s="1"/>
  <c r="BS1132" i="13"/>
  <c r="BL1132" i="13" s="1"/>
  <c r="BS1131" i="13"/>
  <c r="BL1131" i="13" s="1"/>
  <c r="BS1130" i="13"/>
  <c r="BS1129" i="13"/>
  <c r="BS1128" i="13"/>
  <c r="BS1127" i="13"/>
  <c r="BS1126" i="13"/>
  <c r="BS1125" i="13"/>
  <c r="BS1124" i="13"/>
  <c r="BS1123" i="13"/>
  <c r="BS1114" i="13"/>
  <c r="BS1115" i="13"/>
  <c r="BS1116" i="13"/>
  <c r="BS1117" i="13"/>
  <c r="BS1118" i="13"/>
  <c r="BS1119" i="13"/>
  <c r="BS1120" i="13"/>
  <c r="BS1121" i="13"/>
  <c r="BS1122" i="13"/>
  <c r="BS1113" i="13"/>
  <c r="BS1112" i="13"/>
  <c r="BS1111" i="13"/>
  <c r="BS1110" i="13"/>
  <c r="BS1109" i="13"/>
  <c r="BS1108" i="13"/>
  <c r="BS1107" i="13"/>
  <c r="BS1106" i="13"/>
  <c r="BS1105" i="13"/>
  <c r="BS1104" i="13"/>
  <c r="BS1103" i="13"/>
  <c r="BS1102" i="13"/>
  <c r="BS1101" i="13"/>
  <c r="BS1100" i="13"/>
  <c r="BS1099" i="13"/>
  <c r="BS1098" i="13"/>
  <c r="BS1097" i="13"/>
  <c r="BS1096" i="13"/>
  <c r="BS1095" i="13"/>
  <c r="BS1094" i="13"/>
  <c r="BS1093" i="13"/>
  <c r="BS1092" i="13"/>
  <c r="BS1091" i="13"/>
  <c r="BS1090" i="13"/>
  <c r="BS1089" i="13"/>
  <c r="BS1088" i="13"/>
  <c r="BS1087" i="13"/>
  <c r="BS1086" i="13"/>
  <c r="BS1085" i="13"/>
  <c r="BS1084" i="13"/>
  <c r="BS1083" i="13"/>
  <c r="Q610" i="13" l="1"/>
  <c r="Q611" i="13"/>
  <c r="Q609" i="13"/>
  <c r="G6" i="60" l="1"/>
  <c r="D4" i="10"/>
  <c r="E4" i="10"/>
  <c r="F4" i="10"/>
  <c r="D5" i="10"/>
  <c r="E5" i="10"/>
  <c r="F5" i="10"/>
  <c r="D6" i="10"/>
  <c r="E6" i="10"/>
  <c r="F6" i="10"/>
  <c r="D7" i="10"/>
  <c r="E7" i="10"/>
  <c r="F7" i="10"/>
  <c r="D8" i="10"/>
  <c r="E8" i="10"/>
  <c r="F8" i="10"/>
  <c r="D9" i="10"/>
  <c r="E9" i="10"/>
  <c r="F9" i="10"/>
  <c r="D10" i="10"/>
  <c r="E10" i="10"/>
  <c r="F10" i="10"/>
  <c r="D11" i="10"/>
  <c r="E11" i="10"/>
  <c r="F11" i="10"/>
  <c r="D12" i="10"/>
  <c r="E12" i="10"/>
  <c r="F12" i="10"/>
  <c r="D13" i="10"/>
  <c r="E13" i="10"/>
  <c r="F13" i="10"/>
  <c r="D14" i="10"/>
  <c r="E14" i="10"/>
  <c r="F14" i="10"/>
  <c r="D15" i="10"/>
  <c r="E15" i="10"/>
  <c r="F15" i="10"/>
  <c r="D16" i="10"/>
  <c r="E16" i="10"/>
  <c r="F16" i="10"/>
  <c r="D17" i="10"/>
  <c r="E17" i="10"/>
  <c r="F17" i="10"/>
  <c r="D18" i="10"/>
  <c r="E18" i="10"/>
  <c r="F18" i="10"/>
  <c r="D19" i="10"/>
  <c r="E19" i="10"/>
  <c r="F19" i="10"/>
  <c r="D20" i="10"/>
  <c r="E20" i="10"/>
  <c r="F20" i="10"/>
  <c r="D21" i="10"/>
  <c r="E21" i="10"/>
  <c r="F21" i="10"/>
  <c r="D22" i="10"/>
  <c r="E22" i="10"/>
  <c r="F22" i="10"/>
  <c r="D23" i="10"/>
  <c r="E23" i="10"/>
  <c r="F23" i="10"/>
  <c r="D24" i="10"/>
  <c r="E24" i="10"/>
  <c r="F24" i="10"/>
  <c r="D25" i="10"/>
  <c r="E25" i="10"/>
  <c r="F25" i="10"/>
  <c r="D26" i="10"/>
  <c r="E26" i="10"/>
  <c r="F26" i="10"/>
  <c r="D27" i="10"/>
  <c r="E27" i="10"/>
  <c r="F27" i="10"/>
  <c r="D28" i="10"/>
  <c r="E28" i="10"/>
  <c r="F28" i="10"/>
  <c r="D29" i="10"/>
  <c r="E29" i="10"/>
  <c r="F29" i="10"/>
  <c r="D30" i="10"/>
  <c r="E30" i="10"/>
  <c r="F30" i="10"/>
  <c r="D31" i="10"/>
  <c r="E31" i="10"/>
  <c r="F31" i="10"/>
  <c r="D32" i="10"/>
  <c r="E32" i="10"/>
  <c r="F32" i="10"/>
  <c r="D33" i="10"/>
  <c r="E33" i="10"/>
  <c r="F33" i="10"/>
  <c r="D34" i="10" l="1"/>
  <c r="F3" i="10"/>
  <c r="F34" i="10" s="1"/>
  <c r="E3" i="10"/>
  <c r="E34" i="10" s="1"/>
  <c r="D25" i="59" l="1"/>
  <c r="E25" i="59"/>
  <c r="F25" i="59"/>
  <c r="G25" i="59"/>
  <c r="D26" i="59"/>
  <c r="E26" i="59"/>
  <c r="F26" i="59"/>
  <c r="G26" i="59"/>
  <c r="D27" i="59"/>
  <c r="E27" i="59"/>
  <c r="F27" i="59"/>
  <c r="G27" i="59"/>
  <c r="D28" i="59"/>
  <c r="E28" i="59"/>
  <c r="F28" i="59"/>
  <c r="G28" i="59"/>
  <c r="D29" i="59"/>
  <c r="E29" i="59"/>
  <c r="F29" i="59"/>
  <c r="G29" i="59"/>
  <c r="D30" i="59"/>
  <c r="E30" i="59"/>
  <c r="F30" i="59"/>
  <c r="G30" i="59"/>
  <c r="D31" i="59"/>
  <c r="E31" i="59"/>
  <c r="F31" i="59"/>
  <c r="G31" i="59"/>
  <c r="D32" i="59"/>
  <c r="E32" i="59"/>
  <c r="F32" i="59"/>
  <c r="G32" i="59"/>
  <c r="F4" i="59"/>
  <c r="F5" i="59"/>
  <c r="F6" i="59"/>
  <c r="F7" i="59"/>
  <c r="F8" i="59"/>
  <c r="F9" i="59"/>
  <c r="F10" i="59"/>
  <c r="F11" i="59"/>
  <c r="F12" i="59"/>
  <c r="F13" i="59"/>
  <c r="F14" i="59"/>
  <c r="F15" i="59"/>
  <c r="F16" i="59"/>
  <c r="F17" i="59"/>
  <c r="F18" i="59"/>
  <c r="F19" i="59"/>
  <c r="F20" i="59"/>
  <c r="F21" i="59"/>
  <c r="F22" i="59"/>
  <c r="F23" i="59"/>
  <c r="F24" i="59"/>
  <c r="F33" i="59"/>
  <c r="F34" i="59"/>
  <c r="F35" i="59"/>
  <c r="F36" i="59"/>
  <c r="F37" i="59"/>
  <c r="F38" i="59"/>
  <c r="F39" i="59"/>
  <c r="F40" i="59"/>
  <c r="F41" i="59"/>
  <c r="F42" i="59"/>
  <c r="F43" i="59"/>
  <c r="F44" i="59"/>
  <c r="F45" i="59"/>
  <c r="F46" i="59"/>
  <c r="F47" i="59"/>
  <c r="F48" i="59"/>
  <c r="F49" i="59"/>
  <c r="F50" i="59"/>
  <c r="F51" i="59"/>
  <c r="F52" i="59"/>
  <c r="F53" i="59"/>
  <c r="F54" i="59"/>
  <c r="F55" i="59"/>
  <c r="F56" i="59"/>
  <c r="F57" i="59"/>
  <c r="F58" i="59"/>
  <c r="F59" i="59"/>
  <c r="F60" i="59"/>
  <c r="F61" i="59"/>
  <c r="F62" i="59"/>
  <c r="F63" i="59"/>
  <c r="F64" i="59"/>
  <c r="F65" i="59"/>
  <c r="F66" i="59"/>
  <c r="F67" i="59"/>
  <c r="F68" i="59"/>
  <c r="F69" i="59"/>
  <c r="F70" i="59"/>
  <c r="F71" i="59"/>
  <c r="F72" i="59"/>
  <c r="F73" i="59"/>
  <c r="F74" i="59"/>
  <c r="F75" i="59"/>
  <c r="F76" i="59"/>
  <c r="F77" i="59"/>
  <c r="F78" i="59"/>
  <c r="F79" i="59"/>
  <c r="F80" i="59"/>
  <c r="F81" i="59"/>
  <c r="F82" i="59"/>
  <c r="F83" i="59"/>
  <c r="F84" i="59"/>
  <c r="F85" i="59"/>
  <c r="F86" i="59"/>
  <c r="F87" i="59"/>
  <c r="F88" i="59"/>
  <c r="F89" i="59"/>
  <c r="F90" i="59"/>
  <c r="F91" i="59"/>
  <c r="F92" i="59"/>
  <c r="F93" i="59"/>
  <c r="F94" i="59"/>
  <c r="F95" i="59"/>
  <c r="F96" i="59"/>
  <c r="F97" i="59"/>
  <c r="F98" i="59"/>
  <c r="F99" i="59"/>
  <c r="F100" i="59"/>
  <c r="F101" i="59"/>
  <c r="F102" i="59"/>
  <c r="F103" i="59"/>
  <c r="F104" i="59"/>
  <c r="F105" i="59"/>
  <c r="F106" i="59"/>
  <c r="F107" i="59"/>
  <c r="F108" i="59"/>
  <c r="F109" i="59"/>
  <c r="F110" i="59"/>
  <c r="F111" i="59"/>
  <c r="F112" i="59"/>
  <c r="F113" i="59"/>
  <c r="F114" i="59"/>
  <c r="F115" i="59"/>
  <c r="F116" i="59"/>
  <c r="F117" i="59"/>
  <c r="F118" i="59"/>
  <c r="F119" i="59"/>
  <c r="F120" i="59"/>
  <c r="F121" i="59"/>
  <c r="F122" i="59"/>
  <c r="F123" i="59"/>
  <c r="F124" i="59"/>
  <c r="F125" i="59"/>
  <c r="F126" i="59"/>
  <c r="F127" i="59"/>
  <c r="F128" i="59"/>
  <c r="F129" i="59"/>
  <c r="F130" i="59"/>
  <c r="F131" i="59"/>
  <c r="F132" i="59"/>
  <c r="F133" i="59"/>
  <c r="F134" i="59"/>
  <c r="F135" i="59"/>
  <c r="F136" i="59"/>
  <c r="F137" i="59"/>
  <c r="F138" i="59"/>
  <c r="F139" i="59"/>
  <c r="F140" i="59"/>
  <c r="F141" i="59"/>
  <c r="F142" i="59"/>
  <c r="F143" i="59"/>
  <c r="F144" i="59"/>
  <c r="F145" i="59"/>
  <c r="F146" i="59"/>
  <c r="F147" i="59"/>
  <c r="F148" i="59"/>
  <c r="F149" i="59"/>
  <c r="F150" i="59"/>
  <c r="F151" i="59"/>
  <c r="F152" i="59"/>
  <c r="F153" i="59"/>
  <c r="F154" i="59"/>
  <c r="F155" i="59"/>
  <c r="F156" i="59"/>
  <c r="F157" i="59"/>
  <c r="F158" i="59"/>
  <c r="F159" i="59"/>
  <c r="F160" i="59"/>
  <c r="F161" i="59"/>
  <c r="F162" i="59"/>
  <c r="F163" i="59"/>
  <c r="F164" i="59"/>
  <c r="F165" i="59"/>
  <c r="F166" i="59"/>
  <c r="F167" i="59"/>
  <c r="F168" i="59"/>
  <c r="F169" i="59"/>
  <c r="F170" i="59"/>
  <c r="F171" i="59"/>
  <c r="F172" i="59"/>
  <c r="F173" i="59"/>
  <c r="F174" i="59"/>
  <c r="F175" i="59"/>
  <c r="F176" i="59"/>
  <c r="F177" i="59"/>
  <c r="F178" i="59"/>
  <c r="F179" i="59"/>
  <c r="F180" i="59"/>
  <c r="F181" i="59"/>
  <c r="F182" i="59"/>
  <c r="F183" i="59"/>
  <c r="F184" i="59"/>
  <c r="F185" i="59"/>
  <c r="F186" i="59"/>
  <c r="F187" i="59"/>
  <c r="F188" i="59"/>
  <c r="F189" i="59"/>
  <c r="F190" i="59"/>
  <c r="F191" i="59"/>
  <c r="F192" i="59"/>
  <c r="F193" i="59"/>
  <c r="F194" i="59"/>
  <c r="F195" i="59"/>
  <c r="F196" i="59"/>
  <c r="F197" i="59"/>
  <c r="F198" i="59"/>
  <c r="F199" i="59"/>
  <c r="F200" i="59"/>
  <c r="F201" i="59"/>
  <c r="F202" i="59"/>
  <c r="F203" i="59"/>
  <c r="F204" i="59"/>
  <c r="F205" i="59"/>
  <c r="F206" i="59"/>
  <c r="F207" i="59"/>
  <c r="F208" i="59"/>
  <c r="F209" i="59"/>
  <c r="F210" i="59"/>
  <c r="F211" i="59"/>
  <c r="F212" i="59"/>
  <c r="F213" i="59"/>
  <c r="F214" i="59"/>
  <c r="F215" i="59"/>
  <c r="F216" i="59"/>
  <c r="F217" i="59"/>
  <c r="F218" i="59"/>
  <c r="F219" i="59"/>
  <c r="F220" i="59"/>
  <c r="F221" i="59"/>
  <c r="F222" i="59"/>
  <c r="F223" i="59"/>
  <c r="F224" i="59"/>
  <c r="F225" i="59"/>
  <c r="F226" i="59"/>
  <c r="F227" i="59"/>
  <c r="F228" i="59"/>
  <c r="F229" i="59"/>
  <c r="F230" i="59"/>
  <c r="F231" i="59"/>
  <c r="F232" i="59"/>
  <c r="F233" i="59"/>
  <c r="F234" i="59"/>
  <c r="F235" i="59"/>
  <c r="F236" i="59"/>
  <c r="F237" i="59"/>
  <c r="F238" i="59"/>
  <c r="F239" i="59"/>
  <c r="F240" i="59"/>
  <c r="F241" i="59"/>
  <c r="F242" i="59"/>
  <c r="F243" i="59"/>
  <c r="F244" i="59"/>
  <c r="F245" i="59"/>
  <c r="F246" i="59"/>
  <c r="F247" i="59"/>
  <c r="F248" i="59"/>
  <c r="F249" i="59"/>
  <c r="F250" i="59"/>
  <c r="F251" i="59"/>
  <c r="F252" i="59"/>
  <c r="F253" i="59"/>
  <c r="F254" i="59"/>
  <c r="F255" i="59"/>
  <c r="F256" i="59"/>
  <c r="F257" i="59"/>
  <c r="F258" i="59"/>
  <c r="F259" i="59"/>
  <c r="F260" i="59"/>
  <c r="F261" i="59"/>
  <c r="F262" i="59"/>
  <c r="F263" i="59"/>
  <c r="F264" i="59"/>
  <c r="F265" i="59"/>
  <c r="F266" i="59"/>
  <c r="F267" i="59"/>
  <c r="F268" i="59"/>
  <c r="F269" i="59"/>
  <c r="F270" i="59"/>
  <c r="F271" i="59"/>
  <c r="F272" i="59"/>
  <c r="F273" i="59"/>
  <c r="F274" i="59"/>
  <c r="F275" i="59"/>
  <c r="F276" i="59"/>
  <c r="F277" i="59"/>
  <c r="F278" i="59"/>
  <c r="F279" i="59"/>
  <c r="F280" i="59"/>
  <c r="F281" i="59"/>
  <c r="F282" i="59"/>
  <c r="F283" i="59"/>
  <c r="F284" i="59"/>
  <c r="F285" i="59"/>
  <c r="F286" i="59"/>
  <c r="F287" i="59"/>
  <c r="F288" i="59"/>
  <c r="F289" i="59"/>
  <c r="F290" i="59"/>
  <c r="F291" i="59"/>
  <c r="F292" i="59"/>
  <c r="F293" i="59"/>
  <c r="F294" i="59"/>
  <c r="F295" i="59"/>
  <c r="F296" i="59"/>
  <c r="F297" i="59"/>
  <c r="F298" i="59"/>
  <c r="F299" i="59"/>
  <c r="F300" i="59"/>
  <c r="F301" i="59"/>
  <c r="F302" i="59"/>
  <c r="F303" i="59"/>
  <c r="F304" i="59"/>
  <c r="F305" i="59"/>
  <c r="F306" i="59"/>
  <c r="F307" i="59"/>
  <c r="F308" i="59"/>
  <c r="F309" i="59"/>
  <c r="F310" i="59"/>
  <c r="F311" i="59"/>
  <c r="F312" i="59"/>
  <c r="F313" i="59"/>
  <c r="F314" i="59"/>
  <c r="F315" i="59"/>
  <c r="F316" i="59"/>
  <c r="F317" i="59"/>
  <c r="F318" i="59"/>
  <c r="F319" i="59"/>
  <c r="F320" i="59"/>
  <c r="F321" i="59"/>
  <c r="F322" i="59"/>
  <c r="F323" i="59"/>
  <c r="F324" i="59"/>
  <c r="F325" i="59"/>
  <c r="F326" i="59"/>
  <c r="F327" i="59"/>
  <c r="F328" i="59"/>
  <c r="F329" i="59"/>
  <c r="F330" i="59"/>
  <c r="F331" i="59"/>
  <c r="F332" i="59"/>
  <c r="F333" i="59"/>
  <c r="F334" i="59"/>
  <c r="F335" i="59"/>
  <c r="F336" i="59"/>
  <c r="F337" i="59"/>
  <c r="F338" i="59"/>
  <c r="F339" i="59"/>
  <c r="F340" i="59"/>
  <c r="F341" i="59"/>
  <c r="F342" i="59"/>
  <c r="F343" i="59"/>
  <c r="F344" i="59"/>
  <c r="F345" i="59"/>
  <c r="F346" i="59"/>
  <c r="F347" i="59"/>
  <c r="F348" i="59"/>
  <c r="F349" i="59"/>
  <c r="F350" i="59"/>
  <c r="F351" i="59"/>
  <c r="F352" i="59"/>
  <c r="F353" i="59"/>
  <c r="F354" i="59"/>
  <c r="F355" i="59"/>
  <c r="F356" i="59"/>
  <c r="F357" i="59"/>
  <c r="F358" i="59"/>
  <c r="F359" i="59"/>
  <c r="F360" i="59"/>
  <c r="F361" i="59"/>
  <c r="F362" i="59"/>
  <c r="F363" i="59"/>
  <c r="F364" i="59"/>
  <c r="F365" i="59"/>
  <c r="F366" i="59"/>
  <c r="F367" i="59"/>
  <c r="F368" i="59"/>
  <c r="F369" i="59"/>
  <c r="F370" i="59"/>
  <c r="F371" i="59"/>
  <c r="F372" i="59"/>
  <c r="F373" i="59"/>
  <c r="F374" i="59"/>
  <c r="F375" i="59"/>
  <c r="F376" i="59"/>
  <c r="F377" i="59"/>
  <c r="F378" i="59"/>
  <c r="F379" i="59"/>
  <c r="F380" i="59"/>
  <c r="F381" i="59"/>
  <c r="F382" i="59"/>
  <c r="F383" i="59"/>
  <c r="F384" i="59"/>
  <c r="F385" i="59"/>
  <c r="F386" i="59"/>
  <c r="F387" i="59"/>
  <c r="F388" i="59"/>
  <c r="F389" i="59"/>
  <c r="F390" i="59"/>
  <c r="F391" i="59"/>
  <c r="F392" i="59"/>
  <c r="F393" i="59"/>
  <c r="F394" i="59"/>
  <c r="F395" i="59"/>
  <c r="F396" i="59"/>
  <c r="F397" i="59"/>
  <c r="F398" i="59"/>
  <c r="F399" i="59"/>
  <c r="F400" i="59"/>
  <c r="F401" i="59"/>
  <c r="F402" i="59"/>
  <c r="F403" i="59"/>
  <c r="F404" i="59"/>
  <c r="F405" i="59"/>
  <c r="F406" i="59"/>
  <c r="F407" i="59"/>
  <c r="F408" i="59"/>
  <c r="F409" i="59"/>
  <c r="F410" i="59"/>
  <c r="F411" i="59"/>
  <c r="F412" i="59"/>
  <c r="F413" i="59"/>
  <c r="F414" i="59"/>
  <c r="F415" i="59"/>
  <c r="F416" i="59"/>
  <c r="F417" i="59"/>
  <c r="F418" i="59"/>
  <c r="F419" i="59"/>
  <c r="F420" i="59"/>
  <c r="F421" i="59"/>
  <c r="F422" i="59"/>
  <c r="F423" i="59"/>
  <c r="F424" i="59"/>
  <c r="F425" i="59"/>
  <c r="F426" i="59"/>
  <c r="F427" i="59"/>
  <c r="F428" i="59"/>
  <c r="F429" i="59"/>
  <c r="F430" i="59"/>
  <c r="F431" i="59"/>
  <c r="F432" i="59"/>
  <c r="F433" i="59"/>
  <c r="F434" i="59"/>
  <c r="F435" i="59"/>
  <c r="F436" i="59"/>
  <c r="F437" i="59"/>
  <c r="F438" i="59"/>
  <c r="F439" i="59"/>
  <c r="F440" i="59"/>
  <c r="F441" i="59"/>
  <c r="F442" i="59"/>
  <c r="F443" i="59"/>
  <c r="F444" i="59"/>
  <c r="F445" i="59"/>
  <c r="F446" i="59"/>
  <c r="F447" i="59"/>
  <c r="F448" i="59"/>
  <c r="F449" i="59"/>
  <c r="F450" i="59"/>
  <c r="F451" i="59"/>
  <c r="F452" i="59"/>
  <c r="F453" i="59"/>
  <c r="F454" i="59"/>
  <c r="F455" i="59"/>
  <c r="F456" i="59"/>
  <c r="F457" i="59"/>
  <c r="F458" i="59"/>
  <c r="F459" i="59"/>
  <c r="F460" i="59"/>
  <c r="F461" i="59"/>
  <c r="F462" i="59"/>
  <c r="F463" i="59"/>
  <c r="F464" i="59"/>
  <c r="F465" i="59"/>
  <c r="F466" i="59"/>
  <c r="F467" i="59"/>
  <c r="F468" i="59"/>
  <c r="F469" i="59"/>
  <c r="F470" i="59"/>
  <c r="F471" i="59"/>
  <c r="F472" i="59"/>
  <c r="F473" i="59"/>
  <c r="F474" i="59"/>
  <c r="F475" i="59"/>
  <c r="F476" i="59"/>
  <c r="F477" i="59"/>
  <c r="F478" i="59"/>
  <c r="F479" i="59"/>
  <c r="F480" i="59"/>
  <c r="F481" i="59"/>
  <c r="F482" i="59"/>
  <c r="F483" i="59"/>
  <c r="F484" i="59"/>
  <c r="F485" i="59"/>
  <c r="F486" i="59"/>
  <c r="F487" i="59"/>
  <c r="F488" i="59"/>
  <c r="F489" i="59"/>
  <c r="F490" i="59"/>
  <c r="F491" i="59"/>
  <c r="F492" i="59"/>
  <c r="F493" i="59"/>
  <c r="F494" i="59"/>
  <c r="F495" i="59"/>
  <c r="F496" i="59"/>
  <c r="F497" i="59"/>
  <c r="F498" i="59"/>
  <c r="F499" i="59"/>
  <c r="F500" i="59"/>
  <c r="F501" i="59"/>
  <c r="F502" i="59"/>
  <c r="F503" i="59"/>
  <c r="F504" i="59"/>
  <c r="F505" i="59"/>
  <c r="F506" i="59"/>
  <c r="F507" i="59"/>
  <c r="F508" i="59"/>
  <c r="F509" i="59"/>
  <c r="F510" i="59"/>
  <c r="F511" i="59"/>
  <c r="F512" i="59"/>
  <c r="F513" i="59"/>
  <c r="F514" i="59"/>
  <c r="F515" i="59"/>
  <c r="F516" i="59"/>
  <c r="F517" i="59"/>
  <c r="F518" i="59"/>
  <c r="F519" i="59"/>
  <c r="F520" i="59"/>
  <c r="F521" i="59"/>
  <c r="F522" i="59"/>
  <c r="F523" i="59"/>
  <c r="F524" i="59"/>
  <c r="F525" i="59"/>
  <c r="F526" i="59"/>
  <c r="F527" i="59"/>
  <c r="F528" i="59"/>
  <c r="F529" i="59"/>
  <c r="F530" i="59"/>
  <c r="F531" i="59"/>
  <c r="F532" i="59"/>
  <c r="F533" i="59"/>
  <c r="F534" i="59"/>
  <c r="F535" i="59"/>
  <c r="F536" i="59"/>
  <c r="F537" i="59"/>
  <c r="F538" i="59"/>
  <c r="F539" i="59"/>
  <c r="F540" i="59"/>
  <c r="F541" i="59"/>
  <c r="F542" i="59"/>
  <c r="F543" i="59"/>
  <c r="F544" i="59"/>
  <c r="F545" i="59"/>
  <c r="F546" i="59"/>
  <c r="F547" i="59"/>
  <c r="F548" i="59"/>
  <c r="F549" i="59"/>
  <c r="F550" i="59"/>
  <c r="F551" i="59"/>
  <c r="F552" i="59"/>
  <c r="F553" i="59"/>
  <c r="F554" i="59"/>
  <c r="F555" i="59"/>
  <c r="F556" i="59"/>
  <c r="F557" i="59"/>
  <c r="F558" i="59"/>
  <c r="F559" i="59"/>
  <c r="F560" i="59"/>
  <c r="F561" i="59"/>
  <c r="F562" i="59"/>
  <c r="F563" i="59"/>
  <c r="F564" i="59"/>
  <c r="F565" i="59"/>
  <c r="F566" i="59"/>
  <c r="F567" i="59"/>
  <c r="F568" i="59"/>
  <c r="F569" i="59"/>
  <c r="F570" i="59"/>
  <c r="F571" i="59"/>
  <c r="F572" i="59"/>
  <c r="F573" i="59"/>
  <c r="F574" i="59"/>
  <c r="F575" i="59"/>
  <c r="F576" i="59"/>
  <c r="F577" i="59"/>
  <c r="F578" i="59"/>
  <c r="F579" i="59"/>
  <c r="F580" i="59"/>
  <c r="F581" i="59"/>
  <c r="F582" i="59"/>
  <c r="F583" i="59"/>
  <c r="F584" i="59"/>
  <c r="F585" i="59"/>
  <c r="F586" i="59"/>
  <c r="F587" i="59"/>
  <c r="F588" i="59"/>
  <c r="F589" i="59"/>
  <c r="F590" i="59"/>
  <c r="F591" i="59"/>
  <c r="F592" i="59"/>
  <c r="F593" i="59"/>
  <c r="F594" i="59"/>
  <c r="F595" i="59"/>
  <c r="F596" i="59"/>
  <c r="F597" i="59"/>
  <c r="F598" i="59"/>
  <c r="F599" i="59"/>
  <c r="F600" i="59"/>
  <c r="F601" i="59"/>
  <c r="F602" i="59"/>
  <c r="F603" i="59"/>
  <c r="F604" i="59"/>
  <c r="F605" i="59"/>
  <c r="F606" i="59"/>
  <c r="F607" i="59"/>
  <c r="F608" i="59"/>
  <c r="F609" i="59"/>
  <c r="F610" i="59"/>
  <c r="F611" i="59"/>
  <c r="F612" i="59"/>
  <c r="F613" i="59"/>
  <c r="F614" i="59"/>
  <c r="F615" i="59"/>
  <c r="F616" i="59"/>
  <c r="F617" i="59"/>
  <c r="F618" i="59"/>
  <c r="F619" i="59"/>
  <c r="F620" i="59"/>
  <c r="F621" i="59"/>
  <c r="F622" i="59"/>
  <c r="F623" i="59"/>
  <c r="F624" i="59"/>
  <c r="F625" i="59"/>
  <c r="F626" i="59"/>
  <c r="F627" i="59"/>
  <c r="F628" i="59"/>
  <c r="F629" i="59"/>
  <c r="F630" i="59"/>
  <c r="F631" i="59"/>
  <c r="F632" i="59"/>
  <c r="F633" i="59"/>
  <c r="F634" i="59"/>
  <c r="F635" i="59"/>
  <c r="F636" i="59"/>
  <c r="F637" i="59"/>
  <c r="F638" i="59"/>
  <c r="F639" i="59"/>
  <c r="F640" i="59"/>
  <c r="F641" i="59"/>
  <c r="F642" i="59"/>
  <c r="F643" i="59"/>
  <c r="F644" i="59"/>
  <c r="F645" i="59"/>
  <c r="F646" i="59"/>
  <c r="F647" i="59"/>
  <c r="F648" i="59"/>
  <c r="F649" i="59"/>
  <c r="F650" i="59"/>
  <c r="F651" i="59"/>
  <c r="F652" i="59"/>
  <c r="F653" i="59"/>
  <c r="F654" i="59"/>
  <c r="F655" i="59"/>
  <c r="F656" i="59"/>
  <c r="F657" i="59"/>
  <c r="F658" i="59"/>
  <c r="F659" i="59"/>
  <c r="F660" i="59"/>
  <c r="F661" i="59"/>
  <c r="F662" i="59"/>
  <c r="F663" i="59"/>
  <c r="F664" i="59"/>
  <c r="F665" i="59"/>
  <c r="F666" i="59"/>
  <c r="F667" i="59"/>
  <c r="F668" i="59"/>
  <c r="F669" i="59"/>
  <c r="F670" i="59"/>
  <c r="F671" i="59"/>
  <c r="F672" i="59"/>
  <c r="F673" i="59"/>
  <c r="F674" i="59"/>
  <c r="F675" i="59"/>
  <c r="F676" i="59"/>
  <c r="F677" i="59"/>
  <c r="F678" i="59"/>
  <c r="F679" i="59"/>
  <c r="F680" i="59"/>
  <c r="F681" i="59"/>
  <c r="F682" i="59"/>
  <c r="F683" i="59"/>
  <c r="F684" i="59"/>
  <c r="F685" i="59"/>
  <c r="F686" i="59"/>
  <c r="F687" i="59"/>
  <c r="F688" i="59"/>
  <c r="F689" i="59"/>
  <c r="F690" i="59"/>
  <c r="F691" i="59"/>
  <c r="F692" i="59"/>
  <c r="F693" i="59"/>
  <c r="F694" i="59"/>
  <c r="F695" i="59"/>
  <c r="F696" i="59"/>
  <c r="F697" i="59"/>
  <c r="F698" i="59"/>
  <c r="F699" i="59"/>
  <c r="F700" i="59"/>
  <c r="F701" i="59"/>
  <c r="F702" i="59"/>
  <c r="F703" i="59"/>
  <c r="F704" i="59"/>
  <c r="F705" i="59"/>
  <c r="F706" i="59"/>
  <c r="F707" i="59"/>
  <c r="F708" i="59"/>
  <c r="F709" i="59"/>
  <c r="F710" i="59"/>
  <c r="F711" i="59"/>
  <c r="F712" i="59"/>
  <c r="F713" i="59"/>
  <c r="F714" i="59"/>
  <c r="F715" i="59"/>
  <c r="F716" i="59"/>
  <c r="F717" i="59"/>
  <c r="F718" i="59"/>
  <c r="F719" i="59"/>
  <c r="F720" i="59"/>
  <c r="F721" i="59"/>
  <c r="F722" i="59"/>
  <c r="F723" i="59"/>
  <c r="F724" i="59"/>
  <c r="F725" i="59"/>
  <c r="F726" i="59"/>
  <c r="F727" i="59"/>
  <c r="F728" i="59"/>
  <c r="F729" i="59"/>
  <c r="F730" i="59"/>
  <c r="F731" i="59"/>
  <c r="F732" i="59"/>
  <c r="F733" i="59"/>
  <c r="F734" i="59"/>
  <c r="F735" i="59"/>
  <c r="F736" i="59"/>
  <c r="F737" i="59"/>
  <c r="F738" i="59"/>
  <c r="F739" i="59"/>
  <c r="F740" i="59"/>
  <c r="F741" i="59"/>
  <c r="F742" i="59"/>
  <c r="F743" i="59"/>
  <c r="F744" i="59"/>
  <c r="F745" i="59"/>
  <c r="F746" i="59"/>
  <c r="F747" i="59"/>
  <c r="F748" i="59"/>
  <c r="F749" i="59"/>
  <c r="F750" i="59"/>
  <c r="F751" i="59"/>
  <c r="F752" i="59"/>
  <c r="F753" i="59"/>
  <c r="F754" i="59"/>
  <c r="F755" i="59"/>
  <c r="F756" i="59"/>
  <c r="F757" i="59"/>
  <c r="F758" i="59"/>
  <c r="F759" i="59"/>
  <c r="F760" i="59"/>
  <c r="F761" i="59"/>
  <c r="F762" i="59"/>
  <c r="F763" i="59"/>
  <c r="F764" i="59"/>
  <c r="F765" i="59"/>
  <c r="F766" i="59"/>
  <c r="F767" i="59"/>
  <c r="F768" i="59"/>
  <c r="F769" i="59"/>
  <c r="F770" i="59"/>
  <c r="F771" i="59"/>
  <c r="F772" i="59"/>
  <c r="F773" i="59"/>
  <c r="F774" i="59"/>
  <c r="F775" i="59"/>
  <c r="F776" i="59"/>
  <c r="F777" i="59"/>
  <c r="F778" i="59"/>
  <c r="F779" i="59"/>
  <c r="F780" i="59"/>
  <c r="F781" i="59"/>
  <c r="F782" i="59"/>
  <c r="F783" i="59"/>
  <c r="F784" i="59"/>
  <c r="F785" i="59"/>
  <c r="F786" i="59"/>
  <c r="F787" i="59"/>
  <c r="F788" i="59"/>
  <c r="F789" i="59"/>
  <c r="F790" i="59"/>
  <c r="F791" i="59"/>
  <c r="F792" i="59"/>
  <c r="F793" i="59"/>
  <c r="F794" i="59"/>
  <c r="F795" i="59"/>
  <c r="F796" i="59"/>
  <c r="F797" i="59"/>
  <c r="F798" i="59"/>
  <c r="F799" i="59"/>
  <c r="F800" i="59"/>
  <c r="F801" i="59"/>
  <c r="F802" i="59"/>
  <c r="F803" i="59"/>
  <c r="F804" i="59"/>
  <c r="F805" i="59"/>
  <c r="F806" i="59"/>
  <c r="F807" i="59"/>
  <c r="F808" i="59"/>
  <c r="F809" i="59"/>
  <c r="F810" i="59"/>
  <c r="F811" i="59"/>
  <c r="F812" i="59"/>
  <c r="F813" i="59"/>
  <c r="F814" i="59"/>
  <c r="F815" i="59"/>
  <c r="F816" i="59"/>
  <c r="F817" i="59"/>
  <c r="F818" i="59"/>
  <c r="F819" i="59"/>
  <c r="F820" i="59"/>
  <c r="F821" i="59"/>
  <c r="F822" i="59"/>
  <c r="F823" i="59"/>
  <c r="F824" i="59"/>
  <c r="F825" i="59"/>
  <c r="F826" i="59"/>
  <c r="F827" i="59"/>
  <c r="F828" i="59"/>
  <c r="F829" i="59"/>
  <c r="F830" i="59"/>
  <c r="F831" i="59"/>
  <c r="F832" i="59"/>
  <c r="F833" i="59"/>
  <c r="F834" i="59"/>
  <c r="F835" i="59"/>
  <c r="F836" i="59"/>
  <c r="F837" i="59"/>
  <c r="F838" i="59"/>
  <c r="F839" i="59"/>
  <c r="F840" i="59"/>
  <c r="F841" i="59"/>
  <c r="F842" i="59"/>
  <c r="F843" i="59"/>
  <c r="F844" i="59"/>
  <c r="F845" i="59"/>
  <c r="F846" i="59"/>
  <c r="F847" i="59"/>
  <c r="F848" i="59"/>
  <c r="F849" i="59"/>
  <c r="F850" i="59"/>
  <c r="F851" i="59"/>
  <c r="F852" i="59"/>
  <c r="F853" i="59"/>
  <c r="F854" i="59"/>
  <c r="F855" i="59"/>
  <c r="F856" i="59"/>
  <c r="F857" i="59"/>
  <c r="F858" i="59"/>
  <c r="F859" i="59"/>
  <c r="F860" i="59"/>
  <c r="F861" i="59"/>
  <c r="F862" i="59"/>
  <c r="F863" i="59"/>
  <c r="F864" i="59"/>
  <c r="F865" i="59"/>
  <c r="F866" i="59"/>
  <c r="F867" i="59"/>
  <c r="F868" i="59"/>
  <c r="F869" i="59"/>
  <c r="F870" i="59"/>
  <c r="F871" i="59"/>
  <c r="F872" i="59"/>
  <c r="F873" i="59"/>
  <c r="F874" i="59"/>
  <c r="F875" i="59"/>
  <c r="F876" i="59"/>
  <c r="F877" i="59"/>
  <c r="F878" i="59"/>
  <c r="F879" i="59"/>
  <c r="F880" i="59"/>
  <c r="F881" i="59"/>
  <c r="F882" i="59"/>
  <c r="F883" i="59"/>
  <c r="F884" i="59"/>
  <c r="F885" i="59"/>
  <c r="F886" i="59"/>
  <c r="F887" i="59"/>
  <c r="F888" i="59"/>
  <c r="F889" i="59"/>
  <c r="F890" i="59"/>
  <c r="F891" i="59"/>
  <c r="F892" i="59"/>
  <c r="F893" i="59"/>
  <c r="F894" i="59"/>
  <c r="F895" i="59"/>
  <c r="F896" i="59"/>
  <c r="F897" i="59"/>
  <c r="F898" i="59"/>
  <c r="F899" i="59"/>
  <c r="F900" i="59"/>
  <c r="F901" i="59"/>
  <c r="F902" i="59"/>
  <c r="F903" i="59"/>
  <c r="F904" i="59"/>
  <c r="F905" i="59"/>
  <c r="F906" i="59"/>
  <c r="F907" i="59"/>
  <c r="F908" i="59"/>
  <c r="F909" i="59"/>
  <c r="F910" i="59"/>
  <c r="F911" i="59"/>
  <c r="F912" i="59"/>
  <c r="F913" i="59"/>
  <c r="F914" i="59"/>
  <c r="F915" i="59"/>
  <c r="F916" i="59"/>
  <c r="F917" i="59"/>
  <c r="F918" i="59"/>
  <c r="F919" i="59"/>
  <c r="F920" i="59"/>
  <c r="F921" i="59"/>
  <c r="F922" i="59"/>
  <c r="F923" i="59"/>
  <c r="F924" i="59"/>
  <c r="F925" i="59"/>
  <c r="F926" i="59"/>
  <c r="F927" i="59"/>
  <c r="F928" i="59"/>
  <c r="F929" i="59"/>
  <c r="F930" i="59"/>
  <c r="F931" i="59"/>
  <c r="F932" i="59"/>
  <c r="F933" i="59"/>
  <c r="F934" i="59"/>
  <c r="F935" i="59"/>
  <c r="F936" i="59"/>
  <c r="F937" i="59"/>
  <c r="F938" i="59"/>
  <c r="F939" i="59"/>
  <c r="F940" i="59"/>
  <c r="F941" i="59"/>
  <c r="F942" i="59"/>
  <c r="F943" i="59"/>
  <c r="F944" i="59"/>
  <c r="F945" i="59"/>
  <c r="F946" i="59"/>
  <c r="F947" i="59"/>
  <c r="F948" i="59"/>
  <c r="F949" i="59"/>
  <c r="F950" i="59"/>
  <c r="F951" i="59"/>
  <c r="F952" i="59"/>
  <c r="F953" i="59"/>
  <c r="F954" i="59"/>
  <c r="F955" i="59"/>
  <c r="F956" i="59"/>
  <c r="F957" i="59"/>
  <c r="F958" i="59"/>
  <c r="F959" i="59"/>
  <c r="F960" i="59"/>
  <c r="F961" i="59"/>
  <c r="F962" i="59"/>
  <c r="F963" i="59"/>
  <c r="F964" i="59"/>
  <c r="F965" i="59"/>
  <c r="F966" i="59"/>
  <c r="F967" i="59"/>
  <c r="F968" i="59"/>
  <c r="F969" i="59"/>
  <c r="F970" i="59"/>
  <c r="F971" i="59"/>
  <c r="F972" i="59"/>
  <c r="F973" i="59"/>
  <c r="F974" i="59"/>
  <c r="F975" i="59"/>
  <c r="F976" i="59"/>
  <c r="F977" i="59"/>
  <c r="F978" i="59"/>
  <c r="F979" i="59"/>
  <c r="F980" i="59"/>
  <c r="F981" i="59"/>
  <c r="F982" i="59"/>
  <c r="F983" i="59"/>
  <c r="F984" i="59"/>
  <c r="F985" i="59"/>
  <c r="F986" i="59"/>
  <c r="F987" i="59"/>
  <c r="F988" i="59"/>
  <c r="F989" i="59"/>
  <c r="F990" i="59"/>
  <c r="F991" i="59"/>
  <c r="F992" i="59"/>
  <c r="F993" i="59"/>
  <c r="F994" i="59"/>
  <c r="F995" i="59"/>
  <c r="F996" i="59"/>
  <c r="F997" i="59"/>
  <c r="F998" i="59"/>
  <c r="F999" i="59"/>
  <c r="F1000" i="59"/>
  <c r="F1001" i="59"/>
  <c r="F1002" i="59"/>
  <c r="F1003" i="59"/>
  <c r="F1004" i="59"/>
  <c r="F1005" i="59"/>
  <c r="F1006" i="59"/>
  <c r="F1007" i="59"/>
  <c r="F1008" i="59"/>
  <c r="F1009" i="59"/>
  <c r="F1010" i="59"/>
  <c r="F1011" i="59"/>
  <c r="F1012" i="59"/>
  <c r="F1013" i="59"/>
  <c r="F1014" i="59"/>
  <c r="F1015" i="59"/>
  <c r="F1016" i="59"/>
  <c r="F1017" i="59"/>
  <c r="F1018" i="59"/>
  <c r="F1019" i="59"/>
  <c r="F1020" i="59"/>
  <c r="F1021" i="59"/>
  <c r="F1022" i="59"/>
  <c r="F1023" i="59"/>
  <c r="F1024" i="59"/>
  <c r="F1025" i="59"/>
  <c r="F1026" i="59"/>
  <c r="F1027" i="59"/>
  <c r="F1028" i="59"/>
  <c r="F1029" i="59"/>
  <c r="F1030" i="59"/>
  <c r="F1031" i="59"/>
  <c r="F1032" i="59"/>
  <c r="F1033" i="59"/>
  <c r="F1034" i="59"/>
  <c r="F1035" i="59"/>
  <c r="F1036" i="59"/>
  <c r="F1037" i="59"/>
  <c r="F1038" i="59"/>
  <c r="F1039" i="59"/>
  <c r="F1040" i="59"/>
  <c r="F1041" i="59"/>
  <c r="F1042" i="59"/>
  <c r="F1043" i="59"/>
  <c r="F1044" i="59"/>
  <c r="F1045" i="59"/>
  <c r="F1046" i="59"/>
  <c r="F1047" i="59"/>
  <c r="F1048" i="59"/>
  <c r="F1049" i="59"/>
  <c r="F1050" i="59"/>
  <c r="F1051" i="59"/>
  <c r="F1052" i="59"/>
  <c r="F1053" i="59"/>
  <c r="F1054" i="59"/>
  <c r="F1055" i="59"/>
  <c r="F1056" i="59"/>
  <c r="F1057" i="59"/>
  <c r="F1058" i="59"/>
  <c r="F1059" i="59"/>
  <c r="F1060" i="59"/>
  <c r="F1061" i="59"/>
  <c r="F1062" i="59"/>
  <c r="F1063" i="59"/>
  <c r="F1064" i="59"/>
  <c r="F1065" i="59"/>
  <c r="F1066" i="59"/>
  <c r="F1067" i="59"/>
  <c r="F1068" i="59"/>
  <c r="F1069" i="59"/>
  <c r="F1070" i="59"/>
  <c r="F1071" i="59"/>
  <c r="F1072" i="59"/>
  <c r="F1073" i="59"/>
  <c r="F1074" i="59"/>
  <c r="F1075" i="59"/>
  <c r="F1076" i="59"/>
  <c r="F1077" i="59"/>
  <c r="F1078" i="59"/>
  <c r="F1079" i="59"/>
  <c r="F1080" i="59"/>
  <c r="F1081" i="59"/>
  <c r="F1082" i="59"/>
  <c r="F1083" i="59"/>
  <c r="F1084" i="59"/>
  <c r="F1085" i="59"/>
  <c r="F1086" i="59"/>
  <c r="F1087" i="59"/>
  <c r="F1088" i="59"/>
  <c r="F1089" i="59"/>
  <c r="F1090" i="59"/>
  <c r="F1091" i="59"/>
  <c r="F1092" i="59"/>
  <c r="F1093" i="59"/>
  <c r="F1094" i="59"/>
  <c r="F1095" i="59"/>
  <c r="F1096" i="59"/>
  <c r="F1097" i="59"/>
  <c r="F1098" i="59"/>
  <c r="F1099" i="59"/>
  <c r="F1100" i="59"/>
  <c r="F1101" i="59"/>
  <c r="F1102" i="59"/>
  <c r="F1103" i="59"/>
  <c r="F1104" i="59"/>
  <c r="F1105" i="59"/>
  <c r="F1106" i="59"/>
  <c r="F1107" i="59"/>
  <c r="F1108" i="59"/>
  <c r="F1109" i="59"/>
  <c r="F1110" i="59"/>
  <c r="F1111" i="59"/>
  <c r="F1112" i="59"/>
  <c r="F1113" i="59"/>
  <c r="F1114" i="59"/>
  <c r="F1115" i="59"/>
  <c r="F1116" i="59"/>
  <c r="F1117" i="59"/>
  <c r="F1118" i="59"/>
  <c r="F1119" i="59"/>
  <c r="F1120" i="59"/>
  <c r="F1121" i="59"/>
  <c r="F1122" i="59"/>
  <c r="F1123" i="59"/>
  <c r="F1124" i="59"/>
  <c r="F1125" i="59"/>
  <c r="F1126" i="59"/>
  <c r="F1127" i="59"/>
  <c r="F1128" i="59"/>
  <c r="F1129" i="59"/>
  <c r="F1130" i="59"/>
  <c r="F1131" i="59"/>
  <c r="F1132" i="59"/>
  <c r="F1133" i="59"/>
  <c r="F1134" i="59"/>
  <c r="F1135" i="59"/>
  <c r="F1136" i="59"/>
  <c r="F1137" i="59"/>
  <c r="F1138" i="59"/>
  <c r="F1139" i="59"/>
  <c r="F1140" i="59"/>
  <c r="F1141" i="59"/>
  <c r="F1142" i="59"/>
  <c r="F1143" i="59"/>
  <c r="F1144" i="59"/>
  <c r="F1145" i="59"/>
  <c r="F1146" i="59"/>
  <c r="F1147" i="59"/>
  <c r="F1148" i="59"/>
  <c r="F1149" i="59"/>
  <c r="F1150" i="59"/>
  <c r="F1151" i="59"/>
  <c r="F1152" i="59"/>
  <c r="F1153" i="59"/>
  <c r="BZ971" i="13"/>
  <c r="BY971" i="13"/>
  <c r="BT971" i="13"/>
  <c r="BS971" i="13"/>
  <c r="BT970" i="13"/>
  <c r="BS970" i="13"/>
  <c r="BL970" i="13" s="1"/>
  <c r="BZ969" i="13"/>
  <c r="BY969" i="13"/>
  <c r="BZ968" i="13"/>
  <c r="BY968" i="13"/>
  <c r="BT969" i="13"/>
  <c r="BS969" i="13"/>
  <c r="BT968" i="13"/>
  <c r="BS968" i="13"/>
  <c r="G4" i="59"/>
  <c r="G5" i="59"/>
  <c r="G6" i="59"/>
  <c r="G7" i="59"/>
  <c r="G8" i="59"/>
  <c r="G9" i="59"/>
  <c r="G10" i="59"/>
  <c r="G11" i="59"/>
  <c r="G12" i="59"/>
  <c r="G13" i="59"/>
  <c r="G14" i="59"/>
  <c r="G15" i="59"/>
  <c r="G16" i="59"/>
  <c r="G17" i="59"/>
  <c r="G18" i="59"/>
  <c r="G19" i="59"/>
  <c r="G20" i="59"/>
  <c r="G21" i="59"/>
  <c r="G22" i="59"/>
  <c r="G23" i="59"/>
  <c r="G24" i="59"/>
  <c r="G33" i="59"/>
  <c r="G34" i="59"/>
  <c r="G35" i="59"/>
  <c r="G36" i="59"/>
  <c r="G37" i="59"/>
  <c r="G38" i="59"/>
  <c r="G39" i="59"/>
  <c r="G40" i="59"/>
  <c r="G41" i="59"/>
  <c r="G42" i="59"/>
  <c r="G43" i="59"/>
  <c r="G44" i="59"/>
  <c r="G45" i="59"/>
  <c r="G46" i="59"/>
  <c r="G47" i="59"/>
  <c r="G48" i="59"/>
  <c r="G49" i="59"/>
  <c r="G50" i="59"/>
  <c r="G51" i="59"/>
  <c r="G52" i="59"/>
  <c r="G53" i="59"/>
  <c r="G54" i="59"/>
  <c r="G55" i="59"/>
  <c r="G56" i="59"/>
  <c r="G57" i="59"/>
  <c r="G58" i="59"/>
  <c r="G59" i="59"/>
  <c r="G60" i="59"/>
  <c r="G61" i="59"/>
  <c r="G62" i="59"/>
  <c r="G63" i="59"/>
  <c r="G64" i="59"/>
  <c r="G65" i="59"/>
  <c r="G66" i="59"/>
  <c r="G67" i="59"/>
  <c r="G68" i="59"/>
  <c r="G69" i="59"/>
  <c r="G70" i="59"/>
  <c r="G71" i="59"/>
  <c r="G72" i="59"/>
  <c r="G73" i="59"/>
  <c r="G74" i="59"/>
  <c r="G75" i="59"/>
  <c r="G76" i="59"/>
  <c r="G77" i="59"/>
  <c r="G78" i="59"/>
  <c r="G79" i="59"/>
  <c r="G80" i="59"/>
  <c r="G81" i="59"/>
  <c r="G82" i="59"/>
  <c r="G83" i="59"/>
  <c r="G84" i="59"/>
  <c r="G85" i="59"/>
  <c r="G86" i="59"/>
  <c r="G87" i="59"/>
  <c r="G88" i="59"/>
  <c r="G89" i="59"/>
  <c r="G90" i="59"/>
  <c r="G91" i="59"/>
  <c r="G92" i="59"/>
  <c r="G93" i="59"/>
  <c r="G94" i="59"/>
  <c r="G95" i="59"/>
  <c r="G96" i="59"/>
  <c r="G97" i="59"/>
  <c r="G98" i="59"/>
  <c r="G99" i="59"/>
  <c r="G100" i="59"/>
  <c r="G101" i="59"/>
  <c r="G102" i="59"/>
  <c r="G103" i="59"/>
  <c r="G104" i="59"/>
  <c r="G105" i="59"/>
  <c r="G106" i="59"/>
  <c r="G107" i="59"/>
  <c r="G108" i="59"/>
  <c r="G109" i="59"/>
  <c r="G110" i="59"/>
  <c r="G111" i="59"/>
  <c r="G112" i="59"/>
  <c r="G113" i="59"/>
  <c r="G114" i="59"/>
  <c r="G115" i="59"/>
  <c r="G116" i="59"/>
  <c r="G117" i="59"/>
  <c r="G118" i="59"/>
  <c r="G119" i="59"/>
  <c r="G120" i="59"/>
  <c r="G121" i="59"/>
  <c r="G122" i="59"/>
  <c r="G123" i="59"/>
  <c r="G124" i="59"/>
  <c r="G125" i="59"/>
  <c r="G126" i="59"/>
  <c r="G127" i="59"/>
  <c r="G128" i="59"/>
  <c r="G129" i="59"/>
  <c r="G130" i="59"/>
  <c r="G131" i="59"/>
  <c r="G132" i="59"/>
  <c r="G133" i="59"/>
  <c r="G134" i="59"/>
  <c r="G135" i="59"/>
  <c r="G136" i="59"/>
  <c r="G137" i="59"/>
  <c r="G138" i="59"/>
  <c r="G139" i="59"/>
  <c r="G140" i="59"/>
  <c r="G141" i="59"/>
  <c r="G142" i="59"/>
  <c r="G143" i="59"/>
  <c r="G144" i="59"/>
  <c r="G145" i="59"/>
  <c r="G146" i="59"/>
  <c r="G147" i="59"/>
  <c r="G148" i="59"/>
  <c r="G149" i="59"/>
  <c r="G150" i="59"/>
  <c r="G151" i="59"/>
  <c r="G152" i="59"/>
  <c r="G153" i="59"/>
  <c r="G154" i="59"/>
  <c r="G155" i="59"/>
  <c r="G156" i="59"/>
  <c r="G157" i="59"/>
  <c r="G158" i="59"/>
  <c r="G159" i="59"/>
  <c r="G160" i="59"/>
  <c r="G161" i="59"/>
  <c r="G162" i="59"/>
  <c r="G163" i="59"/>
  <c r="G164" i="59"/>
  <c r="G165" i="59"/>
  <c r="G166" i="59"/>
  <c r="G167" i="59"/>
  <c r="G168" i="59"/>
  <c r="G169" i="59"/>
  <c r="G170" i="59"/>
  <c r="G171" i="59"/>
  <c r="G172" i="59"/>
  <c r="G173" i="59"/>
  <c r="G174" i="59"/>
  <c r="G175" i="59"/>
  <c r="G176" i="59"/>
  <c r="G177" i="59"/>
  <c r="G178" i="59"/>
  <c r="G179" i="59"/>
  <c r="G180" i="59"/>
  <c r="G181" i="59"/>
  <c r="G182" i="59"/>
  <c r="G183" i="59"/>
  <c r="G184" i="59"/>
  <c r="G185" i="59"/>
  <c r="G186" i="59"/>
  <c r="G187" i="59"/>
  <c r="G188" i="59"/>
  <c r="G189" i="59"/>
  <c r="G190" i="59"/>
  <c r="G191" i="59"/>
  <c r="G192" i="59"/>
  <c r="G193" i="59"/>
  <c r="G194" i="59"/>
  <c r="G195" i="59"/>
  <c r="G196" i="59"/>
  <c r="G197" i="59"/>
  <c r="G198" i="59"/>
  <c r="G199" i="59"/>
  <c r="G200" i="59"/>
  <c r="G201" i="59"/>
  <c r="G202" i="59"/>
  <c r="G203" i="59"/>
  <c r="G204" i="59"/>
  <c r="G205" i="59"/>
  <c r="G206" i="59"/>
  <c r="G207" i="59"/>
  <c r="G208" i="59"/>
  <c r="G209" i="59"/>
  <c r="G210" i="59"/>
  <c r="G211" i="59"/>
  <c r="G212" i="59"/>
  <c r="G213" i="59"/>
  <c r="G214" i="59"/>
  <c r="G215" i="59"/>
  <c r="G216" i="59"/>
  <c r="G217" i="59"/>
  <c r="G218" i="59"/>
  <c r="G219" i="59"/>
  <c r="G220" i="59"/>
  <c r="G221" i="59"/>
  <c r="G222" i="59"/>
  <c r="G223" i="59"/>
  <c r="G224" i="59"/>
  <c r="G225" i="59"/>
  <c r="G226" i="59"/>
  <c r="G227" i="59"/>
  <c r="G228" i="59"/>
  <c r="G229" i="59"/>
  <c r="G230" i="59"/>
  <c r="G231" i="59"/>
  <c r="G232" i="59"/>
  <c r="G233" i="59"/>
  <c r="G234" i="59"/>
  <c r="G235" i="59"/>
  <c r="G236" i="59"/>
  <c r="G237" i="59"/>
  <c r="G238" i="59"/>
  <c r="G239" i="59"/>
  <c r="G240" i="59"/>
  <c r="G241" i="59"/>
  <c r="G242" i="59"/>
  <c r="G243" i="59"/>
  <c r="G244" i="59"/>
  <c r="G245" i="59"/>
  <c r="G246" i="59"/>
  <c r="G247" i="59"/>
  <c r="G248" i="59"/>
  <c r="G249" i="59"/>
  <c r="G250" i="59"/>
  <c r="G251" i="59"/>
  <c r="G252" i="59"/>
  <c r="G253" i="59"/>
  <c r="G254" i="59"/>
  <c r="G255" i="59"/>
  <c r="G256" i="59"/>
  <c r="G257" i="59"/>
  <c r="G258" i="59"/>
  <c r="G259" i="59"/>
  <c r="G260" i="59"/>
  <c r="G261" i="59"/>
  <c r="G262" i="59"/>
  <c r="G263" i="59"/>
  <c r="G264" i="59"/>
  <c r="G265" i="59"/>
  <c r="G266" i="59"/>
  <c r="G267" i="59"/>
  <c r="G268" i="59"/>
  <c r="G269" i="59"/>
  <c r="G270" i="59"/>
  <c r="G271" i="59"/>
  <c r="G272" i="59"/>
  <c r="G273" i="59"/>
  <c r="G274" i="59"/>
  <c r="G275" i="59"/>
  <c r="G276" i="59"/>
  <c r="G277" i="59"/>
  <c r="G278" i="59"/>
  <c r="G279" i="59"/>
  <c r="G280" i="59"/>
  <c r="G281" i="59"/>
  <c r="G282" i="59"/>
  <c r="G283" i="59"/>
  <c r="G284" i="59"/>
  <c r="G285" i="59"/>
  <c r="G286" i="59"/>
  <c r="G287" i="59"/>
  <c r="G288" i="59"/>
  <c r="G289" i="59"/>
  <c r="G290" i="59"/>
  <c r="G291" i="59"/>
  <c r="G292" i="59"/>
  <c r="G293" i="59"/>
  <c r="G294" i="59"/>
  <c r="G295" i="59"/>
  <c r="G296" i="59"/>
  <c r="G297" i="59"/>
  <c r="G298" i="59"/>
  <c r="G299" i="59"/>
  <c r="G300" i="59"/>
  <c r="G301" i="59"/>
  <c r="G302" i="59"/>
  <c r="G303" i="59"/>
  <c r="G304" i="59"/>
  <c r="G305" i="59"/>
  <c r="G306" i="59"/>
  <c r="G307" i="59"/>
  <c r="G308" i="59"/>
  <c r="G309" i="59"/>
  <c r="G310" i="59"/>
  <c r="G311" i="59"/>
  <c r="G312" i="59"/>
  <c r="G313" i="59"/>
  <c r="G314" i="59"/>
  <c r="G315" i="59"/>
  <c r="G316" i="59"/>
  <c r="G317" i="59"/>
  <c r="G318" i="59"/>
  <c r="G319" i="59"/>
  <c r="G320" i="59"/>
  <c r="G321" i="59"/>
  <c r="G322" i="59"/>
  <c r="G323" i="59"/>
  <c r="G324" i="59"/>
  <c r="G325" i="59"/>
  <c r="G326" i="59"/>
  <c r="G327" i="59"/>
  <c r="G328" i="59"/>
  <c r="G329" i="59"/>
  <c r="G330" i="59"/>
  <c r="G331" i="59"/>
  <c r="G332" i="59"/>
  <c r="G333" i="59"/>
  <c r="G334" i="59"/>
  <c r="G335" i="59"/>
  <c r="G336" i="59"/>
  <c r="G337" i="59"/>
  <c r="G338" i="59"/>
  <c r="G339" i="59"/>
  <c r="G340" i="59"/>
  <c r="G341" i="59"/>
  <c r="G342" i="59"/>
  <c r="G343" i="59"/>
  <c r="G344" i="59"/>
  <c r="G345" i="59"/>
  <c r="G346" i="59"/>
  <c r="G347" i="59"/>
  <c r="G348" i="59"/>
  <c r="G349" i="59"/>
  <c r="G350" i="59"/>
  <c r="G351" i="59"/>
  <c r="G352" i="59"/>
  <c r="G353" i="59"/>
  <c r="G354" i="59"/>
  <c r="G355" i="59"/>
  <c r="G356" i="59"/>
  <c r="G357" i="59"/>
  <c r="G358" i="59"/>
  <c r="G359" i="59"/>
  <c r="G360" i="59"/>
  <c r="G361" i="59"/>
  <c r="G362" i="59"/>
  <c r="G363" i="59"/>
  <c r="G364" i="59"/>
  <c r="G365" i="59"/>
  <c r="G366" i="59"/>
  <c r="G367" i="59"/>
  <c r="G368" i="59"/>
  <c r="G369" i="59"/>
  <c r="G370" i="59"/>
  <c r="G371" i="59"/>
  <c r="G372" i="59"/>
  <c r="G373" i="59"/>
  <c r="G374" i="59"/>
  <c r="G375" i="59"/>
  <c r="G376" i="59"/>
  <c r="G377" i="59"/>
  <c r="G378" i="59"/>
  <c r="G379" i="59"/>
  <c r="G380" i="59"/>
  <c r="G381" i="59"/>
  <c r="G382" i="59"/>
  <c r="G383" i="59"/>
  <c r="G384" i="59"/>
  <c r="G385" i="59"/>
  <c r="G386" i="59"/>
  <c r="G387" i="59"/>
  <c r="G388" i="59"/>
  <c r="G389" i="59"/>
  <c r="G390" i="59"/>
  <c r="G391" i="59"/>
  <c r="G392" i="59"/>
  <c r="G393" i="59"/>
  <c r="G394" i="59"/>
  <c r="G395" i="59"/>
  <c r="G396" i="59"/>
  <c r="G397" i="59"/>
  <c r="G398" i="59"/>
  <c r="G399" i="59"/>
  <c r="G400" i="59"/>
  <c r="G401" i="59"/>
  <c r="G402" i="59"/>
  <c r="G403" i="59"/>
  <c r="G404" i="59"/>
  <c r="G405" i="59"/>
  <c r="G406" i="59"/>
  <c r="G407" i="59"/>
  <c r="G408" i="59"/>
  <c r="G409" i="59"/>
  <c r="G410" i="59"/>
  <c r="G411" i="59"/>
  <c r="G412" i="59"/>
  <c r="G413" i="59"/>
  <c r="G414" i="59"/>
  <c r="G415" i="59"/>
  <c r="G416" i="59"/>
  <c r="G417" i="59"/>
  <c r="G418" i="59"/>
  <c r="G419" i="59"/>
  <c r="G420" i="59"/>
  <c r="G421" i="59"/>
  <c r="G422" i="59"/>
  <c r="G423" i="59"/>
  <c r="G424" i="59"/>
  <c r="G425" i="59"/>
  <c r="G426" i="59"/>
  <c r="G427" i="59"/>
  <c r="G428" i="59"/>
  <c r="G429" i="59"/>
  <c r="G430" i="59"/>
  <c r="G431" i="59"/>
  <c r="G432" i="59"/>
  <c r="G433" i="59"/>
  <c r="G434" i="59"/>
  <c r="G435" i="59"/>
  <c r="G436" i="59"/>
  <c r="G437" i="59"/>
  <c r="G438" i="59"/>
  <c r="G439" i="59"/>
  <c r="G440" i="59"/>
  <c r="G441" i="59"/>
  <c r="G442" i="59"/>
  <c r="G443" i="59"/>
  <c r="G444" i="59"/>
  <c r="G445" i="59"/>
  <c r="G446" i="59"/>
  <c r="G447" i="59"/>
  <c r="G448" i="59"/>
  <c r="G449" i="59"/>
  <c r="G450" i="59"/>
  <c r="G451" i="59"/>
  <c r="G452" i="59"/>
  <c r="G453" i="59"/>
  <c r="G454" i="59"/>
  <c r="G455" i="59"/>
  <c r="G456" i="59"/>
  <c r="G457" i="59"/>
  <c r="G458" i="59"/>
  <c r="G459" i="59"/>
  <c r="G460" i="59"/>
  <c r="G461" i="59"/>
  <c r="G462" i="59"/>
  <c r="G463" i="59"/>
  <c r="G464" i="59"/>
  <c r="G465" i="59"/>
  <c r="G466" i="59"/>
  <c r="G467" i="59"/>
  <c r="G468" i="59"/>
  <c r="G469" i="59"/>
  <c r="G470" i="59"/>
  <c r="G471" i="59"/>
  <c r="G472" i="59"/>
  <c r="G473" i="59"/>
  <c r="G474" i="59"/>
  <c r="G475" i="59"/>
  <c r="G476" i="59"/>
  <c r="G477" i="59"/>
  <c r="G478" i="59"/>
  <c r="G479" i="59"/>
  <c r="G480" i="59"/>
  <c r="G481" i="59"/>
  <c r="G482" i="59"/>
  <c r="G483" i="59"/>
  <c r="G484" i="59"/>
  <c r="G485" i="59"/>
  <c r="G486" i="59"/>
  <c r="G487" i="59"/>
  <c r="G488" i="59"/>
  <c r="G489" i="59"/>
  <c r="G490" i="59"/>
  <c r="G491" i="59"/>
  <c r="G492" i="59"/>
  <c r="G493" i="59"/>
  <c r="G494" i="59"/>
  <c r="G495" i="59"/>
  <c r="G496" i="59"/>
  <c r="G497" i="59"/>
  <c r="G498" i="59"/>
  <c r="G499" i="59"/>
  <c r="G500" i="59"/>
  <c r="G501" i="59"/>
  <c r="G502" i="59"/>
  <c r="G503" i="59"/>
  <c r="G504" i="59"/>
  <c r="G505" i="59"/>
  <c r="G506" i="59"/>
  <c r="G507" i="59"/>
  <c r="G508" i="59"/>
  <c r="G509" i="59"/>
  <c r="G510" i="59"/>
  <c r="G511" i="59"/>
  <c r="G512" i="59"/>
  <c r="G513" i="59"/>
  <c r="G514" i="59"/>
  <c r="G515" i="59"/>
  <c r="G516" i="59"/>
  <c r="G517" i="59"/>
  <c r="G518" i="59"/>
  <c r="G519" i="59"/>
  <c r="G520" i="59"/>
  <c r="G521" i="59"/>
  <c r="G522" i="59"/>
  <c r="G523" i="59"/>
  <c r="G524" i="59"/>
  <c r="G525" i="59"/>
  <c r="G526" i="59"/>
  <c r="G527" i="59"/>
  <c r="G528" i="59"/>
  <c r="G529" i="59"/>
  <c r="G530" i="59"/>
  <c r="G531" i="59"/>
  <c r="G532" i="59"/>
  <c r="G533" i="59"/>
  <c r="G534" i="59"/>
  <c r="G535" i="59"/>
  <c r="G536" i="59"/>
  <c r="G537" i="59"/>
  <c r="G538" i="59"/>
  <c r="G539" i="59"/>
  <c r="G540" i="59"/>
  <c r="G541" i="59"/>
  <c r="G542" i="59"/>
  <c r="G543" i="59"/>
  <c r="G544" i="59"/>
  <c r="G545" i="59"/>
  <c r="G546" i="59"/>
  <c r="G547" i="59"/>
  <c r="G548" i="59"/>
  <c r="G549" i="59"/>
  <c r="G550" i="59"/>
  <c r="G551" i="59"/>
  <c r="G552" i="59"/>
  <c r="G553" i="59"/>
  <c r="G554" i="59"/>
  <c r="G555" i="59"/>
  <c r="G556" i="59"/>
  <c r="G557" i="59"/>
  <c r="G558" i="59"/>
  <c r="G559" i="59"/>
  <c r="G560" i="59"/>
  <c r="G561" i="59"/>
  <c r="G562" i="59"/>
  <c r="G563" i="59"/>
  <c r="G564" i="59"/>
  <c r="G565" i="59"/>
  <c r="G566" i="59"/>
  <c r="G567" i="59"/>
  <c r="G568" i="59"/>
  <c r="G569" i="59"/>
  <c r="G570" i="59"/>
  <c r="G571" i="59"/>
  <c r="G572" i="59"/>
  <c r="G573" i="59"/>
  <c r="G574" i="59"/>
  <c r="G575" i="59"/>
  <c r="G576" i="59"/>
  <c r="G577" i="59"/>
  <c r="G578" i="59"/>
  <c r="G579" i="59"/>
  <c r="G580" i="59"/>
  <c r="G581" i="59"/>
  <c r="G582" i="59"/>
  <c r="G583" i="59"/>
  <c r="G584" i="59"/>
  <c r="G585" i="59"/>
  <c r="G586" i="59"/>
  <c r="G587" i="59"/>
  <c r="G588" i="59"/>
  <c r="G589" i="59"/>
  <c r="G590" i="59"/>
  <c r="G591" i="59"/>
  <c r="G592" i="59"/>
  <c r="G593" i="59"/>
  <c r="G594" i="59"/>
  <c r="G595" i="59"/>
  <c r="G596" i="59"/>
  <c r="G597" i="59"/>
  <c r="G598" i="59"/>
  <c r="G599" i="59"/>
  <c r="G600" i="59"/>
  <c r="G601" i="59"/>
  <c r="G602" i="59"/>
  <c r="G603" i="59"/>
  <c r="G604" i="59"/>
  <c r="G605" i="59"/>
  <c r="G606" i="59"/>
  <c r="G607" i="59"/>
  <c r="G608" i="59"/>
  <c r="G609" i="59"/>
  <c r="G610" i="59"/>
  <c r="G611" i="59"/>
  <c r="G612" i="59"/>
  <c r="G613" i="59"/>
  <c r="G614" i="59"/>
  <c r="G615" i="59"/>
  <c r="G616" i="59"/>
  <c r="G617" i="59"/>
  <c r="G618" i="59"/>
  <c r="G619" i="59"/>
  <c r="G620" i="59"/>
  <c r="G621" i="59"/>
  <c r="G622" i="59"/>
  <c r="G623" i="59"/>
  <c r="G624" i="59"/>
  <c r="G625" i="59"/>
  <c r="G626" i="59"/>
  <c r="G627" i="59"/>
  <c r="G628" i="59"/>
  <c r="G629" i="59"/>
  <c r="G630" i="59"/>
  <c r="G631" i="59"/>
  <c r="G632" i="59"/>
  <c r="G633" i="59"/>
  <c r="G634" i="59"/>
  <c r="G635" i="59"/>
  <c r="G636" i="59"/>
  <c r="G637" i="59"/>
  <c r="G638" i="59"/>
  <c r="G639" i="59"/>
  <c r="G640" i="59"/>
  <c r="G641" i="59"/>
  <c r="G642" i="59"/>
  <c r="G643" i="59"/>
  <c r="G644" i="59"/>
  <c r="G645" i="59"/>
  <c r="G646" i="59"/>
  <c r="G647" i="59"/>
  <c r="G648" i="59"/>
  <c r="G649" i="59"/>
  <c r="G650" i="59"/>
  <c r="G651" i="59"/>
  <c r="G652" i="59"/>
  <c r="G653" i="59"/>
  <c r="G654" i="59"/>
  <c r="G655" i="59"/>
  <c r="G656" i="59"/>
  <c r="G657" i="59"/>
  <c r="G658" i="59"/>
  <c r="G659" i="59"/>
  <c r="G660" i="59"/>
  <c r="G661" i="59"/>
  <c r="G662" i="59"/>
  <c r="G663" i="59"/>
  <c r="G664" i="59"/>
  <c r="G665" i="59"/>
  <c r="G666" i="59"/>
  <c r="G667" i="59"/>
  <c r="G668" i="59"/>
  <c r="G669" i="59"/>
  <c r="G670" i="59"/>
  <c r="G671" i="59"/>
  <c r="G672" i="59"/>
  <c r="G673" i="59"/>
  <c r="G674" i="59"/>
  <c r="G675" i="59"/>
  <c r="G676" i="59"/>
  <c r="G677" i="59"/>
  <c r="G678" i="59"/>
  <c r="G679" i="59"/>
  <c r="G680" i="59"/>
  <c r="G681" i="59"/>
  <c r="G682" i="59"/>
  <c r="G683" i="59"/>
  <c r="G684" i="59"/>
  <c r="G685" i="59"/>
  <c r="G686" i="59"/>
  <c r="G687" i="59"/>
  <c r="G688" i="59"/>
  <c r="G689" i="59"/>
  <c r="G690" i="59"/>
  <c r="G691" i="59"/>
  <c r="G692" i="59"/>
  <c r="G693" i="59"/>
  <c r="G694" i="59"/>
  <c r="G695" i="59"/>
  <c r="G696" i="59"/>
  <c r="G697" i="59"/>
  <c r="G698" i="59"/>
  <c r="G699" i="59"/>
  <c r="G700" i="59"/>
  <c r="G701" i="59"/>
  <c r="G702" i="59"/>
  <c r="G703" i="59"/>
  <c r="G704" i="59"/>
  <c r="G705" i="59"/>
  <c r="G706" i="59"/>
  <c r="G707" i="59"/>
  <c r="G708" i="59"/>
  <c r="G709" i="59"/>
  <c r="G710" i="59"/>
  <c r="G711" i="59"/>
  <c r="G712" i="59"/>
  <c r="G713" i="59"/>
  <c r="G714" i="59"/>
  <c r="G715" i="59"/>
  <c r="G716" i="59"/>
  <c r="G717" i="59"/>
  <c r="G718" i="59"/>
  <c r="G719" i="59"/>
  <c r="G720" i="59"/>
  <c r="G721" i="59"/>
  <c r="G722" i="59"/>
  <c r="G723" i="59"/>
  <c r="G724" i="59"/>
  <c r="G725" i="59"/>
  <c r="G726" i="59"/>
  <c r="G727" i="59"/>
  <c r="G728" i="59"/>
  <c r="G729" i="59"/>
  <c r="G730" i="59"/>
  <c r="G731" i="59"/>
  <c r="G732" i="59"/>
  <c r="G733" i="59"/>
  <c r="G734" i="59"/>
  <c r="G735" i="59"/>
  <c r="G736" i="59"/>
  <c r="G737" i="59"/>
  <c r="G738" i="59"/>
  <c r="G739" i="59"/>
  <c r="G740" i="59"/>
  <c r="G741" i="59"/>
  <c r="G742" i="59"/>
  <c r="G743" i="59"/>
  <c r="G744" i="59"/>
  <c r="G745" i="59"/>
  <c r="G746" i="59"/>
  <c r="G747" i="59"/>
  <c r="G748" i="59"/>
  <c r="G749" i="59"/>
  <c r="G750" i="59"/>
  <c r="G751" i="59"/>
  <c r="G752" i="59"/>
  <c r="G753" i="59"/>
  <c r="G754" i="59"/>
  <c r="G755" i="59"/>
  <c r="G756" i="59"/>
  <c r="G757" i="59"/>
  <c r="G758" i="59"/>
  <c r="G759" i="59"/>
  <c r="G760" i="59"/>
  <c r="G761" i="59"/>
  <c r="G762" i="59"/>
  <c r="G763" i="59"/>
  <c r="G764" i="59"/>
  <c r="G765" i="59"/>
  <c r="G766" i="59"/>
  <c r="G767" i="59"/>
  <c r="G768" i="59"/>
  <c r="G769" i="59"/>
  <c r="G770" i="59"/>
  <c r="G771" i="59"/>
  <c r="G772" i="59"/>
  <c r="G773" i="59"/>
  <c r="G774" i="59"/>
  <c r="G775" i="59"/>
  <c r="G776" i="59"/>
  <c r="G777" i="59"/>
  <c r="G778" i="59"/>
  <c r="G779" i="59"/>
  <c r="G780" i="59"/>
  <c r="G781" i="59"/>
  <c r="G782" i="59"/>
  <c r="G783" i="59"/>
  <c r="G784" i="59"/>
  <c r="G785" i="59"/>
  <c r="G786" i="59"/>
  <c r="G787" i="59"/>
  <c r="G788" i="59"/>
  <c r="G789" i="59"/>
  <c r="G790" i="59"/>
  <c r="G791" i="59"/>
  <c r="G792" i="59"/>
  <c r="G793" i="59"/>
  <c r="G794" i="59"/>
  <c r="G795" i="59"/>
  <c r="G796" i="59"/>
  <c r="G797" i="59"/>
  <c r="G798" i="59"/>
  <c r="G799" i="59"/>
  <c r="G800" i="59"/>
  <c r="G801" i="59"/>
  <c r="G802" i="59"/>
  <c r="G803" i="59"/>
  <c r="G804" i="59"/>
  <c r="G805" i="59"/>
  <c r="G806" i="59"/>
  <c r="G807" i="59"/>
  <c r="G808" i="59"/>
  <c r="G809" i="59"/>
  <c r="G810" i="59"/>
  <c r="G811" i="59"/>
  <c r="G812" i="59"/>
  <c r="G813" i="59"/>
  <c r="G814" i="59"/>
  <c r="G815" i="59"/>
  <c r="G816" i="59"/>
  <c r="G817" i="59"/>
  <c r="G818" i="59"/>
  <c r="G819" i="59"/>
  <c r="G820" i="59"/>
  <c r="G821" i="59"/>
  <c r="G822" i="59"/>
  <c r="G823" i="59"/>
  <c r="G824" i="59"/>
  <c r="G825" i="59"/>
  <c r="G826" i="59"/>
  <c r="G827" i="59"/>
  <c r="G828" i="59"/>
  <c r="G829" i="59"/>
  <c r="G830" i="59"/>
  <c r="G831" i="59"/>
  <c r="G832" i="59"/>
  <c r="G833" i="59"/>
  <c r="G834" i="59"/>
  <c r="G835" i="59"/>
  <c r="G836" i="59"/>
  <c r="G837" i="59"/>
  <c r="G838" i="59"/>
  <c r="G839" i="59"/>
  <c r="G840" i="59"/>
  <c r="G841" i="59"/>
  <c r="G842" i="59"/>
  <c r="G843" i="59"/>
  <c r="G844" i="59"/>
  <c r="G845" i="59"/>
  <c r="G846" i="59"/>
  <c r="G847" i="59"/>
  <c r="G848" i="59"/>
  <c r="G849" i="59"/>
  <c r="G850" i="59"/>
  <c r="G851" i="59"/>
  <c r="G852" i="59"/>
  <c r="G853" i="59"/>
  <c r="G854" i="59"/>
  <c r="G855" i="59"/>
  <c r="G856" i="59"/>
  <c r="G857" i="59"/>
  <c r="G858" i="59"/>
  <c r="G859" i="59"/>
  <c r="G860" i="59"/>
  <c r="G861" i="59"/>
  <c r="G862" i="59"/>
  <c r="G863" i="59"/>
  <c r="G864" i="59"/>
  <c r="G865" i="59"/>
  <c r="G866" i="59"/>
  <c r="G867" i="59"/>
  <c r="G868" i="59"/>
  <c r="G869" i="59"/>
  <c r="G870" i="59"/>
  <c r="G871" i="59"/>
  <c r="G872" i="59"/>
  <c r="G873" i="59"/>
  <c r="G874" i="59"/>
  <c r="G875" i="59"/>
  <c r="G876" i="59"/>
  <c r="G877" i="59"/>
  <c r="G878" i="59"/>
  <c r="G879" i="59"/>
  <c r="G880" i="59"/>
  <c r="G881" i="59"/>
  <c r="G882" i="59"/>
  <c r="G883" i="59"/>
  <c r="G884" i="59"/>
  <c r="G885" i="59"/>
  <c r="G886" i="59"/>
  <c r="G887" i="59"/>
  <c r="G888" i="59"/>
  <c r="G889" i="59"/>
  <c r="G890" i="59"/>
  <c r="G891" i="59"/>
  <c r="G892" i="59"/>
  <c r="G893" i="59"/>
  <c r="G894" i="59"/>
  <c r="G895" i="59"/>
  <c r="G896" i="59"/>
  <c r="G897" i="59"/>
  <c r="G898" i="59"/>
  <c r="G899" i="59"/>
  <c r="G900" i="59"/>
  <c r="G901" i="59"/>
  <c r="G902" i="59"/>
  <c r="G903" i="59"/>
  <c r="G904" i="59"/>
  <c r="G905" i="59"/>
  <c r="G906" i="59"/>
  <c r="G907" i="59"/>
  <c r="G908" i="59"/>
  <c r="G909" i="59"/>
  <c r="G910" i="59"/>
  <c r="G911" i="59"/>
  <c r="G912" i="59"/>
  <c r="G913" i="59"/>
  <c r="G914" i="59"/>
  <c r="G915" i="59"/>
  <c r="G916" i="59"/>
  <c r="G917" i="59"/>
  <c r="G918" i="59"/>
  <c r="G919" i="59"/>
  <c r="G920" i="59"/>
  <c r="G921" i="59"/>
  <c r="G922" i="59"/>
  <c r="G923" i="59"/>
  <c r="G924" i="59"/>
  <c r="G925" i="59"/>
  <c r="G926" i="59"/>
  <c r="G927" i="59"/>
  <c r="G928" i="59"/>
  <c r="G929" i="59"/>
  <c r="G930" i="59"/>
  <c r="G931" i="59"/>
  <c r="G932" i="59"/>
  <c r="G933" i="59"/>
  <c r="G934" i="59"/>
  <c r="G935" i="59"/>
  <c r="G936" i="59"/>
  <c r="G937" i="59"/>
  <c r="G938" i="59"/>
  <c r="G939" i="59"/>
  <c r="G940" i="59"/>
  <c r="G941" i="59"/>
  <c r="G942" i="59"/>
  <c r="G943" i="59"/>
  <c r="G944" i="59"/>
  <c r="G945" i="59"/>
  <c r="G946" i="59"/>
  <c r="G947" i="59"/>
  <c r="G948" i="59"/>
  <c r="G949" i="59"/>
  <c r="G950" i="59"/>
  <c r="G951" i="59"/>
  <c r="G952" i="59"/>
  <c r="G953" i="59"/>
  <c r="G954" i="59"/>
  <c r="G955" i="59"/>
  <c r="G956" i="59"/>
  <c r="G957" i="59"/>
  <c r="G958" i="59"/>
  <c r="G959" i="59"/>
  <c r="G960" i="59"/>
  <c r="G961" i="59"/>
  <c r="G962" i="59"/>
  <c r="G963" i="59"/>
  <c r="G964" i="59"/>
  <c r="G965" i="59"/>
  <c r="G966" i="59"/>
  <c r="G967" i="59"/>
  <c r="G968" i="59"/>
  <c r="G969" i="59"/>
  <c r="G970" i="59"/>
  <c r="G971" i="59"/>
  <c r="G972" i="59"/>
  <c r="G973" i="59"/>
  <c r="G974" i="59"/>
  <c r="G975" i="59"/>
  <c r="G976" i="59"/>
  <c r="G977" i="59"/>
  <c r="G978" i="59"/>
  <c r="G979" i="59"/>
  <c r="G980" i="59"/>
  <c r="G981" i="59"/>
  <c r="G982" i="59"/>
  <c r="G983" i="59"/>
  <c r="G984" i="59"/>
  <c r="G985" i="59"/>
  <c r="G986" i="59"/>
  <c r="G987" i="59"/>
  <c r="G988" i="59"/>
  <c r="G989" i="59"/>
  <c r="G990" i="59"/>
  <c r="G991" i="59"/>
  <c r="G992" i="59"/>
  <c r="G993" i="59"/>
  <c r="G994" i="59"/>
  <c r="G995" i="59"/>
  <c r="G996" i="59"/>
  <c r="G997" i="59"/>
  <c r="G998" i="59"/>
  <c r="G999" i="59"/>
  <c r="G1000" i="59"/>
  <c r="G1001" i="59"/>
  <c r="G1002" i="59"/>
  <c r="G1003" i="59"/>
  <c r="G1004" i="59"/>
  <c r="G1005" i="59"/>
  <c r="G1006" i="59"/>
  <c r="G1007" i="59"/>
  <c r="G1008" i="59"/>
  <c r="G1009" i="59"/>
  <c r="G1010" i="59"/>
  <c r="G1011" i="59"/>
  <c r="G1012" i="59"/>
  <c r="G1013" i="59"/>
  <c r="G1014" i="59"/>
  <c r="G1015" i="59"/>
  <c r="G1016" i="59"/>
  <c r="G1017" i="59"/>
  <c r="G1018" i="59"/>
  <c r="G1019" i="59"/>
  <c r="G1020" i="59"/>
  <c r="G1021" i="59"/>
  <c r="G1022" i="59"/>
  <c r="G1023" i="59"/>
  <c r="G1024" i="59"/>
  <c r="G1025" i="59"/>
  <c r="G1026" i="59"/>
  <c r="G1027" i="59"/>
  <c r="G1028" i="59"/>
  <c r="G1029" i="59"/>
  <c r="G1030" i="59"/>
  <c r="G1031" i="59"/>
  <c r="G1032" i="59"/>
  <c r="G1033" i="59"/>
  <c r="G1034" i="59"/>
  <c r="G1035" i="59"/>
  <c r="G1036" i="59"/>
  <c r="G1037" i="59"/>
  <c r="G1038" i="59"/>
  <c r="G1039" i="59"/>
  <c r="G1040" i="59"/>
  <c r="G1041" i="59"/>
  <c r="G1042" i="59"/>
  <c r="G1043" i="59"/>
  <c r="G1044" i="59"/>
  <c r="G1045" i="59"/>
  <c r="G1046" i="59"/>
  <c r="G1047" i="59"/>
  <c r="G1048" i="59"/>
  <c r="G1049" i="59"/>
  <c r="G1050" i="59"/>
  <c r="G1051" i="59"/>
  <c r="G1052" i="59"/>
  <c r="G1053" i="59"/>
  <c r="G1054" i="59"/>
  <c r="G1055" i="59"/>
  <c r="G1056" i="59"/>
  <c r="G1057" i="59"/>
  <c r="G1058" i="59"/>
  <c r="G1059" i="59"/>
  <c r="G1060" i="59"/>
  <c r="G1061" i="59"/>
  <c r="G1062" i="59"/>
  <c r="G1063" i="59"/>
  <c r="G1064" i="59"/>
  <c r="G1065" i="59"/>
  <c r="G1066" i="59"/>
  <c r="G1067" i="59"/>
  <c r="G1068" i="59"/>
  <c r="G1069" i="59"/>
  <c r="G1070" i="59"/>
  <c r="G1071" i="59"/>
  <c r="G1072" i="59"/>
  <c r="G1073" i="59"/>
  <c r="G1074" i="59"/>
  <c r="G1075" i="59"/>
  <c r="G1076" i="59"/>
  <c r="G1077" i="59"/>
  <c r="G1078" i="59"/>
  <c r="G1079" i="59"/>
  <c r="G1080" i="59"/>
  <c r="G1081" i="59"/>
  <c r="G1082" i="59"/>
  <c r="G1083" i="59"/>
  <c r="G1084" i="59"/>
  <c r="G1085" i="59"/>
  <c r="G1086" i="59"/>
  <c r="G1087" i="59"/>
  <c r="G1088" i="59"/>
  <c r="G1089" i="59"/>
  <c r="G1090" i="59"/>
  <c r="G1091" i="59"/>
  <c r="G1092" i="59"/>
  <c r="G1093" i="59"/>
  <c r="G1094" i="59"/>
  <c r="G1095" i="59"/>
  <c r="G1096" i="59"/>
  <c r="G1097" i="59"/>
  <c r="G1098" i="59"/>
  <c r="G1099" i="59"/>
  <c r="G1100" i="59"/>
  <c r="G1101" i="59"/>
  <c r="G1102" i="59"/>
  <c r="G1103" i="59"/>
  <c r="G1104" i="59"/>
  <c r="G1105" i="59"/>
  <c r="G1106" i="59"/>
  <c r="G1107" i="59"/>
  <c r="G1108" i="59"/>
  <c r="G1109" i="59"/>
  <c r="G1110" i="59"/>
  <c r="G1111" i="59"/>
  <c r="G1112" i="59"/>
  <c r="G1113" i="59"/>
  <c r="G1114" i="59"/>
  <c r="G1115" i="59"/>
  <c r="G1116" i="59"/>
  <c r="G1117" i="59"/>
  <c r="G1118" i="59"/>
  <c r="G1119" i="59"/>
  <c r="G1120" i="59"/>
  <c r="G1121" i="59"/>
  <c r="G1122" i="59"/>
  <c r="G1123" i="59"/>
  <c r="G1124" i="59"/>
  <c r="G1125" i="59"/>
  <c r="G1126" i="59"/>
  <c r="G1127" i="59"/>
  <c r="G1128" i="59"/>
  <c r="G1129" i="59"/>
  <c r="G1131" i="59"/>
  <c r="G1133" i="59"/>
  <c r="G1138" i="59"/>
  <c r="G1139" i="59"/>
  <c r="G1140" i="59"/>
  <c r="G1141" i="59"/>
  <c r="G1142" i="59"/>
  <c r="G1143" i="59"/>
  <c r="G1144" i="59"/>
  <c r="G1145" i="59"/>
  <c r="G1148" i="59"/>
  <c r="G1150" i="59"/>
  <c r="G1151" i="59"/>
  <c r="G1152" i="59"/>
  <c r="G1153" i="59"/>
  <c r="D4" i="59"/>
  <c r="E4" i="59"/>
  <c r="D5" i="59"/>
  <c r="E5" i="59"/>
  <c r="D6" i="59"/>
  <c r="E6" i="59"/>
  <c r="D7" i="59"/>
  <c r="E7" i="59"/>
  <c r="D8" i="59"/>
  <c r="E8" i="59"/>
  <c r="D9" i="59"/>
  <c r="E9" i="59"/>
  <c r="D10" i="59"/>
  <c r="E10" i="59"/>
  <c r="D11" i="59"/>
  <c r="E11" i="59"/>
  <c r="D12" i="59"/>
  <c r="E12" i="59"/>
  <c r="D13" i="59"/>
  <c r="E13" i="59"/>
  <c r="D14" i="59"/>
  <c r="E14" i="59"/>
  <c r="D15" i="59"/>
  <c r="E15" i="59"/>
  <c r="D16" i="59"/>
  <c r="E16" i="59"/>
  <c r="D17" i="59"/>
  <c r="E17" i="59"/>
  <c r="D18" i="59"/>
  <c r="E18" i="59"/>
  <c r="D19" i="59"/>
  <c r="E19" i="59"/>
  <c r="D20" i="59"/>
  <c r="E20" i="59"/>
  <c r="D21" i="59"/>
  <c r="E21" i="59"/>
  <c r="D22" i="59"/>
  <c r="E22" i="59"/>
  <c r="D23" i="59"/>
  <c r="E23" i="59"/>
  <c r="D24" i="59"/>
  <c r="E24" i="59"/>
  <c r="D33" i="59"/>
  <c r="E33" i="59"/>
  <c r="D34" i="59"/>
  <c r="E34" i="59"/>
  <c r="D35" i="59"/>
  <c r="E35" i="59"/>
  <c r="D36" i="59"/>
  <c r="E36" i="59"/>
  <c r="D37" i="59"/>
  <c r="E37" i="59"/>
  <c r="D38" i="59"/>
  <c r="E38" i="59"/>
  <c r="D39" i="59"/>
  <c r="E39" i="59"/>
  <c r="D40" i="59"/>
  <c r="E40" i="59"/>
  <c r="D41" i="59"/>
  <c r="E41" i="59"/>
  <c r="D42" i="59"/>
  <c r="E42" i="59"/>
  <c r="D43" i="59"/>
  <c r="E43" i="59"/>
  <c r="D44" i="59"/>
  <c r="E44" i="59"/>
  <c r="D45" i="59"/>
  <c r="E45" i="59"/>
  <c r="D46" i="59"/>
  <c r="E46" i="59"/>
  <c r="D47" i="59"/>
  <c r="E47" i="59"/>
  <c r="D48" i="59"/>
  <c r="E48" i="59"/>
  <c r="D49" i="59"/>
  <c r="E49" i="59"/>
  <c r="D50" i="59"/>
  <c r="E50" i="59"/>
  <c r="D51" i="59"/>
  <c r="E51" i="59"/>
  <c r="D52" i="59"/>
  <c r="E52" i="59"/>
  <c r="D53" i="59"/>
  <c r="E53" i="59"/>
  <c r="D54" i="59"/>
  <c r="E54" i="59"/>
  <c r="D55" i="59"/>
  <c r="E55" i="59"/>
  <c r="D56" i="59"/>
  <c r="E56" i="59"/>
  <c r="D57" i="59"/>
  <c r="E57" i="59"/>
  <c r="D58" i="59"/>
  <c r="E58" i="59"/>
  <c r="D59" i="59"/>
  <c r="E59" i="59"/>
  <c r="D60" i="59"/>
  <c r="E60" i="59"/>
  <c r="D61" i="59"/>
  <c r="E61" i="59"/>
  <c r="D62" i="59"/>
  <c r="E62" i="59"/>
  <c r="D63" i="59"/>
  <c r="E63" i="59"/>
  <c r="D64" i="59"/>
  <c r="E64" i="59"/>
  <c r="D65" i="59"/>
  <c r="E65" i="59"/>
  <c r="D66" i="59"/>
  <c r="E66" i="59"/>
  <c r="D67" i="59"/>
  <c r="E67" i="59"/>
  <c r="D68" i="59"/>
  <c r="E68" i="59"/>
  <c r="D69" i="59"/>
  <c r="E69" i="59"/>
  <c r="D70" i="59"/>
  <c r="E70" i="59"/>
  <c r="D71" i="59"/>
  <c r="E71" i="59"/>
  <c r="D72" i="59"/>
  <c r="E72" i="59"/>
  <c r="D73" i="59"/>
  <c r="E73" i="59"/>
  <c r="D74" i="59"/>
  <c r="E74" i="59"/>
  <c r="D75" i="59"/>
  <c r="E75" i="59"/>
  <c r="D76" i="59"/>
  <c r="E76" i="59"/>
  <c r="D77" i="59"/>
  <c r="E77" i="59"/>
  <c r="D78" i="59"/>
  <c r="E78" i="59"/>
  <c r="D79" i="59"/>
  <c r="E79" i="59"/>
  <c r="D80" i="59"/>
  <c r="E80" i="59"/>
  <c r="D81" i="59"/>
  <c r="E81" i="59"/>
  <c r="D82" i="59"/>
  <c r="E82" i="59"/>
  <c r="D83" i="59"/>
  <c r="E83" i="59"/>
  <c r="D84" i="59"/>
  <c r="E84" i="59"/>
  <c r="D85" i="59"/>
  <c r="E85" i="59"/>
  <c r="D86" i="59"/>
  <c r="E86" i="59"/>
  <c r="D87" i="59"/>
  <c r="E87" i="59"/>
  <c r="D88" i="59"/>
  <c r="E88" i="59"/>
  <c r="D89" i="59"/>
  <c r="E89" i="59"/>
  <c r="D90" i="59"/>
  <c r="E90" i="59"/>
  <c r="D91" i="59"/>
  <c r="E91" i="59"/>
  <c r="D92" i="59"/>
  <c r="E92" i="59"/>
  <c r="D93" i="59"/>
  <c r="E93" i="59"/>
  <c r="D94" i="59"/>
  <c r="E94" i="59"/>
  <c r="D95" i="59"/>
  <c r="E95" i="59"/>
  <c r="D96" i="59"/>
  <c r="E96" i="59"/>
  <c r="D97" i="59"/>
  <c r="E97" i="59"/>
  <c r="D98" i="59"/>
  <c r="E98" i="59"/>
  <c r="D99" i="59"/>
  <c r="E99" i="59"/>
  <c r="D100" i="59"/>
  <c r="E100" i="59"/>
  <c r="D101" i="59"/>
  <c r="E101" i="59"/>
  <c r="D102" i="59"/>
  <c r="E102" i="59"/>
  <c r="D103" i="59"/>
  <c r="E103" i="59"/>
  <c r="D104" i="59"/>
  <c r="E104" i="59"/>
  <c r="D105" i="59"/>
  <c r="E105" i="59"/>
  <c r="D106" i="59"/>
  <c r="E106" i="59"/>
  <c r="D107" i="59"/>
  <c r="E107" i="59"/>
  <c r="D108" i="59"/>
  <c r="E108" i="59"/>
  <c r="D109" i="59"/>
  <c r="E109" i="59"/>
  <c r="D110" i="59"/>
  <c r="E110" i="59"/>
  <c r="D111" i="59"/>
  <c r="E111" i="59"/>
  <c r="D112" i="59"/>
  <c r="E112" i="59"/>
  <c r="D113" i="59"/>
  <c r="E113" i="59"/>
  <c r="D114" i="59"/>
  <c r="E114" i="59"/>
  <c r="D115" i="59"/>
  <c r="E115" i="59"/>
  <c r="D116" i="59"/>
  <c r="E116" i="59"/>
  <c r="D117" i="59"/>
  <c r="E117" i="59"/>
  <c r="D118" i="59"/>
  <c r="E118" i="59"/>
  <c r="D119" i="59"/>
  <c r="E119" i="59"/>
  <c r="D120" i="59"/>
  <c r="E120" i="59"/>
  <c r="D121" i="59"/>
  <c r="E121" i="59"/>
  <c r="D122" i="59"/>
  <c r="E122" i="59"/>
  <c r="D123" i="59"/>
  <c r="E123" i="59"/>
  <c r="D124" i="59"/>
  <c r="E124" i="59"/>
  <c r="D125" i="59"/>
  <c r="E125" i="59"/>
  <c r="D126" i="59"/>
  <c r="E126" i="59"/>
  <c r="D127" i="59"/>
  <c r="E127" i="59"/>
  <c r="D128" i="59"/>
  <c r="E128" i="59"/>
  <c r="D129" i="59"/>
  <c r="E129" i="59"/>
  <c r="D130" i="59"/>
  <c r="E130" i="59"/>
  <c r="D131" i="59"/>
  <c r="E131" i="59"/>
  <c r="D132" i="59"/>
  <c r="E132" i="59"/>
  <c r="D133" i="59"/>
  <c r="E133" i="59"/>
  <c r="D134" i="59"/>
  <c r="E134" i="59"/>
  <c r="D135" i="59"/>
  <c r="E135" i="59"/>
  <c r="D136" i="59"/>
  <c r="E136" i="59"/>
  <c r="D137" i="59"/>
  <c r="E137" i="59"/>
  <c r="D138" i="59"/>
  <c r="E138" i="59"/>
  <c r="D139" i="59"/>
  <c r="E139" i="59"/>
  <c r="D140" i="59"/>
  <c r="E140" i="59"/>
  <c r="D141" i="59"/>
  <c r="E141" i="59"/>
  <c r="D142" i="59"/>
  <c r="E142" i="59"/>
  <c r="D143" i="59"/>
  <c r="E143" i="59"/>
  <c r="D144" i="59"/>
  <c r="E144" i="59"/>
  <c r="D145" i="59"/>
  <c r="E145" i="59"/>
  <c r="D146" i="59"/>
  <c r="E146" i="59"/>
  <c r="D147" i="59"/>
  <c r="E147" i="59"/>
  <c r="D148" i="59"/>
  <c r="E148" i="59"/>
  <c r="D149" i="59"/>
  <c r="E149" i="59"/>
  <c r="D150" i="59"/>
  <c r="E150" i="59"/>
  <c r="D151" i="59"/>
  <c r="E151" i="59"/>
  <c r="D152" i="59"/>
  <c r="E152" i="59"/>
  <c r="D153" i="59"/>
  <c r="E153" i="59"/>
  <c r="D154" i="59"/>
  <c r="E154" i="59"/>
  <c r="D155" i="59"/>
  <c r="E155" i="59"/>
  <c r="D156" i="59"/>
  <c r="E156" i="59"/>
  <c r="D157" i="59"/>
  <c r="E157" i="59"/>
  <c r="D158" i="59"/>
  <c r="E158" i="59"/>
  <c r="D159" i="59"/>
  <c r="E159" i="59"/>
  <c r="D160" i="59"/>
  <c r="E160" i="59"/>
  <c r="D161" i="59"/>
  <c r="E161" i="59"/>
  <c r="D162" i="59"/>
  <c r="E162" i="59"/>
  <c r="D163" i="59"/>
  <c r="E163" i="59"/>
  <c r="D164" i="59"/>
  <c r="E164" i="59"/>
  <c r="D165" i="59"/>
  <c r="E165" i="59"/>
  <c r="D166" i="59"/>
  <c r="E166" i="59"/>
  <c r="D167" i="59"/>
  <c r="E167" i="59"/>
  <c r="D168" i="59"/>
  <c r="E168" i="59"/>
  <c r="D169" i="59"/>
  <c r="E169" i="59"/>
  <c r="D170" i="59"/>
  <c r="E170" i="59"/>
  <c r="D171" i="59"/>
  <c r="E171" i="59"/>
  <c r="D172" i="59"/>
  <c r="E172" i="59"/>
  <c r="D173" i="59"/>
  <c r="E173" i="59"/>
  <c r="D174" i="59"/>
  <c r="E174" i="59"/>
  <c r="D175" i="59"/>
  <c r="E175" i="59"/>
  <c r="D176" i="59"/>
  <c r="E176" i="59"/>
  <c r="D177" i="59"/>
  <c r="E177" i="59"/>
  <c r="D178" i="59"/>
  <c r="E178" i="59"/>
  <c r="D179" i="59"/>
  <c r="E179" i="59"/>
  <c r="D180" i="59"/>
  <c r="E180" i="59"/>
  <c r="D181" i="59"/>
  <c r="E181" i="59"/>
  <c r="D182" i="59"/>
  <c r="E182" i="59"/>
  <c r="D183" i="59"/>
  <c r="E183" i="59"/>
  <c r="D184" i="59"/>
  <c r="E184" i="59"/>
  <c r="D185" i="59"/>
  <c r="E185" i="59"/>
  <c r="D186" i="59"/>
  <c r="E186" i="59"/>
  <c r="D187" i="59"/>
  <c r="E187" i="59"/>
  <c r="D188" i="59"/>
  <c r="E188" i="59"/>
  <c r="D189" i="59"/>
  <c r="E189" i="59"/>
  <c r="D190" i="59"/>
  <c r="E190" i="59"/>
  <c r="D191" i="59"/>
  <c r="E191" i="59"/>
  <c r="D192" i="59"/>
  <c r="E192" i="59"/>
  <c r="D193" i="59"/>
  <c r="E193" i="59"/>
  <c r="D194" i="59"/>
  <c r="E194" i="59"/>
  <c r="D195" i="59"/>
  <c r="E195" i="59"/>
  <c r="D196" i="59"/>
  <c r="E196" i="59"/>
  <c r="D197" i="59"/>
  <c r="E197" i="59"/>
  <c r="D198" i="59"/>
  <c r="E198" i="59"/>
  <c r="D199" i="59"/>
  <c r="E199" i="59"/>
  <c r="D200" i="59"/>
  <c r="E200" i="59"/>
  <c r="D201" i="59"/>
  <c r="E201" i="59"/>
  <c r="D202" i="59"/>
  <c r="E202" i="59"/>
  <c r="D203" i="59"/>
  <c r="E203" i="59"/>
  <c r="D204" i="59"/>
  <c r="E204" i="59"/>
  <c r="D205" i="59"/>
  <c r="E205" i="59"/>
  <c r="D206" i="59"/>
  <c r="E206" i="59"/>
  <c r="D207" i="59"/>
  <c r="E207" i="59"/>
  <c r="D208" i="59"/>
  <c r="E208" i="59"/>
  <c r="D209" i="59"/>
  <c r="E209" i="59"/>
  <c r="D210" i="59"/>
  <c r="E210" i="59"/>
  <c r="D211" i="59"/>
  <c r="E211" i="59"/>
  <c r="D212" i="59"/>
  <c r="E212" i="59"/>
  <c r="D213" i="59"/>
  <c r="E213" i="59"/>
  <c r="D214" i="59"/>
  <c r="E214" i="59"/>
  <c r="D215" i="59"/>
  <c r="E215" i="59"/>
  <c r="D216" i="59"/>
  <c r="E216" i="59"/>
  <c r="D217" i="59"/>
  <c r="E217" i="59"/>
  <c r="D218" i="59"/>
  <c r="E218" i="59"/>
  <c r="D219" i="59"/>
  <c r="E219" i="59"/>
  <c r="D220" i="59"/>
  <c r="E220" i="59"/>
  <c r="D221" i="59"/>
  <c r="E221" i="59"/>
  <c r="D222" i="59"/>
  <c r="E222" i="59"/>
  <c r="D223" i="59"/>
  <c r="E223" i="59"/>
  <c r="D224" i="59"/>
  <c r="E224" i="59"/>
  <c r="D225" i="59"/>
  <c r="E225" i="59"/>
  <c r="D226" i="59"/>
  <c r="E226" i="59"/>
  <c r="D227" i="59"/>
  <c r="E227" i="59"/>
  <c r="D228" i="59"/>
  <c r="E228" i="59"/>
  <c r="D229" i="59"/>
  <c r="E229" i="59"/>
  <c r="D230" i="59"/>
  <c r="E230" i="59"/>
  <c r="D231" i="59"/>
  <c r="E231" i="59"/>
  <c r="D232" i="59"/>
  <c r="E232" i="59"/>
  <c r="D233" i="59"/>
  <c r="E233" i="59"/>
  <c r="D234" i="59"/>
  <c r="E234" i="59"/>
  <c r="D235" i="59"/>
  <c r="E235" i="59"/>
  <c r="D236" i="59"/>
  <c r="E236" i="59"/>
  <c r="D237" i="59"/>
  <c r="E237" i="59"/>
  <c r="D238" i="59"/>
  <c r="E238" i="59"/>
  <c r="D239" i="59"/>
  <c r="E239" i="59"/>
  <c r="D240" i="59"/>
  <c r="E240" i="59"/>
  <c r="D241" i="59"/>
  <c r="E241" i="59"/>
  <c r="D242" i="59"/>
  <c r="E242" i="59"/>
  <c r="D243" i="59"/>
  <c r="E243" i="59"/>
  <c r="D244" i="59"/>
  <c r="E244" i="59"/>
  <c r="D245" i="59"/>
  <c r="E245" i="59"/>
  <c r="D246" i="59"/>
  <c r="E246" i="59"/>
  <c r="D247" i="59"/>
  <c r="E247" i="59"/>
  <c r="D248" i="59"/>
  <c r="E248" i="59"/>
  <c r="D249" i="59"/>
  <c r="E249" i="59"/>
  <c r="D250" i="59"/>
  <c r="E250" i="59"/>
  <c r="D251" i="59"/>
  <c r="E251" i="59"/>
  <c r="D252" i="59"/>
  <c r="E252" i="59"/>
  <c r="D253" i="59"/>
  <c r="E253" i="59"/>
  <c r="D254" i="59"/>
  <c r="E254" i="59"/>
  <c r="D255" i="59"/>
  <c r="E255" i="59"/>
  <c r="D256" i="59"/>
  <c r="E256" i="59"/>
  <c r="D257" i="59"/>
  <c r="E257" i="59"/>
  <c r="D258" i="59"/>
  <c r="E258" i="59"/>
  <c r="D259" i="59"/>
  <c r="E259" i="59"/>
  <c r="D260" i="59"/>
  <c r="E260" i="59"/>
  <c r="D261" i="59"/>
  <c r="E261" i="59"/>
  <c r="D262" i="59"/>
  <c r="E262" i="59"/>
  <c r="D263" i="59"/>
  <c r="E263" i="59"/>
  <c r="D264" i="59"/>
  <c r="E264" i="59"/>
  <c r="D265" i="59"/>
  <c r="E265" i="59"/>
  <c r="D266" i="59"/>
  <c r="E266" i="59"/>
  <c r="D267" i="59"/>
  <c r="E267" i="59"/>
  <c r="D268" i="59"/>
  <c r="E268" i="59"/>
  <c r="D269" i="59"/>
  <c r="E269" i="59"/>
  <c r="D270" i="59"/>
  <c r="E270" i="59"/>
  <c r="D271" i="59"/>
  <c r="E271" i="59"/>
  <c r="D272" i="59"/>
  <c r="E272" i="59"/>
  <c r="D273" i="59"/>
  <c r="E273" i="59"/>
  <c r="D274" i="59"/>
  <c r="E274" i="59"/>
  <c r="D275" i="59"/>
  <c r="E275" i="59"/>
  <c r="D276" i="59"/>
  <c r="E276" i="59"/>
  <c r="D277" i="59"/>
  <c r="E277" i="59"/>
  <c r="D278" i="59"/>
  <c r="E278" i="59"/>
  <c r="D279" i="59"/>
  <c r="E279" i="59"/>
  <c r="D280" i="59"/>
  <c r="E280" i="59"/>
  <c r="D281" i="59"/>
  <c r="E281" i="59"/>
  <c r="D282" i="59"/>
  <c r="E282" i="59"/>
  <c r="D283" i="59"/>
  <c r="E283" i="59"/>
  <c r="D284" i="59"/>
  <c r="E284" i="59"/>
  <c r="D285" i="59"/>
  <c r="E285" i="59"/>
  <c r="D286" i="59"/>
  <c r="E286" i="59"/>
  <c r="D287" i="59"/>
  <c r="E287" i="59"/>
  <c r="D288" i="59"/>
  <c r="E288" i="59"/>
  <c r="D289" i="59"/>
  <c r="E289" i="59"/>
  <c r="D290" i="59"/>
  <c r="E290" i="59"/>
  <c r="D291" i="59"/>
  <c r="E291" i="59"/>
  <c r="D292" i="59"/>
  <c r="E292" i="59"/>
  <c r="D293" i="59"/>
  <c r="E293" i="59"/>
  <c r="D294" i="59"/>
  <c r="E294" i="59"/>
  <c r="D295" i="59"/>
  <c r="E295" i="59"/>
  <c r="D296" i="59"/>
  <c r="E296" i="59"/>
  <c r="D297" i="59"/>
  <c r="E297" i="59"/>
  <c r="D298" i="59"/>
  <c r="E298" i="59"/>
  <c r="D299" i="59"/>
  <c r="E299" i="59"/>
  <c r="D300" i="59"/>
  <c r="E300" i="59"/>
  <c r="D301" i="59"/>
  <c r="E301" i="59"/>
  <c r="D302" i="59"/>
  <c r="E302" i="59"/>
  <c r="D303" i="59"/>
  <c r="E303" i="59"/>
  <c r="D304" i="59"/>
  <c r="E304" i="59"/>
  <c r="D305" i="59"/>
  <c r="E305" i="59"/>
  <c r="D306" i="59"/>
  <c r="E306" i="59"/>
  <c r="D307" i="59"/>
  <c r="E307" i="59"/>
  <c r="D308" i="59"/>
  <c r="E308" i="59"/>
  <c r="D309" i="59"/>
  <c r="E309" i="59"/>
  <c r="D310" i="59"/>
  <c r="E310" i="59"/>
  <c r="D311" i="59"/>
  <c r="E311" i="59"/>
  <c r="D312" i="59"/>
  <c r="E312" i="59"/>
  <c r="D313" i="59"/>
  <c r="E313" i="59"/>
  <c r="D314" i="59"/>
  <c r="E314" i="59"/>
  <c r="D315" i="59"/>
  <c r="E315" i="59"/>
  <c r="D316" i="59"/>
  <c r="E316" i="59"/>
  <c r="D317" i="59"/>
  <c r="E317" i="59"/>
  <c r="D318" i="59"/>
  <c r="E318" i="59"/>
  <c r="D319" i="59"/>
  <c r="E319" i="59"/>
  <c r="D320" i="59"/>
  <c r="E320" i="59"/>
  <c r="D321" i="59"/>
  <c r="E321" i="59"/>
  <c r="D322" i="59"/>
  <c r="E322" i="59"/>
  <c r="D323" i="59"/>
  <c r="E323" i="59"/>
  <c r="D324" i="59"/>
  <c r="E324" i="59"/>
  <c r="D325" i="59"/>
  <c r="E325" i="59"/>
  <c r="D326" i="59"/>
  <c r="E326" i="59"/>
  <c r="D327" i="59"/>
  <c r="E327" i="59"/>
  <c r="D328" i="59"/>
  <c r="E328" i="59"/>
  <c r="D329" i="59"/>
  <c r="E329" i="59"/>
  <c r="D330" i="59"/>
  <c r="E330" i="59"/>
  <c r="D331" i="59"/>
  <c r="E331" i="59"/>
  <c r="D332" i="59"/>
  <c r="E332" i="59"/>
  <c r="D333" i="59"/>
  <c r="E333" i="59"/>
  <c r="D334" i="59"/>
  <c r="E334" i="59"/>
  <c r="D335" i="59"/>
  <c r="E335" i="59"/>
  <c r="D336" i="59"/>
  <c r="E336" i="59"/>
  <c r="D337" i="59"/>
  <c r="E337" i="59"/>
  <c r="D338" i="59"/>
  <c r="E338" i="59"/>
  <c r="D339" i="59"/>
  <c r="E339" i="59"/>
  <c r="D340" i="59"/>
  <c r="E340" i="59"/>
  <c r="D341" i="59"/>
  <c r="E341" i="59"/>
  <c r="D342" i="59"/>
  <c r="E342" i="59"/>
  <c r="D343" i="59"/>
  <c r="E343" i="59"/>
  <c r="D344" i="59"/>
  <c r="E344" i="59"/>
  <c r="D345" i="59"/>
  <c r="E345" i="59"/>
  <c r="D346" i="59"/>
  <c r="E346" i="59"/>
  <c r="D347" i="59"/>
  <c r="E347" i="59"/>
  <c r="D348" i="59"/>
  <c r="E348" i="59"/>
  <c r="D349" i="59"/>
  <c r="E349" i="59"/>
  <c r="D350" i="59"/>
  <c r="E350" i="59"/>
  <c r="D351" i="59"/>
  <c r="E351" i="59"/>
  <c r="D352" i="59"/>
  <c r="E352" i="59"/>
  <c r="D353" i="59"/>
  <c r="E353" i="59"/>
  <c r="D354" i="59"/>
  <c r="E354" i="59"/>
  <c r="D355" i="59"/>
  <c r="E355" i="59"/>
  <c r="D356" i="59"/>
  <c r="E356" i="59"/>
  <c r="D357" i="59"/>
  <c r="E357" i="59"/>
  <c r="D358" i="59"/>
  <c r="E358" i="59"/>
  <c r="D359" i="59"/>
  <c r="E359" i="59"/>
  <c r="D360" i="59"/>
  <c r="E360" i="59"/>
  <c r="D361" i="59"/>
  <c r="E361" i="59"/>
  <c r="D362" i="59"/>
  <c r="E362" i="59"/>
  <c r="D363" i="59"/>
  <c r="E363" i="59"/>
  <c r="D364" i="59"/>
  <c r="E364" i="59"/>
  <c r="D365" i="59"/>
  <c r="E365" i="59"/>
  <c r="D366" i="59"/>
  <c r="E366" i="59"/>
  <c r="D367" i="59"/>
  <c r="E367" i="59"/>
  <c r="D368" i="59"/>
  <c r="E368" i="59"/>
  <c r="D369" i="59"/>
  <c r="E369" i="59"/>
  <c r="D370" i="59"/>
  <c r="E370" i="59"/>
  <c r="D371" i="59"/>
  <c r="E371" i="59"/>
  <c r="D372" i="59"/>
  <c r="E372" i="59"/>
  <c r="D373" i="59"/>
  <c r="E373" i="59"/>
  <c r="D374" i="59"/>
  <c r="E374" i="59"/>
  <c r="D375" i="59"/>
  <c r="E375" i="59"/>
  <c r="D376" i="59"/>
  <c r="E376" i="59"/>
  <c r="D377" i="59"/>
  <c r="E377" i="59"/>
  <c r="D378" i="59"/>
  <c r="E378" i="59"/>
  <c r="D379" i="59"/>
  <c r="E379" i="59"/>
  <c r="D380" i="59"/>
  <c r="E380" i="59"/>
  <c r="D381" i="59"/>
  <c r="E381" i="59"/>
  <c r="D382" i="59"/>
  <c r="E382" i="59"/>
  <c r="D383" i="59"/>
  <c r="E383" i="59"/>
  <c r="D384" i="59"/>
  <c r="E384" i="59"/>
  <c r="D385" i="59"/>
  <c r="E385" i="59"/>
  <c r="D386" i="59"/>
  <c r="E386" i="59"/>
  <c r="D387" i="59"/>
  <c r="E387" i="59"/>
  <c r="D388" i="59"/>
  <c r="E388" i="59"/>
  <c r="D389" i="59"/>
  <c r="E389" i="59"/>
  <c r="D390" i="59"/>
  <c r="E390" i="59"/>
  <c r="D391" i="59"/>
  <c r="E391" i="59"/>
  <c r="D392" i="59"/>
  <c r="E392" i="59"/>
  <c r="D393" i="59"/>
  <c r="E393" i="59"/>
  <c r="D394" i="59"/>
  <c r="E394" i="59"/>
  <c r="D395" i="59"/>
  <c r="E395" i="59"/>
  <c r="D396" i="59"/>
  <c r="E396" i="59"/>
  <c r="D397" i="59"/>
  <c r="E397" i="59"/>
  <c r="D398" i="59"/>
  <c r="E398" i="59"/>
  <c r="D399" i="59"/>
  <c r="E399" i="59"/>
  <c r="D400" i="59"/>
  <c r="E400" i="59"/>
  <c r="D401" i="59"/>
  <c r="E401" i="59"/>
  <c r="D402" i="59"/>
  <c r="E402" i="59"/>
  <c r="D403" i="59"/>
  <c r="E403" i="59"/>
  <c r="D404" i="59"/>
  <c r="E404" i="59"/>
  <c r="D405" i="59"/>
  <c r="E405" i="59"/>
  <c r="D406" i="59"/>
  <c r="E406" i="59"/>
  <c r="D407" i="59"/>
  <c r="E407" i="59"/>
  <c r="D408" i="59"/>
  <c r="E408" i="59"/>
  <c r="D409" i="59"/>
  <c r="E409" i="59"/>
  <c r="D410" i="59"/>
  <c r="E410" i="59"/>
  <c r="D411" i="59"/>
  <c r="E411" i="59"/>
  <c r="D412" i="59"/>
  <c r="E412" i="59"/>
  <c r="D413" i="59"/>
  <c r="E413" i="59"/>
  <c r="D414" i="59"/>
  <c r="E414" i="59"/>
  <c r="D415" i="59"/>
  <c r="E415" i="59"/>
  <c r="D416" i="59"/>
  <c r="E416" i="59"/>
  <c r="D417" i="59"/>
  <c r="E417" i="59"/>
  <c r="D418" i="59"/>
  <c r="E418" i="59"/>
  <c r="D419" i="59"/>
  <c r="E419" i="59"/>
  <c r="D420" i="59"/>
  <c r="E420" i="59"/>
  <c r="D421" i="59"/>
  <c r="E421" i="59"/>
  <c r="D422" i="59"/>
  <c r="E422" i="59"/>
  <c r="D423" i="59"/>
  <c r="E423" i="59"/>
  <c r="D424" i="59"/>
  <c r="E424" i="59"/>
  <c r="D425" i="59"/>
  <c r="E425" i="59"/>
  <c r="D426" i="59"/>
  <c r="E426" i="59"/>
  <c r="D427" i="59"/>
  <c r="E427" i="59"/>
  <c r="D428" i="59"/>
  <c r="E428" i="59"/>
  <c r="D429" i="59"/>
  <c r="E429" i="59"/>
  <c r="D430" i="59"/>
  <c r="E430" i="59"/>
  <c r="D431" i="59"/>
  <c r="E431" i="59"/>
  <c r="D432" i="59"/>
  <c r="E432" i="59"/>
  <c r="D433" i="59"/>
  <c r="E433" i="59"/>
  <c r="D434" i="59"/>
  <c r="E434" i="59"/>
  <c r="D435" i="59"/>
  <c r="E435" i="59"/>
  <c r="D436" i="59"/>
  <c r="E436" i="59"/>
  <c r="D437" i="59"/>
  <c r="E437" i="59"/>
  <c r="D438" i="59"/>
  <c r="E438" i="59"/>
  <c r="D439" i="59"/>
  <c r="E439" i="59"/>
  <c r="D440" i="59"/>
  <c r="E440" i="59"/>
  <c r="D441" i="59"/>
  <c r="E441" i="59"/>
  <c r="D442" i="59"/>
  <c r="E442" i="59"/>
  <c r="D443" i="59"/>
  <c r="E443" i="59"/>
  <c r="D444" i="59"/>
  <c r="E444" i="59"/>
  <c r="D445" i="59"/>
  <c r="E445" i="59"/>
  <c r="D446" i="59"/>
  <c r="E446" i="59"/>
  <c r="D447" i="59"/>
  <c r="E447" i="59"/>
  <c r="D448" i="59"/>
  <c r="E448" i="59"/>
  <c r="D449" i="59"/>
  <c r="E449" i="59"/>
  <c r="D450" i="59"/>
  <c r="E450" i="59"/>
  <c r="D451" i="59"/>
  <c r="E451" i="59"/>
  <c r="D452" i="59"/>
  <c r="E452" i="59"/>
  <c r="D453" i="59"/>
  <c r="E453" i="59"/>
  <c r="D454" i="59"/>
  <c r="E454" i="59"/>
  <c r="D455" i="59"/>
  <c r="E455" i="59"/>
  <c r="D456" i="59"/>
  <c r="E456" i="59"/>
  <c r="D457" i="59"/>
  <c r="E457" i="59"/>
  <c r="D458" i="59"/>
  <c r="E458" i="59"/>
  <c r="D459" i="59"/>
  <c r="E459" i="59"/>
  <c r="D460" i="59"/>
  <c r="E460" i="59"/>
  <c r="D461" i="59"/>
  <c r="E461" i="59"/>
  <c r="D462" i="59"/>
  <c r="E462" i="59"/>
  <c r="D463" i="59"/>
  <c r="E463" i="59"/>
  <c r="D464" i="59"/>
  <c r="E464" i="59"/>
  <c r="D465" i="59"/>
  <c r="E465" i="59"/>
  <c r="D466" i="59"/>
  <c r="E466" i="59"/>
  <c r="D467" i="59"/>
  <c r="E467" i="59"/>
  <c r="D468" i="59"/>
  <c r="E468" i="59"/>
  <c r="D469" i="59"/>
  <c r="E469" i="59"/>
  <c r="D470" i="59"/>
  <c r="E470" i="59"/>
  <c r="D471" i="59"/>
  <c r="E471" i="59"/>
  <c r="D472" i="59"/>
  <c r="E472" i="59"/>
  <c r="D473" i="59"/>
  <c r="E473" i="59"/>
  <c r="D474" i="59"/>
  <c r="E474" i="59"/>
  <c r="D475" i="59"/>
  <c r="E475" i="59"/>
  <c r="D476" i="59"/>
  <c r="E476" i="59"/>
  <c r="D477" i="59"/>
  <c r="E477" i="59"/>
  <c r="D478" i="59"/>
  <c r="E478" i="59"/>
  <c r="D479" i="59"/>
  <c r="E479" i="59"/>
  <c r="D480" i="59"/>
  <c r="E480" i="59"/>
  <c r="D481" i="59"/>
  <c r="E481" i="59"/>
  <c r="D482" i="59"/>
  <c r="E482" i="59"/>
  <c r="D483" i="59"/>
  <c r="E483" i="59"/>
  <c r="D484" i="59"/>
  <c r="E484" i="59"/>
  <c r="D485" i="59"/>
  <c r="E485" i="59"/>
  <c r="D486" i="59"/>
  <c r="E486" i="59"/>
  <c r="D487" i="59"/>
  <c r="E487" i="59"/>
  <c r="D488" i="59"/>
  <c r="E488" i="59"/>
  <c r="D489" i="59"/>
  <c r="E489" i="59"/>
  <c r="D490" i="59"/>
  <c r="E490" i="59"/>
  <c r="D491" i="59"/>
  <c r="E491" i="59"/>
  <c r="D492" i="59"/>
  <c r="E492" i="59"/>
  <c r="D493" i="59"/>
  <c r="E493" i="59"/>
  <c r="D494" i="59"/>
  <c r="E494" i="59"/>
  <c r="D495" i="59"/>
  <c r="E495" i="59"/>
  <c r="D496" i="59"/>
  <c r="E496" i="59"/>
  <c r="D497" i="59"/>
  <c r="E497" i="59"/>
  <c r="D498" i="59"/>
  <c r="E498" i="59"/>
  <c r="D499" i="59"/>
  <c r="E499" i="59"/>
  <c r="D500" i="59"/>
  <c r="E500" i="59"/>
  <c r="D501" i="59"/>
  <c r="E501" i="59"/>
  <c r="D502" i="59"/>
  <c r="E502" i="59"/>
  <c r="D503" i="59"/>
  <c r="E503" i="59"/>
  <c r="D504" i="59"/>
  <c r="E504" i="59"/>
  <c r="D505" i="59"/>
  <c r="E505" i="59"/>
  <c r="D506" i="59"/>
  <c r="E506" i="59"/>
  <c r="D507" i="59"/>
  <c r="E507" i="59"/>
  <c r="D508" i="59"/>
  <c r="E508" i="59"/>
  <c r="D509" i="59"/>
  <c r="E509" i="59"/>
  <c r="D510" i="59"/>
  <c r="E510" i="59"/>
  <c r="D511" i="59"/>
  <c r="E511" i="59"/>
  <c r="D512" i="59"/>
  <c r="E512" i="59"/>
  <c r="D513" i="59"/>
  <c r="E513" i="59"/>
  <c r="D514" i="59"/>
  <c r="E514" i="59"/>
  <c r="D515" i="59"/>
  <c r="E515" i="59"/>
  <c r="D516" i="59"/>
  <c r="E516" i="59"/>
  <c r="D517" i="59"/>
  <c r="E517" i="59"/>
  <c r="D518" i="59"/>
  <c r="E518" i="59"/>
  <c r="D519" i="59"/>
  <c r="E519" i="59"/>
  <c r="D520" i="59"/>
  <c r="E520" i="59"/>
  <c r="D521" i="59"/>
  <c r="E521" i="59"/>
  <c r="D522" i="59"/>
  <c r="E522" i="59"/>
  <c r="D523" i="59"/>
  <c r="E523" i="59"/>
  <c r="D524" i="59"/>
  <c r="E524" i="59"/>
  <c r="D525" i="59"/>
  <c r="E525" i="59"/>
  <c r="D526" i="59"/>
  <c r="E526" i="59"/>
  <c r="D527" i="59"/>
  <c r="E527" i="59"/>
  <c r="D528" i="59"/>
  <c r="E528" i="59"/>
  <c r="D529" i="59"/>
  <c r="E529" i="59"/>
  <c r="D530" i="59"/>
  <c r="E530" i="59"/>
  <c r="D531" i="59"/>
  <c r="E531" i="59"/>
  <c r="D532" i="59"/>
  <c r="E532" i="59"/>
  <c r="D533" i="59"/>
  <c r="E533" i="59"/>
  <c r="D534" i="59"/>
  <c r="E534" i="59"/>
  <c r="D535" i="59"/>
  <c r="E535" i="59"/>
  <c r="D536" i="59"/>
  <c r="E536" i="59"/>
  <c r="D537" i="59"/>
  <c r="E537" i="59"/>
  <c r="D538" i="59"/>
  <c r="E538" i="59"/>
  <c r="D539" i="59"/>
  <c r="E539" i="59"/>
  <c r="D540" i="59"/>
  <c r="E540" i="59"/>
  <c r="D541" i="59"/>
  <c r="E541" i="59"/>
  <c r="D542" i="59"/>
  <c r="E542" i="59"/>
  <c r="D543" i="59"/>
  <c r="E543" i="59"/>
  <c r="D544" i="59"/>
  <c r="E544" i="59"/>
  <c r="D545" i="59"/>
  <c r="E545" i="59"/>
  <c r="D546" i="59"/>
  <c r="E546" i="59"/>
  <c r="D547" i="59"/>
  <c r="E547" i="59"/>
  <c r="D548" i="59"/>
  <c r="E548" i="59"/>
  <c r="D549" i="59"/>
  <c r="E549" i="59"/>
  <c r="D550" i="59"/>
  <c r="E550" i="59"/>
  <c r="D551" i="59"/>
  <c r="E551" i="59"/>
  <c r="D552" i="59"/>
  <c r="E552" i="59"/>
  <c r="D553" i="59"/>
  <c r="E553" i="59"/>
  <c r="D554" i="59"/>
  <c r="E554" i="59"/>
  <c r="D555" i="59"/>
  <c r="E555" i="59"/>
  <c r="D556" i="59"/>
  <c r="E556" i="59"/>
  <c r="D557" i="59"/>
  <c r="E557" i="59"/>
  <c r="D558" i="59"/>
  <c r="E558" i="59"/>
  <c r="D559" i="59"/>
  <c r="E559" i="59"/>
  <c r="D560" i="59"/>
  <c r="E560" i="59"/>
  <c r="D561" i="59"/>
  <c r="E561" i="59"/>
  <c r="D562" i="59"/>
  <c r="E562" i="59"/>
  <c r="D563" i="59"/>
  <c r="E563" i="59"/>
  <c r="D564" i="59"/>
  <c r="E564" i="59"/>
  <c r="D565" i="59"/>
  <c r="E565" i="59"/>
  <c r="D566" i="59"/>
  <c r="E566" i="59"/>
  <c r="D567" i="59"/>
  <c r="E567" i="59"/>
  <c r="D568" i="59"/>
  <c r="E568" i="59"/>
  <c r="D569" i="59"/>
  <c r="E569" i="59"/>
  <c r="D570" i="59"/>
  <c r="E570" i="59"/>
  <c r="D571" i="59"/>
  <c r="E571" i="59"/>
  <c r="D572" i="59"/>
  <c r="E572" i="59"/>
  <c r="D573" i="59"/>
  <c r="E573" i="59"/>
  <c r="D574" i="59"/>
  <c r="E574" i="59"/>
  <c r="D575" i="59"/>
  <c r="E575" i="59"/>
  <c r="D576" i="59"/>
  <c r="E576" i="59"/>
  <c r="D577" i="59"/>
  <c r="E577" i="59"/>
  <c r="D578" i="59"/>
  <c r="E578" i="59"/>
  <c r="D579" i="59"/>
  <c r="E579" i="59"/>
  <c r="D580" i="59"/>
  <c r="E580" i="59"/>
  <c r="D581" i="59"/>
  <c r="E581" i="59"/>
  <c r="D582" i="59"/>
  <c r="E582" i="59"/>
  <c r="D583" i="59"/>
  <c r="E583" i="59"/>
  <c r="D584" i="59"/>
  <c r="E584" i="59"/>
  <c r="D585" i="59"/>
  <c r="E585" i="59"/>
  <c r="D586" i="59"/>
  <c r="E586" i="59"/>
  <c r="D587" i="59"/>
  <c r="E587" i="59"/>
  <c r="D588" i="59"/>
  <c r="E588" i="59"/>
  <c r="D589" i="59"/>
  <c r="E589" i="59"/>
  <c r="D590" i="59"/>
  <c r="E590" i="59"/>
  <c r="D591" i="59"/>
  <c r="E591" i="59"/>
  <c r="D592" i="59"/>
  <c r="E592" i="59"/>
  <c r="D593" i="59"/>
  <c r="E593" i="59"/>
  <c r="D594" i="59"/>
  <c r="E594" i="59"/>
  <c r="D595" i="59"/>
  <c r="E595" i="59"/>
  <c r="D596" i="59"/>
  <c r="E596" i="59"/>
  <c r="D597" i="59"/>
  <c r="E597" i="59"/>
  <c r="D598" i="59"/>
  <c r="E598" i="59"/>
  <c r="D599" i="59"/>
  <c r="E599" i="59"/>
  <c r="D600" i="59"/>
  <c r="E600" i="59"/>
  <c r="D601" i="59"/>
  <c r="E601" i="59"/>
  <c r="D602" i="59"/>
  <c r="E602" i="59"/>
  <c r="D603" i="59"/>
  <c r="E603" i="59"/>
  <c r="D604" i="59"/>
  <c r="E604" i="59"/>
  <c r="D605" i="59"/>
  <c r="E605" i="59"/>
  <c r="D606" i="59"/>
  <c r="E606" i="59"/>
  <c r="D607" i="59"/>
  <c r="E607" i="59"/>
  <c r="D608" i="59"/>
  <c r="E608" i="59"/>
  <c r="D609" i="59"/>
  <c r="E609" i="59"/>
  <c r="D610" i="59"/>
  <c r="E610" i="59"/>
  <c r="D611" i="59"/>
  <c r="E611" i="59"/>
  <c r="D612" i="59"/>
  <c r="E612" i="59"/>
  <c r="D613" i="59"/>
  <c r="E613" i="59"/>
  <c r="D614" i="59"/>
  <c r="E614" i="59"/>
  <c r="D615" i="59"/>
  <c r="E615" i="59"/>
  <c r="D616" i="59"/>
  <c r="E616" i="59"/>
  <c r="D617" i="59"/>
  <c r="E617" i="59"/>
  <c r="D618" i="59"/>
  <c r="E618" i="59"/>
  <c r="D619" i="59"/>
  <c r="E619" i="59"/>
  <c r="D620" i="59"/>
  <c r="E620" i="59"/>
  <c r="D621" i="59"/>
  <c r="E621" i="59"/>
  <c r="D622" i="59"/>
  <c r="E622" i="59"/>
  <c r="D623" i="59"/>
  <c r="E623" i="59"/>
  <c r="D624" i="59"/>
  <c r="E624" i="59"/>
  <c r="D625" i="59"/>
  <c r="E625" i="59"/>
  <c r="D626" i="59"/>
  <c r="E626" i="59"/>
  <c r="D627" i="59"/>
  <c r="E627" i="59"/>
  <c r="D628" i="59"/>
  <c r="E628" i="59"/>
  <c r="D629" i="59"/>
  <c r="E629" i="59"/>
  <c r="D630" i="59"/>
  <c r="E630" i="59"/>
  <c r="D631" i="59"/>
  <c r="E631" i="59"/>
  <c r="D632" i="59"/>
  <c r="E632" i="59"/>
  <c r="D633" i="59"/>
  <c r="E633" i="59"/>
  <c r="D634" i="59"/>
  <c r="E634" i="59"/>
  <c r="D635" i="59"/>
  <c r="E635" i="59"/>
  <c r="D636" i="59"/>
  <c r="E636" i="59"/>
  <c r="D637" i="59"/>
  <c r="E637" i="59"/>
  <c r="D638" i="59"/>
  <c r="E638" i="59"/>
  <c r="D639" i="59"/>
  <c r="E639" i="59"/>
  <c r="D640" i="59"/>
  <c r="E640" i="59"/>
  <c r="D641" i="59"/>
  <c r="E641" i="59"/>
  <c r="D642" i="59"/>
  <c r="E642" i="59"/>
  <c r="D643" i="59"/>
  <c r="E643" i="59"/>
  <c r="D644" i="59"/>
  <c r="E644" i="59"/>
  <c r="D645" i="59"/>
  <c r="E645" i="59"/>
  <c r="D646" i="59"/>
  <c r="E646" i="59"/>
  <c r="D647" i="59"/>
  <c r="E647" i="59"/>
  <c r="D648" i="59"/>
  <c r="E648" i="59"/>
  <c r="D649" i="59"/>
  <c r="E649" i="59"/>
  <c r="D650" i="59"/>
  <c r="E650" i="59"/>
  <c r="D651" i="59"/>
  <c r="E651" i="59"/>
  <c r="D652" i="59"/>
  <c r="E652" i="59"/>
  <c r="D653" i="59"/>
  <c r="E653" i="59"/>
  <c r="D654" i="59"/>
  <c r="E654" i="59"/>
  <c r="D655" i="59"/>
  <c r="E655" i="59"/>
  <c r="D656" i="59"/>
  <c r="E656" i="59"/>
  <c r="D657" i="59"/>
  <c r="E657" i="59"/>
  <c r="D658" i="59"/>
  <c r="E658" i="59"/>
  <c r="D659" i="59"/>
  <c r="E659" i="59"/>
  <c r="D660" i="59"/>
  <c r="E660" i="59"/>
  <c r="D661" i="59"/>
  <c r="E661" i="59"/>
  <c r="D662" i="59"/>
  <c r="E662" i="59"/>
  <c r="D663" i="59"/>
  <c r="E663" i="59"/>
  <c r="D664" i="59"/>
  <c r="E664" i="59"/>
  <c r="D665" i="59"/>
  <c r="E665" i="59"/>
  <c r="D666" i="59"/>
  <c r="E666" i="59"/>
  <c r="D667" i="59"/>
  <c r="E667" i="59"/>
  <c r="D668" i="59"/>
  <c r="E668" i="59"/>
  <c r="D669" i="59"/>
  <c r="E669" i="59"/>
  <c r="D670" i="59"/>
  <c r="E670" i="59"/>
  <c r="D671" i="59"/>
  <c r="E671" i="59"/>
  <c r="D672" i="59"/>
  <c r="E672" i="59"/>
  <c r="D673" i="59"/>
  <c r="E673" i="59"/>
  <c r="D674" i="59"/>
  <c r="E674" i="59"/>
  <c r="D675" i="59"/>
  <c r="E675" i="59"/>
  <c r="D676" i="59"/>
  <c r="E676" i="59"/>
  <c r="D677" i="59"/>
  <c r="E677" i="59"/>
  <c r="D678" i="59"/>
  <c r="E678" i="59"/>
  <c r="D679" i="59"/>
  <c r="E679" i="59"/>
  <c r="D680" i="59"/>
  <c r="E680" i="59"/>
  <c r="D681" i="59"/>
  <c r="E681" i="59"/>
  <c r="D682" i="59"/>
  <c r="E682" i="59"/>
  <c r="D683" i="59"/>
  <c r="E683" i="59"/>
  <c r="D684" i="59"/>
  <c r="E684" i="59"/>
  <c r="D685" i="59"/>
  <c r="E685" i="59"/>
  <c r="D686" i="59"/>
  <c r="E686" i="59"/>
  <c r="D687" i="59"/>
  <c r="E687" i="59"/>
  <c r="D688" i="59"/>
  <c r="E688" i="59"/>
  <c r="D689" i="59"/>
  <c r="E689" i="59"/>
  <c r="D690" i="59"/>
  <c r="E690" i="59"/>
  <c r="D691" i="59"/>
  <c r="E691" i="59"/>
  <c r="D692" i="59"/>
  <c r="E692" i="59"/>
  <c r="D693" i="59"/>
  <c r="E693" i="59"/>
  <c r="D694" i="59"/>
  <c r="E694" i="59"/>
  <c r="D695" i="59"/>
  <c r="E695" i="59"/>
  <c r="D696" i="59"/>
  <c r="E696" i="59"/>
  <c r="D697" i="59"/>
  <c r="E697" i="59"/>
  <c r="D698" i="59"/>
  <c r="E698" i="59"/>
  <c r="D699" i="59"/>
  <c r="E699" i="59"/>
  <c r="D700" i="59"/>
  <c r="E700" i="59"/>
  <c r="D701" i="59"/>
  <c r="E701" i="59"/>
  <c r="D702" i="59"/>
  <c r="E702" i="59"/>
  <c r="D703" i="59"/>
  <c r="E703" i="59"/>
  <c r="D704" i="59"/>
  <c r="E704" i="59"/>
  <c r="D705" i="59"/>
  <c r="E705" i="59"/>
  <c r="D706" i="59"/>
  <c r="E706" i="59"/>
  <c r="D707" i="59"/>
  <c r="E707" i="59"/>
  <c r="D708" i="59"/>
  <c r="E708" i="59"/>
  <c r="D709" i="59"/>
  <c r="E709" i="59"/>
  <c r="D710" i="59"/>
  <c r="E710" i="59"/>
  <c r="D711" i="59"/>
  <c r="E711" i="59"/>
  <c r="D712" i="59"/>
  <c r="E712" i="59"/>
  <c r="D713" i="59"/>
  <c r="E713" i="59"/>
  <c r="D714" i="59"/>
  <c r="E714" i="59"/>
  <c r="D715" i="59"/>
  <c r="E715" i="59"/>
  <c r="D716" i="59"/>
  <c r="E716" i="59"/>
  <c r="D717" i="59"/>
  <c r="E717" i="59"/>
  <c r="D718" i="59"/>
  <c r="E718" i="59"/>
  <c r="D719" i="59"/>
  <c r="E719" i="59"/>
  <c r="D720" i="59"/>
  <c r="E720" i="59"/>
  <c r="D721" i="59"/>
  <c r="E721" i="59"/>
  <c r="D722" i="59"/>
  <c r="E722" i="59"/>
  <c r="D723" i="59"/>
  <c r="E723" i="59"/>
  <c r="D724" i="59"/>
  <c r="E724" i="59"/>
  <c r="D725" i="59"/>
  <c r="E725" i="59"/>
  <c r="D726" i="59"/>
  <c r="E726" i="59"/>
  <c r="D727" i="59"/>
  <c r="E727" i="59"/>
  <c r="D728" i="59"/>
  <c r="E728" i="59"/>
  <c r="D729" i="59"/>
  <c r="E729" i="59"/>
  <c r="D730" i="59"/>
  <c r="E730" i="59"/>
  <c r="D731" i="59"/>
  <c r="E731" i="59"/>
  <c r="D732" i="59"/>
  <c r="E732" i="59"/>
  <c r="D733" i="59"/>
  <c r="E733" i="59"/>
  <c r="D734" i="59"/>
  <c r="E734" i="59"/>
  <c r="D735" i="59"/>
  <c r="E735" i="59"/>
  <c r="D736" i="59"/>
  <c r="E736" i="59"/>
  <c r="D737" i="59"/>
  <c r="E737" i="59"/>
  <c r="D738" i="59"/>
  <c r="E738" i="59"/>
  <c r="D739" i="59"/>
  <c r="E739" i="59"/>
  <c r="D740" i="59"/>
  <c r="E740" i="59"/>
  <c r="D741" i="59"/>
  <c r="E741" i="59"/>
  <c r="D742" i="59"/>
  <c r="E742" i="59"/>
  <c r="D743" i="59"/>
  <c r="E743" i="59"/>
  <c r="D744" i="59"/>
  <c r="E744" i="59"/>
  <c r="D745" i="59"/>
  <c r="E745" i="59"/>
  <c r="D746" i="59"/>
  <c r="E746" i="59"/>
  <c r="D747" i="59"/>
  <c r="E747" i="59"/>
  <c r="D748" i="59"/>
  <c r="E748" i="59"/>
  <c r="D749" i="59"/>
  <c r="E749" i="59"/>
  <c r="D750" i="59"/>
  <c r="E750" i="59"/>
  <c r="D751" i="59"/>
  <c r="E751" i="59"/>
  <c r="D752" i="59"/>
  <c r="E752" i="59"/>
  <c r="D753" i="59"/>
  <c r="E753" i="59"/>
  <c r="D754" i="59"/>
  <c r="E754" i="59"/>
  <c r="D755" i="59"/>
  <c r="E755" i="59"/>
  <c r="D756" i="59"/>
  <c r="E756" i="59"/>
  <c r="D757" i="59"/>
  <c r="E757" i="59"/>
  <c r="D758" i="59"/>
  <c r="E758" i="59"/>
  <c r="D759" i="59"/>
  <c r="E759" i="59"/>
  <c r="D760" i="59"/>
  <c r="E760" i="59"/>
  <c r="D761" i="59"/>
  <c r="E761" i="59"/>
  <c r="D762" i="59"/>
  <c r="E762" i="59"/>
  <c r="D763" i="59"/>
  <c r="E763" i="59"/>
  <c r="D764" i="59"/>
  <c r="E764" i="59"/>
  <c r="D765" i="59"/>
  <c r="E765" i="59"/>
  <c r="D766" i="59"/>
  <c r="E766" i="59"/>
  <c r="D767" i="59"/>
  <c r="E767" i="59"/>
  <c r="D768" i="59"/>
  <c r="E768" i="59"/>
  <c r="D769" i="59"/>
  <c r="E769" i="59"/>
  <c r="D770" i="59"/>
  <c r="E770" i="59"/>
  <c r="D771" i="59"/>
  <c r="E771" i="59"/>
  <c r="D772" i="59"/>
  <c r="E772" i="59"/>
  <c r="D773" i="59"/>
  <c r="E773" i="59"/>
  <c r="D774" i="59"/>
  <c r="E774" i="59"/>
  <c r="D775" i="59"/>
  <c r="E775" i="59"/>
  <c r="D776" i="59"/>
  <c r="E776" i="59"/>
  <c r="D777" i="59"/>
  <c r="E777" i="59"/>
  <c r="D778" i="59"/>
  <c r="E778" i="59"/>
  <c r="D779" i="59"/>
  <c r="E779" i="59"/>
  <c r="D780" i="59"/>
  <c r="E780" i="59"/>
  <c r="D781" i="59"/>
  <c r="E781" i="59"/>
  <c r="D782" i="59"/>
  <c r="E782" i="59"/>
  <c r="D783" i="59"/>
  <c r="E783" i="59"/>
  <c r="D784" i="59"/>
  <c r="E784" i="59"/>
  <c r="D785" i="59"/>
  <c r="E785" i="59"/>
  <c r="D786" i="59"/>
  <c r="E786" i="59"/>
  <c r="D787" i="59"/>
  <c r="E787" i="59"/>
  <c r="D788" i="59"/>
  <c r="E788" i="59"/>
  <c r="D789" i="59"/>
  <c r="E789" i="59"/>
  <c r="D790" i="59"/>
  <c r="E790" i="59"/>
  <c r="D791" i="59"/>
  <c r="E791" i="59"/>
  <c r="D792" i="59"/>
  <c r="E792" i="59"/>
  <c r="D793" i="59"/>
  <c r="E793" i="59"/>
  <c r="D794" i="59"/>
  <c r="E794" i="59"/>
  <c r="D795" i="59"/>
  <c r="E795" i="59"/>
  <c r="D796" i="59"/>
  <c r="E796" i="59"/>
  <c r="D797" i="59"/>
  <c r="E797" i="59"/>
  <c r="D798" i="59"/>
  <c r="E798" i="59"/>
  <c r="D799" i="59"/>
  <c r="E799" i="59"/>
  <c r="D800" i="59"/>
  <c r="E800" i="59"/>
  <c r="D801" i="59"/>
  <c r="E801" i="59"/>
  <c r="D802" i="59"/>
  <c r="E802" i="59"/>
  <c r="D803" i="59"/>
  <c r="E803" i="59"/>
  <c r="D804" i="59"/>
  <c r="E804" i="59"/>
  <c r="D805" i="59"/>
  <c r="E805" i="59"/>
  <c r="D806" i="59"/>
  <c r="E806" i="59"/>
  <c r="D807" i="59"/>
  <c r="E807" i="59"/>
  <c r="D808" i="59"/>
  <c r="E808" i="59"/>
  <c r="D809" i="59"/>
  <c r="E809" i="59"/>
  <c r="D810" i="59"/>
  <c r="E810" i="59"/>
  <c r="D811" i="59"/>
  <c r="E811" i="59"/>
  <c r="D812" i="59"/>
  <c r="E812" i="59"/>
  <c r="D813" i="59"/>
  <c r="E813" i="59"/>
  <c r="D814" i="59"/>
  <c r="E814" i="59"/>
  <c r="D815" i="59"/>
  <c r="E815" i="59"/>
  <c r="D816" i="59"/>
  <c r="E816" i="59"/>
  <c r="D817" i="59"/>
  <c r="E817" i="59"/>
  <c r="D818" i="59"/>
  <c r="E818" i="59"/>
  <c r="D819" i="59"/>
  <c r="E819" i="59"/>
  <c r="D820" i="59"/>
  <c r="E820" i="59"/>
  <c r="D821" i="59"/>
  <c r="E821" i="59"/>
  <c r="D822" i="59"/>
  <c r="E822" i="59"/>
  <c r="D823" i="59"/>
  <c r="E823" i="59"/>
  <c r="D824" i="59"/>
  <c r="E824" i="59"/>
  <c r="D825" i="59"/>
  <c r="E825" i="59"/>
  <c r="D826" i="59"/>
  <c r="E826" i="59"/>
  <c r="D827" i="59"/>
  <c r="E827" i="59"/>
  <c r="D828" i="59"/>
  <c r="E828" i="59"/>
  <c r="D829" i="59"/>
  <c r="E829" i="59"/>
  <c r="D830" i="59"/>
  <c r="E830" i="59"/>
  <c r="D831" i="59"/>
  <c r="E831" i="59"/>
  <c r="D832" i="59"/>
  <c r="E832" i="59"/>
  <c r="D833" i="59"/>
  <c r="E833" i="59"/>
  <c r="D834" i="59"/>
  <c r="E834" i="59"/>
  <c r="D835" i="59"/>
  <c r="E835" i="59"/>
  <c r="D836" i="59"/>
  <c r="E836" i="59"/>
  <c r="D837" i="59"/>
  <c r="E837" i="59"/>
  <c r="D838" i="59"/>
  <c r="E838" i="59"/>
  <c r="D839" i="59"/>
  <c r="E839" i="59"/>
  <c r="D840" i="59"/>
  <c r="E840" i="59"/>
  <c r="D841" i="59"/>
  <c r="E841" i="59"/>
  <c r="D842" i="59"/>
  <c r="E842" i="59"/>
  <c r="D843" i="59"/>
  <c r="E843" i="59"/>
  <c r="D844" i="59"/>
  <c r="E844" i="59"/>
  <c r="D845" i="59"/>
  <c r="E845" i="59"/>
  <c r="D846" i="59"/>
  <c r="E846" i="59"/>
  <c r="D847" i="59"/>
  <c r="E847" i="59"/>
  <c r="D848" i="59"/>
  <c r="E848" i="59"/>
  <c r="D849" i="59"/>
  <c r="E849" i="59"/>
  <c r="D850" i="59"/>
  <c r="E850" i="59"/>
  <c r="D851" i="59"/>
  <c r="E851" i="59"/>
  <c r="D852" i="59"/>
  <c r="E852" i="59"/>
  <c r="D853" i="59"/>
  <c r="E853" i="59"/>
  <c r="D854" i="59"/>
  <c r="E854" i="59"/>
  <c r="D855" i="59"/>
  <c r="E855" i="59"/>
  <c r="D856" i="59"/>
  <c r="E856" i="59"/>
  <c r="D857" i="59"/>
  <c r="E857" i="59"/>
  <c r="D858" i="59"/>
  <c r="E858" i="59"/>
  <c r="D859" i="59"/>
  <c r="E859" i="59"/>
  <c r="D860" i="59"/>
  <c r="E860" i="59"/>
  <c r="D861" i="59"/>
  <c r="E861" i="59"/>
  <c r="D862" i="59"/>
  <c r="E862" i="59"/>
  <c r="D863" i="59"/>
  <c r="E863" i="59"/>
  <c r="D864" i="59"/>
  <c r="E864" i="59"/>
  <c r="D865" i="59"/>
  <c r="E865" i="59"/>
  <c r="D866" i="59"/>
  <c r="E866" i="59"/>
  <c r="D867" i="59"/>
  <c r="E867" i="59"/>
  <c r="D868" i="59"/>
  <c r="E868" i="59"/>
  <c r="D869" i="59"/>
  <c r="E869" i="59"/>
  <c r="D870" i="59"/>
  <c r="E870" i="59"/>
  <c r="D871" i="59"/>
  <c r="E871" i="59"/>
  <c r="D872" i="59"/>
  <c r="E872" i="59"/>
  <c r="D873" i="59"/>
  <c r="E873" i="59"/>
  <c r="D874" i="59"/>
  <c r="E874" i="59"/>
  <c r="D875" i="59"/>
  <c r="E875" i="59"/>
  <c r="D876" i="59"/>
  <c r="E876" i="59"/>
  <c r="D877" i="59"/>
  <c r="E877" i="59"/>
  <c r="D878" i="59"/>
  <c r="E878" i="59"/>
  <c r="D879" i="59"/>
  <c r="E879" i="59"/>
  <c r="D880" i="59"/>
  <c r="E880" i="59"/>
  <c r="D881" i="59"/>
  <c r="E881" i="59"/>
  <c r="D882" i="59"/>
  <c r="E882" i="59"/>
  <c r="D883" i="59"/>
  <c r="E883" i="59"/>
  <c r="D884" i="59"/>
  <c r="E884" i="59"/>
  <c r="D885" i="59"/>
  <c r="E885" i="59"/>
  <c r="D886" i="59"/>
  <c r="E886" i="59"/>
  <c r="D887" i="59"/>
  <c r="E887" i="59"/>
  <c r="D888" i="59"/>
  <c r="E888" i="59"/>
  <c r="D889" i="59"/>
  <c r="E889" i="59"/>
  <c r="D890" i="59"/>
  <c r="E890" i="59"/>
  <c r="D891" i="59"/>
  <c r="E891" i="59"/>
  <c r="D892" i="59"/>
  <c r="E892" i="59"/>
  <c r="D893" i="59"/>
  <c r="E893" i="59"/>
  <c r="D894" i="59"/>
  <c r="E894" i="59"/>
  <c r="D895" i="59"/>
  <c r="E895" i="59"/>
  <c r="D896" i="59"/>
  <c r="E896" i="59"/>
  <c r="D897" i="59"/>
  <c r="E897" i="59"/>
  <c r="D898" i="59"/>
  <c r="E898" i="59"/>
  <c r="D899" i="59"/>
  <c r="E899" i="59"/>
  <c r="D900" i="59"/>
  <c r="E900" i="59"/>
  <c r="D901" i="59"/>
  <c r="E901" i="59"/>
  <c r="D902" i="59"/>
  <c r="E902" i="59"/>
  <c r="D903" i="59"/>
  <c r="E903" i="59"/>
  <c r="D904" i="59"/>
  <c r="E904" i="59"/>
  <c r="D905" i="59"/>
  <c r="E905" i="59"/>
  <c r="D906" i="59"/>
  <c r="E906" i="59"/>
  <c r="D907" i="59"/>
  <c r="E907" i="59"/>
  <c r="D908" i="59"/>
  <c r="E908" i="59"/>
  <c r="D909" i="59"/>
  <c r="E909" i="59"/>
  <c r="D910" i="59"/>
  <c r="E910" i="59"/>
  <c r="D911" i="59"/>
  <c r="E911" i="59"/>
  <c r="D912" i="59"/>
  <c r="E912" i="59"/>
  <c r="D913" i="59"/>
  <c r="E913" i="59"/>
  <c r="D914" i="59"/>
  <c r="E914" i="59"/>
  <c r="D915" i="59"/>
  <c r="E915" i="59"/>
  <c r="D916" i="59"/>
  <c r="E916" i="59"/>
  <c r="D917" i="59"/>
  <c r="E917" i="59"/>
  <c r="D918" i="59"/>
  <c r="E918" i="59"/>
  <c r="D919" i="59"/>
  <c r="E919" i="59"/>
  <c r="D920" i="59"/>
  <c r="E920" i="59"/>
  <c r="D921" i="59"/>
  <c r="E921" i="59"/>
  <c r="D922" i="59"/>
  <c r="E922" i="59"/>
  <c r="D923" i="59"/>
  <c r="E923" i="59"/>
  <c r="D924" i="59"/>
  <c r="E924" i="59"/>
  <c r="D925" i="59"/>
  <c r="E925" i="59"/>
  <c r="D926" i="59"/>
  <c r="E926" i="59"/>
  <c r="D927" i="59"/>
  <c r="E927" i="59"/>
  <c r="D928" i="59"/>
  <c r="E928" i="59"/>
  <c r="D929" i="59"/>
  <c r="E929" i="59"/>
  <c r="D930" i="59"/>
  <c r="E930" i="59"/>
  <c r="D931" i="59"/>
  <c r="E931" i="59"/>
  <c r="D932" i="59"/>
  <c r="E932" i="59"/>
  <c r="D933" i="59"/>
  <c r="E933" i="59"/>
  <c r="D934" i="59"/>
  <c r="E934" i="59"/>
  <c r="D935" i="59"/>
  <c r="E935" i="59"/>
  <c r="D936" i="59"/>
  <c r="E936" i="59"/>
  <c r="D937" i="59"/>
  <c r="E937" i="59"/>
  <c r="D938" i="59"/>
  <c r="E938" i="59"/>
  <c r="D939" i="59"/>
  <c r="E939" i="59"/>
  <c r="D940" i="59"/>
  <c r="E940" i="59"/>
  <c r="D941" i="59"/>
  <c r="E941" i="59"/>
  <c r="D942" i="59"/>
  <c r="E942" i="59"/>
  <c r="D943" i="59"/>
  <c r="E943" i="59"/>
  <c r="D944" i="59"/>
  <c r="E944" i="59"/>
  <c r="D945" i="59"/>
  <c r="E945" i="59"/>
  <c r="D946" i="59"/>
  <c r="E946" i="59"/>
  <c r="D947" i="59"/>
  <c r="E947" i="59"/>
  <c r="D948" i="59"/>
  <c r="E948" i="59"/>
  <c r="D949" i="59"/>
  <c r="E949" i="59"/>
  <c r="D950" i="59"/>
  <c r="E950" i="59"/>
  <c r="D951" i="59"/>
  <c r="E951" i="59"/>
  <c r="D952" i="59"/>
  <c r="E952" i="59"/>
  <c r="D953" i="59"/>
  <c r="E953" i="59"/>
  <c r="D954" i="59"/>
  <c r="E954" i="59"/>
  <c r="D955" i="59"/>
  <c r="E955" i="59"/>
  <c r="D956" i="59"/>
  <c r="E956" i="59"/>
  <c r="D957" i="59"/>
  <c r="E957" i="59"/>
  <c r="D958" i="59"/>
  <c r="E958" i="59"/>
  <c r="D959" i="59"/>
  <c r="E959" i="59"/>
  <c r="D960" i="59"/>
  <c r="E960" i="59"/>
  <c r="D961" i="59"/>
  <c r="E961" i="59"/>
  <c r="D962" i="59"/>
  <c r="E962" i="59"/>
  <c r="D963" i="59"/>
  <c r="E963" i="59"/>
  <c r="D964" i="59"/>
  <c r="E964" i="59"/>
  <c r="D965" i="59"/>
  <c r="E965" i="59"/>
  <c r="D966" i="59"/>
  <c r="E966" i="59"/>
  <c r="D967" i="59"/>
  <c r="E967" i="59"/>
  <c r="D968" i="59"/>
  <c r="E968" i="59"/>
  <c r="D969" i="59"/>
  <c r="E969" i="59"/>
  <c r="D970" i="59"/>
  <c r="E970" i="59"/>
  <c r="D971" i="59"/>
  <c r="E971" i="59"/>
  <c r="D972" i="59"/>
  <c r="E972" i="59"/>
  <c r="D973" i="59"/>
  <c r="E973" i="59"/>
  <c r="D974" i="59"/>
  <c r="E974" i="59"/>
  <c r="D975" i="59"/>
  <c r="E975" i="59"/>
  <c r="D976" i="59"/>
  <c r="E976" i="59"/>
  <c r="D977" i="59"/>
  <c r="E977" i="59"/>
  <c r="D978" i="59"/>
  <c r="E978" i="59"/>
  <c r="D979" i="59"/>
  <c r="E979" i="59"/>
  <c r="D980" i="59"/>
  <c r="E980" i="59"/>
  <c r="D981" i="59"/>
  <c r="E981" i="59"/>
  <c r="D982" i="59"/>
  <c r="E982" i="59"/>
  <c r="D983" i="59"/>
  <c r="E983" i="59"/>
  <c r="D984" i="59"/>
  <c r="E984" i="59"/>
  <c r="D985" i="59"/>
  <c r="E985" i="59"/>
  <c r="D986" i="59"/>
  <c r="E986" i="59"/>
  <c r="D987" i="59"/>
  <c r="E987" i="59"/>
  <c r="D988" i="59"/>
  <c r="E988" i="59"/>
  <c r="D989" i="59"/>
  <c r="E989" i="59"/>
  <c r="D990" i="59"/>
  <c r="E990" i="59"/>
  <c r="D991" i="59"/>
  <c r="E991" i="59"/>
  <c r="D992" i="59"/>
  <c r="E992" i="59"/>
  <c r="D993" i="59"/>
  <c r="E993" i="59"/>
  <c r="D994" i="59"/>
  <c r="E994" i="59"/>
  <c r="D995" i="59"/>
  <c r="E995" i="59"/>
  <c r="D996" i="59"/>
  <c r="E996" i="59"/>
  <c r="D997" i="59"/>
  <c r="E997" i="59"/>
  <c r="D998" i="59"/>
  <c r="E998" i="59"/>
  <c r="D999" i="59"/>
  <c r="E999" i="59"/>
  <c r="D1000" i="59"/>
  <c r="E1000" i="59"/>
  <c r="D1001" i="59"/>
  <c r="E1001" i="59"/>
  <c r="D1002" i="59"/>
  <c r="E1002" i="59"/>
  <c r="D1003" i="59"/>
  <c r="E1003" i="59"/>
  <c r="D1004" i="59"/>
  <c r="E1004" i="59"/>
  <c r="D1005" i="59"/>
  <c r="E1005" i="59"/>
  <c r="D1006" i="59"/>
  <c r="E1006" i="59"/>
  <c r="D1007" i="59"/>
  <c r="E1007" i="59"/>
  <c r="D1008" i="59"/>
  <c r="E1008" i="59"/>
  <c r="D1009" i="59"/>
  <c r="E1009" i="59"/>
  <c r="D1010" i="59"/>
  <c r="E1010" i="59"/>
  <c r="D1011" i="59"/>
  <c r="E1011" i="59"/>
  <c r="D1012" i="59"/>
  <c r="E1012" i="59"/>
  <c r="D1013" i="59"/>
  <c r="E1013" i="59"/>
  <c r="D1014" i="59"/>
  <c r="E1014" i="59"/>
  <c r="D1015" i="59"/>
  <c r="E1015" i="59"/>
  <c r="D1016" i="59"/>
  <c r="E1016" i="59"/>
  <c r="D1017" i="59"/>
  <c r="E1017" i="59"/>
  <c r="D1018" i="59"/>
  <c r="E1018" i="59"/>
  <c r="D1019" i="59"/>
  <c r="E1019" i="59"/>
  <c r="D1020" i="59"/>
  <c r="E1020" i="59"/>
  <c r="D1021" i="59"/>
  <c r="E1021" i="59"/>
  <c r="D1022" i="59"/>
  <c r="E1022" i="59"/>
  <c r="D1023" i="59"/>
  <c r="E1023" i="59"/>
  <c r="D1024" i="59"/>
  <c r="E1024" i="59"/>
  <c r="D1025" i="59"/>
  <c r="E1025" i="59"/>
  <c r="D1026" i="59"/>
  <c r="E1026" i="59"/>
  <c r="D1027" i="59"/>
  <c r="E1027" i="59"/>
  <c r="D1028" i="59"/>
  <c r="E1028" i="59"/>
  <c r="D1029" i="59"/>
  <c r="E1029" i="59"/>
  <c r="D1030" i="59"/>
  <c r="E1030" i="59"/>
  <c r="D1031" i="59"/>
  <c r="E1031" i="59"/>
  <c r="D1032" i="59"/>
  <c r="E1032" i="59"/>
  <c r="D1033" i="59"/>
  <c r="E1033" i="59"/>
  <c r="D1034" i="59"/>
  <c r="E1034" i="59"/>
  <c r="D1035" i="59"/>
  <c r="E1035" i="59"/>
  <c r="D1036" i="59"/>
  <c r="E1036" i="59"/>
  <c r="D1037" i="59"/>
  <c r="E1037" i="59"/>
  <c r="D1038" i="59"/>
  <c r="E1038" i="59"/>
  <c r="D1039" i="59"/>
  <c r="E1039" i="59"/>
  <c r="D1040" i="59"/>
  <c r="E1040" i="59"/>
  <c r="D1041" i="59"/>
  <c r="E1041" i="59"/>
  <c r="D1042" i="59"/>
  <c r="E1042" i="59"/>
  <c r="D1043" i="59"/>
  <c r="E1043" i="59"/>
  <c r="D1044" i="59"/>
  <c r="E1044" i="59"/>
  <c r="D1045" i="59"/>
  <c r="E1045" i="59"/>
  <c r="D1046" i="59"/>
  <c r="E1046" i="59"/>
  <c r="D1047" i="59"/>
  <c r="E1047" i="59"/>
  <c r="D1048" i="59"/>
  <c r="E1048" i="59"/>
  <c r="D1049" i="59"/>
  <c r="E1049" i="59"/>
  <c r="D1050" i="59"/>
  <c r="E1050" i="59"/>
  <c r="D1051" i="59"/>
  <c r="E1051" i="59"/>
  <c r="D1052" i="59"/>
  <c r="E1052" i="59"/>
  <c r="D1053" i="59"/>
  <c r="E1053" i="59"/>
  <c r="D1054" i="59"/>
  <c r="E1054" i="59"/>
  <c r="D1055" i="59"/>
  <c r="E1055" i="59"/>
  <c r="D1056" i="59"/>
  <c r="E1056" i="59"/>
  <c r="D1057" i="59"/>
  <c r="E1057" i="59"/>
  <c r="D1058" i="59"/>
  <c r="E1058" i="59"/>
  <c r="D1059" i="59"/>
  <c r="E1059" i="59"/>
  <c r="D1060" i="59"/>
  <c r="E1060" i="59"/>
  <c r="D1061" i="59"/>
  <c r="E1061" i="59"/>
  <c r="D1062" i="59"/>
  <c r="E1062" i="59"/>
  <c r="D1063" i="59"/>
  <c r="E1063" i="59"/>
  <c r="D1064" i="59"/>
  <c r="E1064" i="59"/>
  <c r="D1065" i="59"/>
  <c r="E1065" i="59"/>
  <c r="D1066" i="59"/>
  <c r="E1066" i="59"/>
  <c r="D1067" i="59"/>
  <c r="E1067" i="59"/>
  <c r="D1068" i="59"/>
  <c r="E1068" i="59"/>
  <c r="D1069" i="59"/>
  <c r="E1069" i="59"/>
  <c r="D1070" i="59"/>
  <c r="E1070" i="59"/>
  <c r="D1071" i="59"/>
  <c r="E1071" i="59"/>
  <c r="D1072" i="59"/>
  <c r="E1072" i="59"/>
  <c r="D1073" i="59"/>
  <c r="E1073" i="59"/>
  <c r="D1074" i="59"/>
  <c r="E1074" i="59"/>
  <c r="D1075" i="59"/>
  <c r="E1075" i="59"/>
  <c r="D1076" i="59"/>
  <c r="E1076" i="59"/>
  <c r="D1077" i="59"/>
  <c r="E1077" i="59"/>
  <c r="D1078" i="59"/>
  <c r="E1078" i="59"/>
  <c r="D1079" i="59"/>
  <c r="E1079" i="59"/>
  <c r="D1080" i="59"/>
  <c r="E1080" i="59"/>
  <c r="D1081" i="59"/>
  <c r="E1081" i="59"/>
  <c r="D1082" i="59"/>
  <c r="E1082" i="59"/>
  <c r="D1083" i="59"/>
  <c r="E1083" i="59"/>
  <c r="D1084" i="59"/>
  <c r="E1084" i="59"/>
  <c r="D1085" i="59"/>
  <c r="E1085" i="59"/>
  <c r="D1086" i="59"/>
  <c r="E1086" i="59"/>
  <c r="D1087" i="59"/>
  <c r="E1087" i="59"/>
  <c r="D1088" i="59"/>
  <c r="E1088" i="59"/>
  <c r="D1089" i="59"/>
  <c r="E1089" i="59"/>
  <c r="D1090" i="59"/>
  <c r="E1090" i="59"/>
  <c r="D1091" i="59"/>
  <c r="E1091" i="59"/>
  <c r="D1092" i="59"/>
  <c r="E1092" i="59"/>
  <c r="D1093" i="59"/>
  <c r="E1093" i="59"/>
  <c r="D1094" i="59"/>
  <c r="E1094" i="59"/>
  <c r="D1095" i="59"/>
  <c r="E1095" i="59"/>
  <c r="D1096" i="59"/>
  <c r="E1096" i="59"/>
  <c r="D1097" i="59"/>
  <c r="E1097" i="59"/>
  <c r="D1098" i="59"/>
  <c r="E1098" i="59"/>
  <c r="D1099" i="59"/>
  <c r="E1099" i="59"/>
  <c r="D1100" i="59"/>
  <c r="E1100" i="59"/>
  <c r="D1101" i="59"/>
  <c r="E1101" i="59"/>
  <c r="D1102" i="59"/>
  <c r="E1102" i="59"/>
  <c r="D1103" i="59"/>
  <c r="E1103" i="59"/>
  <c r="D1104" i="59"/>
  <c r="E1104" i="59"/>
  <c r="D1105" i="59"/>
  <c r="E1105" i="59"/>
  <c r="D1106" i="59"/>
  <c r="E1106" i="59"/>
  <c r="D1107" i="59"/>
  <c r="E1107" i="59"/>
  <c r="D1108" i="59"/>
  <c r="E1108" i="59"/>
  <c r="D1109" i="59"/>
  <c r="E1109" i="59"/>
  <c r="D1110" i="59"/>
  <c r="E1110" i="59"/>
  <c r="D1111" i="59"/>
  <c r="E1111" i="59"/>
  <c r="D1112" i="59"/>
  <c r="E1112" i="59"/>
  <c r="D1113" i="59"/>
  <c r="E1113" i="59"/>
  <c r="D1114" i="59"/>
  <c r="E1114" i="59"/>
  <c r="D1115" i="59"/>
  <c r="E1115" i="59"/>
  <c r="D1116" i="59"/>
  <c r="E1116" i="59"/>
  <c r="D1117" i="59"/>
  <c r="E1117" i="59"/>
  <c r="D1118" i="59"/>
  <c r="E1118" i="59"/>
  <c r="D1119" i="59"/>
  <c r="E1119" i="59"/>
  <c r="D1120" i="59"/>
  <c r="E1120" i="59"/>
  <c r="D1121" i="59"/>
  <c r="E1121" i="59"/>
  <c r="D1122" i="59"/>
  <c r="E1122" i="59"/>
  <c r="D1123" i="59"/>
  <c r="E1123" i="59"/>
  <c r="D1124" i="59"/>
  <c r="E1124" i="59"/>
  <c r="D1125" i="59"/>
  <c r="E1125" i="59"/>
  <c r="D1126" i="59"/>
  <c r="E1126" i="59"/>
  <c r="D1127" i="59"/>
  <c r="E1127" i="59"/>
  <c r="D1128" i="59"/>
  <c r="E1128" i="59"/>
  <c r="D1129" i="59"/>
  <c r="E1129" i="59"/>
  <c r="D1130" i="59"/>
  <c r="E1130" i="59"/>
  <c r="D1131" i="59"/>
  <c r="E1131" i="59"/>
  <c r="D1132" i="59"/>
  <c r="E1132" i="59"/>
  <c r="D1133" i="59"/>
  <c r="E1133" i="59"/>
  <c r="D1134" i="59"/>
  <c r="E1134" i="59"/>
  <c r="D1135" i="59"/>
  <c r="E1135" i="59"/>
  <c r="D1136" i="59"/>
  <c r="E1136" i="59"/>
  <c r="D1137" i="59"/>
  <c r="E1137" i="59"/>
  <c r="D1138" i="59"/>
  <c r="E1138" i="59"/>
  <c r="D1139" i="59"/>
  <c r="E1139" i="59"/>
  <c r="D1140" i="59"/>
  <c r="E1140" i="59"/>
  <c r="D1141" i="59"/>
  <c r="E1141" i="59"/>
  <c r="D1142" i="59"/>
  <c r="E1142" i="59"/>
  <c r="D1143" i="59"/>
  <c r="E1143" i="59"/>
  <c r="D1144" i="59"/>
  <c r="E1144" i="59"/>
  <c r="D1145" i="59"/>
  <c r="E1145" i="59"/>
  <c r="D1146" i="59"/>
  <c r="E1146" i="59"/>
  <c r="D1147" i="59"/>
  <c r="E1147" i="59"/>
  <c r="D1148" i="59"/>
  <c r="E1148" i="59"/>
  <c r="D1149" i="59"/>
  <c r="E1149" i="59"/>
  <c r="D1150" i="59"/>
  <c r="E1150" i="59"/>
  <c r="D1151" i="59"/>
  <c r="E1151" i="59"/>
  <c r="D1152" i="59"/>
  <c r="E1152" i="59"/>
  <c r="D1153" i="59"/>
  <c r="E1153" i="59"/>
  <c r="CC143" i="13"/>
  <c r="CC142" i="13"/>
  <c r="CC141" i="13"/>
  <c r="CC140" i="13"/>
  <c r="CC139" i="13"/>
  <c r="CC138" i="13"/>
  <c r="CC137" i="13"/>
  <c r="CC136" i="13"/>
  <c r="CC135" i="13"/>
  <c r="CC134" i="13"/>
  <c r="CC133" i="13"/>
  <c r="CC132" i="13"/>
  <c r="CB138" i="13"/>
  <c r="CB134" i="13"/>
  <c r="CB133" i="13"/>
  <c r="CB132" i="13"/>
  <c r="BY143" i="13"/>
  <c r="BY142" i="13"/>
  <c r="BY141" i="13"/>
  <c r="BY140" i="13"/>
  <c r="BY139" i="13"/>
  <c r="BY138" i="13"/>
  <c r="BY137" i="13"/>
  <c r="BY136" i="13"/>
  <c r="BY135" i="13"/>
  <c r="BY134" i="13"/>
  <c r="BY133" i="13"/>
  <c r="BY132" i="13"/>
  <c r="BW140" i="13"/>
  <c r="BW139" i="13"/>
  <c r="BW138" i="13"/>
  <c r="BW137" i="13"/>
  <c r="BW136" i="13"/>
  <c r="BW135" i="13"/>
  <c r="BW134" i="13"/>
  <c r="BW133" i="13"/>
  <c r="BW132" i="13"/>
  <c r="BV134" i="13"/>
  <c r="BV133" i="13"/>
  <c r="BV132" i="13"/>
  <c r="BS140" i="13"/>
  <c r="BS139" i="13"/>
  <c r="BS138" i="13"/>
  <c r="BS137" i="13"/>
  <c r="BS136" i="13"/>
  <c r="BS135" i="13"/>
  <c r="BS134" i="13"/>
  <c r="BS133" i="13"/>
  <c r="BS132" i="13"/>
  <c r="CC152" i="13"/>
  <c r="CC151" i="13"/>
  <c r="CC150" i="13"/>
  <c r="CC149" i="13"/>
  <c r="CC148" i="13"/>
  <c r="CC147" i="13"/>
  <c r="CC146" i="13"/>
  <c r="CC145" i="13"/>
  <c r="CC144" i="13"/>
  <c r="CB152" i="13"/>
  <c r="CB151" i="13"/>
  <c r="CB150" i="13"/>
  <c r="CB146" i="13"/>
  <c r="CB145" i="13"/>
  <c r="CB144" i="13"/>
  <c r="BY152" i="13"/>
  <c r="BY151" i="13"/>
  <c r="BY150" i="13"/>
  <c r="BY149" i="13"/>
  <c r="BY148" i="13"/>
  <c r="BY147" i="13"/>
  <c r="BY146" i="13"/>
  <c r="BY145" i="13"/>
  <c r="BY144" i="13"/>
  <c r="BW152" i="13"/>
  <c r="BW151" i="13"/>
  <c r="BW150" i="13"/>
  <c r="BW149" i="13"/>
  <c r="BW148" i="13"/>
  <c r="BW147" i="13"/>
  <c r="BW146" i="13"/>
  <c r="BW145" i="13"/>
  <c r="BW144" i="13"/>
  <c r="BV152" i="13"/>
  <c r="BV151" i="13"/>
  <c r="BV150" i="13"/>
  <c r="BV148" i="13"/>
  <c r="BV147" i="13"/>
  <c r="BV146" i="13"/>
  <c r="BV145" i="13"/>
  <c r="BV144" i="13"/>
  <c r="BS152" i="13"/>
  <c r="BS151" i="13"/>
  <c r="BS150" i="13"/>
  <c r="BS149" i="13"/>
  <c r="BS148" i="13"/>
  <c r="BS147" i="13"/>
  <c r="BS146" i="13"/>
  <c r="BS145" i="13"/>
  <c r="BS144" i="13"/>
  <c r="CC131" i="13"/>
  <c r="BY131" i="13"/>
  <c r="BW131" i="13"/>
  <c r="BS131" i="13"/>
  <c r="CC130" i="13"/>
  <c r="CB130" i="13"/>
  <c r="BW130" i="13"/>
  <c r="BY130" i="13"/>
  <c r="BS130" i="13"/>
  <c r="CC129" i="13"/>
  <c r="BW129" i="13"/>
  <c r="BY129" i="13"/>
  <c r="BS129" i="13"/>
  <c r="BM129" i="13"/>
  <c r="BW143" i="13"/>
  <c r="BW142" i="13"/>
  <c r="BW141" i="13"/>
  <c r="BV141" i="13"/>
  <c r="BS143" i="13"/>
  <c r="BS142" i="13"/>
  <c r="BS141" i="13"/>
  <c r="BT967" i="13"/>
  <c r="BS967" i="13"/>
  <c r="BT966" i="13"/>
  <c r="BS966" i="13"/>
  <c r="BT963" i="13"/>
  <c r="BS963" i="13"/>
  <c r="BT962" i="13"/>
  <c r="BS962" i="13"/>
  <c r="BT965" i="13"/>
  <c r="BS965" i="13"/>
  <c r="BT964" i="13"/>
  <c r="BS964" i="13"/>
  <c r="BT961" i="13"/>
  <c r="BS961" i="13"/>
  <c r="BT960" i="13"/>
  <c r="BS960" i="13"/>
  <c r="BL969" i="13" l="1"/>
  <c r="G1147" i="59" s="1"/>
  <c r="BL968" i="13"/>
  <c r="G1146" i="59" s="1"/>
  <c r="BL971" i="13"/>
  <c r="G1149" i="59" s="1"/>
  <c r="J3" i="59"/>
  <c r="AC6" i="59" s="1"/>
  <c r="AN6" i="59"/>
  <c r="AO6" i="59" s="1"/>
  <c r="AN7" i="59"/>
  <c r="AO7" i="59" s="1"/>
  <c r="AN9" i="59"/>
  <c r="AO9" i="59" s="1"/>
  <c r="AN8" i="59"/>
  <c r="AO8" i="59" s="1"/>
  <c r="AN3" i="59"/>
  <c r="AO3" i="59" s="1"/>
  <c r="AN4" i="59"/>
  <c r="AO4" i="59" s="1"/>
  <c r="AG7" i="59"/>
  <c r="AH7" i="59" s="1"/>
  <c r="AG19" i="59"/>
  <c r="AH19" i="59" s="1"/>
  <c r="AG3" i="59"/>
  <c r="AH3" i="59" s="1"/>
  <c r="AG9" i="59"/>
  <c r="AH9" i="59" s="1"/>
  <c r="AG4" i="59"/>
  <c r="AH4" i="59" s="1"/>
  <c r="AG18" i="59"/>
  <c r="AH18" i="59" s="1"/>
  <c r="AG10" i="59"/>
  <c r="AH10" i="59" s="1"/>
  <c r="AG5" i="59"/>
  <c r="AH5" i="59" s="1"/>
  <c r="AG6" i="59"/>
  <c r="AH6" i="59" s="1"/>
  <c r="AG17" i="59"/>
  <c r="AH17" i="59" s="1"/>
  <c r="AG12" i="59"/>
  <c r="AH12" i="59" s="1"/>
  <c r="AG20" i="59"/>
  <c r="AH20" i="59" s="1"/>
  <c r="AG15" i="59"/>
  <c r="AH15" i="59" s="1"/>
  <c r="AG16" i="59"/>
  <c r="AH16" i="59" s="1"/>
  <c r="AG13" i="59"/>
  <c r="AH13" i="59" s="1"/>
  <c r="AG21" i="59"/>
  <c r="AH21" i="59" s="1"/>
  <c r="AG8" i="59"/>
  <c r="AH8" i="59" s="1"/>
  <c r="AG14" i="59"/>
  <c r="AH14" i="59" s="1"/>
  <c r="AG11" i="59"/>
  <c r="AH11" i="59" s="1"/>
  <c r="Z22" i="59"/>
  <c r="AA22" i="59" s="1"/>
  <c r="Z23" i="59"/>
  <c r="AA23" i="59" s="1"/>
  <c r="Z19" i="59"/>
  <c r="AA19" i="59" s="1"/>
  <c r="Z3" i="59"/>
  <c r="AA3" i="59" s="1"/>
  <c r="Z12" i="59"/>
  <c r="AA12" i="59" s="1"/>
  <c r="Z20" i="59"/>
  <c r="AA20" i="59" s="1"/>
  <c r="Z15" i="59"/>
  <c r="AA15" i="59" s="1"/>
  <c r="Z14" i="59"/>
  <c r="AA14" i="59" s="1"/>
  <c r="Z5" i="59"/>
  <c r="AA5" i="59" s="1"/>
  <c r="Z9" i="59"/>
  <c r="AA9" i="59" s="1"/>
  <c r="Z17" i="59"/>
  <c r="AA17" i="59" s="1"/>
  <c r="Z16" i="59"/>
  <c r="AA16" i="59" s="1"/>
  <c r="Z21" i="59"/>
  <c r="AA21" i="59" s="1"/>
  <c r="Z7" i="59"/>
  <c r="AA7" i="59" s="1"/>
  <c r="Z18" i="59"/>
  <c r="AA18" i="59" s="1"/>
  <c r="Z13" i="59"/>
  <c r="AA13" i="59" s="1"/>
  <c r="Z8" i="59"/>
  <c r="AA8" i="59" s="1"/>
  <c r="Z11" i="59"/>
  <c r="AA11" i="59" s="1"/>
  <c r="Z10" i="59"/>
  <c r="AA10" i="59" s="1"/>
  <c r="Z4" i="59"/>
  <c r="AA4" i="59" s="1"/>
  <c r="Z6" i="59"/>
  <c r="AA6" i="59" s="1"/>
  <c r="K30" i="59"/>
  <c r="L26" i="59"/>
  <c r="K21" i="59"/>
  <c r="AJ17" i="59" s="1"/>
  <c r="K11" i="59"/>
  <c r="AJ16" i="59" s="1"/>
  <c r="J22" i="59"/>
  <c r="AC21" i="59" s="1"/>
  <c r="L27" i="59"/>
  <c r="J18" i="59"/>
  <c r="AC14" i="59" s="1"/>
  <c r="K12" i="59"/>
  <c r="AJ8" i="59" s="1"/>
  <c r="J24" i="59"/>
  <c r="AC23" i="59" s="1"/>
  <c r="J25" i="59"/>
  <c r="L4" i="59"/>
  <c r="AQ3" i="59" s="1"/>
  <c r="J20" i="59"/>
  <c r="AC9" i="59" s="1"/>
  <c r="K23" i="59"/>
  <c r="L7" i="59"/>
  <c r="AQ4" i="59" s="1"/>
  <c r="J15" i="59"/>
  <c r="AC15" i="59" s="1"/>
  <c r="L12" i="59"/>
  <c r="L24" i="59"/>
  <c r="L13" i="59"/>
  <c r="J14" i="59"/>
  <c r="L23" i="59"/>
  <c r="J16" i="59"/>
  <c r="AC19" i="59" s="1"/>
  <c r="J4" i="59"/>
  <c r="AC3" i="59" s="1"/>
  <c r="L30" i="59"/>
  <c r="K33" i="59"/>
  <c r="K15" i="59"/>
  <c r="AJ13" i="59" s="1"/>
  <c r="J30" i="59"/>
  <c r="L31" i="59"/>
  <c r="K16" i="59"/>
  <c r="AJ12" i="59" s="1"/>
  <c r="J17" i="59"/>
  <c r="AC4" i="59" s="1"/>
  <c r="J33" i="59"/>
  <c r="L6" i="59"/>
  <c r="AQ7" i="59" s="1"/>
  <c r="J13" i="59"/>
  <c r="AC16" i="59" s="1"/>
  <c r="K17" i="59"/>
  <c r="AJ3" i="59" s="1"/>
  <c r="J10" i="59"/>
  <c r="AC11" i="59" s="1"/>
  <c r="J11" i="59"/>
  <c r="AC20" i="59" s="1"/>
  <c r="L22" i="59"/>
  <c r="K6" i="59"/>
  <c r="AJ14" i="59" s="1"/>
  <c r="J12" i="59"/>
  <c r="AC17" i="59" s="1"/>
  <c r="M3" i="59"/>
  <c r="J5" i="59"/>
  <c r="AC5" i="59" s="1"/>
  <c r="L17" i="59"/>
  <c r="K19" i="59"/>
  <c r="AJ21" i="59" s="1"/>
  <c r="J9" i="59"/>
  <c r="AC7" i="59" s="1"/>
  <c r="L3" i="59"/>
  <c r="AQ5" i="59" s="1"/>
  <c r="J7" i="59"/>
  <c r="AC13" i="59" s="1"/>
  <c r="L29" i="59"/>
  <c r="K5" i="59"/>
  <c r="AJ6" i="59" s="1"/>
  <c r="L8" i="59"/>
  <c r="K29" i="59"/>
  <c r="K10" i="59"/>
  <c r="AJ9" i="59" s="1"/>
  <c r="L33" i="59"/>
  <c r="J27" i="59"/>
  <c r="K24" i="59"/>
  <c r="AJ20" i="59" s="1"/>
  <c r="K26" i="59"/>
  <c r="K8" i="59"/>
  <c r="L28" i="59"/>
  <c r="K14" i="59"/>
  <c r="AJ19" i="59" s="1"/>
  <c r="J28" i="59"/>
  <c r="L10" i="59"/>
  <c r="AQ6" i="59" s="1"/>
  <c r="J21" i="59"/>
  <c r="AC22" i="59" s="1"/>
  <c r="J26" i="59"/>
  <c r="L11" i="59"/>
  <c r="AQ9" i="59" s="1"/>
  <c r="J23" i="59"/>
  <c r="AC18" i="59" s="1"/>
  <c r="K28" i="59"/>
  <c r="L5" i="59"/>
  <c r="L16" i="59"/>
  <c r="K25" i="59"/>
  <c r="AJ10" i="59" s="1"/>
  <c r="L18" i="59"/>
  <c r="L25" i="59"/>
  <c r="J32" i="59"/>
  <c r="J8" i="59"/>
  <c r="AC10" i="59" s="1"/>
  <c r="K18" i="59"/>
  <c r="AJ15" i="59" s="1"/>
  <c r="L14" i="59"/>
  <c r="J29" i="59"/>
  <c r="K31" i="59"/>
  <c r="L9" i="59"/>
  <c r="L15" i="59"/>
  <c r="J31" i="59"/>
  <c r="K32" i="59"/>
  <c r="L21" i="59"/>
  <c r="AQ8" i="59" s="1"/>
  <c r="L20" i="59"/>
  <c r="K22" i="59"/>
  <c r="AJ18" i="59" s="1"/>
  <c r="L32" i="59"/>
  <c r="K3" i="59"/>
  <c r="AJ5" i="59" s="1"/>
  <c r="J6" i="59"/>
  <c r="AC8" i="59" s="1"/>
  <c r="L19" i="59"/>
  <c r="K4" i="59"/>
  <c r="AJ7" i="59" s="1"/>
  <c r="K7" i="59"/>
  <c r="AJ11" i="59" s="1"/>
  <c r="J19" i="59"/>
  <c r="AC12" i="59" s="1"/>
  <c r="AN5" i="59"/>
  <c r="AO5" i="59" s="1"/>
  <c r="M24" i="59"/>
  <c r="T28" i="59"/>
  <c r="T24" i="59"/>
  <c r="T29" i="59"/>
  <c r="T25" i="59"/>
  <c r="T26" i="59"/>
  <c r="T30" i="59"/>
  <c r="T31" i="59"/>
  <c r="T27" i="59"/>
  <c r="V31" i="59"/>
  <c r="V30" i="59"/>
  <c r="V29" i="59"/>
  <c r="V28" i="59"/>
  <c r="V27" i="59"/>
  <c r="V26" i="59"/>
  <c r="V25" i="59"/>
  <c r="V24" i="59"/>
  <c r="U31" i="59"/>
  <c r="U30" i="59"/>
  <c r="U29" i="59"/>
  <c r="U28" i="59"/>
  <c r="U26" i="59"/>
  <c r="U25" i="59"/>
  <c r="U24" i="59"/>
  <c r="S31" i="59"/>
  <c r="S30" i="59"/>
  <c r="S29" i="59"/>
  <c r="S28" i="59"/>
  <c r="S26" i="59"/>
  <c r="S25" i="59"/>
  <c r="AK10" i="59" s="1"/>
  <c r="S24" i="59"/>
  <c r="AK20" i="59" s="1"/>
  <c r="R31" i="59"/>
  <c r="R30" i="59"/>
  <c r="R29" i="59"/>
  <c r="R28" i="59"/>
  <c r="R27" i="59"/>
  <c r="R26" i="59"/>
  <c r="R25" i="59"/>
  <c r="R24" i="59"/>
  <c r="AD23" i="59" s="1"/>
  <c r="O31" i="59"/>
  <c r="O30" i="59"/>
  <c r="O29" i="59"/>
  <c r="O28" i="59"/>
  <c r="O27" i="59"/>
  <c r="O26" i="59"/>
  <c r="O25" i="59"/>
  <c r="O24" i="59"/>
  <c r="N31" i="59"/>
  <c r="N30" i="59"/>
  <c r="N29" i="59"/>
  <c r="N28" i="59"/>
  <c r="N27" i="59"/>
  <c r="N26" i="59"/>
  <c r="N25" i="59"/>
  <c r="N24" i="59"/>
  <c r="W31" i="59"/>
  <c r="M31" i="59"/>
  <c r="W30" i="59"/>
  <c r="M30" i="59"/>
  <c r="W29" i="59"/>
  <c r="M29" i="59"/>
  <c r="W28" i="59"/>
  <c r="M28" i="59"/>
  <c r="W27" i="59"/>
  <c r="W26" i="59"/>
  <c r="M26" i="59"/>
  <c r="W25" i="59"/>
  <c r="M25" i="59"/>
  <c r="W24" i="59"/>
  <c r="R13" i="59"/>
  <c r="AD16" i="59" s="1"/>
  <c r="S22" i="59"/>
  <c r="AK18" i="59" s="1"/>
  <c r="U10" i="59"/>
  <c r="W12" i="59"/>
  <c r="V15" i="59"/>
  <c r="M33" i="59"/>
  <c r="N11" i="59"/>
  <c r="N23" i="59"/>
  <c r="U18" i="59"/>
  <c r="W20" i="59"/>
  <c r="W3" i="59"/>
  <c r="N7" i="59"/>
  <c r="V7" i="59"/>
  <c r="V23" i="59"/>
  <c r="M9" i="59"/>
  <c r="M17" i="59"/>
  <c r="N15" i="59"/>
  <c r="N19" i="59"/>
  <c r="T18" i="59"/>
  <c r="R16" i="59"/>
  <c r="AD19" i="59" s="1"/>
  <c r="W4" i="59"/>
  <c r="R33" i="59"/>
  <c r="S10" i="59"/>
  <c r="AK9" i="59" s="1"/>
  <c r="T7" i="59"/>
  <c r="AR4" i="59" s="1"/>
  <c r="R5" i="59"/>
  <c r="AD5" i="59" s="1"/>
  <c r="T32" i="59"/>
  <c r="R22" i="59"/>
  <c r="AD21" i="59" s="1"/>
  <c r="S18" i="59"/>
  <c r="AK15" i="59" s="1"/>
  <c r="T15" i="59"/>
  <c r="T12" i="59"/>
  <c r="R10" i="59"/>
  <c r="AD11" i="59" s="1"/>
  <c r="S7" i="59"/>
  <c r="AK11" i="59" s="1"/>
  <c r="T4" i="59"/>
  <c r="AR3" i="59" s="1"/>
  <c r="N3" i="59"/>
  <c r="O22" i="59"/>
  <c r="O18" i="59"/>
  <c r="O14" i="59"/>
  <c r="O10" i="59"/>
  <c r="O6" i="59"/>
  <c r="M16" i="59"/>
  <c r="M8" i="59"/>
  <c r="W33" i="59"/>
  <c r="V20" i="59"/>
  <c r="W17" i="59"/>
  <c r="U15" i="59"/>
  <c r="V12" i="59"/>
  <c r="W9" i="59"/>
  <c r="U7" i="59"/>
  <c r="V4" i="59"/>
  <c r="T21" i="59"/>
  <c r="AR8" i="59" s="1"/>
  <c r="R18" i="59"/>
  <c r="AD14" i="59" s="1"/>
  <c r="S15" i="59"/>
  <c r="AK13" i="59" s="1"/>
  <c r="S12" i="59"/>
  <c r="AK8" i="59" s="1"/>
  <c r="T9" i="59"/>
  <c r="R7" i="59"/>
  <c r="AD13" i="59" s="1"/>
  <c r="S4" i="59"/>
  <c r="AK7" i="59" s="1"/>
  <c r="O3" i="59"/>
  <c r="N22" i="59"/>
  <c r="N18" i="59"/>
  <c r="N14" i="59"/>
  <c r="N10" i="59"/>
  <c r="N6" i="59"/>
  <c r="M15" i="59"/>
  <c r="M7" i="59"/>
  <c r="V33" i="59"/>
  <c r="W22" i="59"/>
  <c r="U20" i="59"/>
  <c r="V17" i="59"/>
  <c r="W14" i="59"/>
  <c r="U12" i="59"/>
  <c r="V9" i="59"/>
  <c r="W6" i="59"/>
  <c r="U4" i="59"/>
  <c r="R3" i="59"/>
  <c r="AD6" i="59" s="1"/>
  <c r="R32" i="59"/>
  <c r="T17" i="59"/>
  <c r="R15" i="59"/>
  <c r="AD15" i="59" s="1"/>
  <c r="R12" i="59"/>
  <c r="AD17" i="59" s="1"/>
  <c r="T6" i="59"/>
  <c r="AR7" i="59" s="1"/>
  <c r="R4" i="59"/>
  <c r="T20" i="59"/>
  <c r="S19" i="59"/>
  <c r="AK21" i="59" s="1"/>
  <c r="O33" i="59"/>
  <c r="O21" i="59"/>
  <c r="O17" i="59"/>
  <c r="O13" i="59"/>
  <c r="O9" i="59"/>
  <c r="O5" i="59"/>
  <c r="M22" i="59"/>
  <c r="M14" i="59"/>
  <c r="M6" i="59"/>
  <c r="U33" i="59"/>
  <c r="V22" i="59"/>
  <c r="W19" i="59"/>
  <c r="U17" i="59"/>
  <c r="V14" i="59"/>
  <c r="W11" i="59"/>
  <c r="U9" i="59"/>
  <c r="V6" i="59"/>
  <c r="T23" i="59"/>
  <c r="R21" i="59"/>
  <c r="AD22" i="59" s="1"/>
  <c r="S17" i="59"/>
  <c r="AK3" i="59" s="1"/>
  <c r="T14" i="59"/>
  <c r="T11" i="59"/>
  <c r="AR9" i="59" s="1"/>
  <c r="R9" i="59"/>
  <c r="AD7" i="59" s="1"/>
  <c r="S6" i="59"/>
  <c r="AK14" i="59" s="1"/>
  <c r="N33" i="59"/>
  <c r="N21" i="59"/>
  <c r="N17" i="59"/>
  <c r="N13" i="59"/>
  <c r="N9" i="59"/>
  <c r="N5" i="59"/>
  <c r="M21" i="59"/>
  <c r="M5" i="59"/>
  <c r="W32" i="59"/>
  <c r="U22" i="59"/>
  <c r="V19" i="59"/>
  <c r="W16" i="59"/>
  <c r="U14" i="59"/>
  <c r="V11" i="59"/>
  <c r="W8" i="59"/>
  <c r="U6" i="59"/>
  <c r="S3" i="59"/>
  <c r="AK5" i="59" s="1"/>
  <c r="R20" i="59"/>
  <c r="AD9" i="59" s="1"/>
  <c r="R17" i="59"/>
  <c r="AD4" i="59" s="1"/>
  <c r="S14" i="59"/>
  <c r="AK19" i="59" s="1"/>
  <c r="S11" i="59"/>
  <c r="AK16" i="59" s="1"/>
  <c r="T8" i="59"/>
  <c r="R6" i="59"/>
  <c r="AD8" i="59" s="1"/>
  <c r="O32" i="59"/>
  <c r="O20" i="59"/>
  <c r="O16" i="59"/>
  <c r="O12" i="59"/>
  <c r="O8" i="59"/>
  <c r="O4" i="59"/>
  <c r="M20" i="59"/>
  <c r="M12" i="59"/>
  <c r="M4" i="59"/>
  <c r="V32" i="59"/>
  <c r="W21" i="59"/>
  <c r="U19" i="59"/>
  <c r="V16" i="59"/>
  <c r="W13" i="59"/>
  <c r="U11" i="59"/>
  <c r="V8" i="59"/>
  <c r="W5" i="59"/>
  <c r="T33" i="59"/>
  <c r="R23" i="59"/>
  <c r="AD18" i="59" s="1"/>
  <c r="T16" i="59"/>
  <c r="R14" i="59"/>
  <c r="R11" i="59"/>
  <c r="AD20" i="59" s="1"/>
  <c r="S8" i="59"/>
  <c r="T5" i="59"/>
  <c r="N32" i="59"/>
  <c r="N20" i="59"/>
  <c r="N16" i="59"/>
  <c r="N12" i="59"/>
  <c r="N8" i="59"/>
  <c r="N4" i="59"/>
  <c r="M19" i="59"/>
  <c r="M11" i="59"/>
  <c r="U3" i="59"/>
  <c r="V21" i="59"/>
  <c r="W18" i="59"/>
  <c r="U16" i="59"/>
  <c r="V13" i="59"/>
  <c r="W10" i="59"/>
  <c r="U8" i="59"/>
  <c r="V5" i="59"/>
  <c r="S33" i="59"/>
  <c r="R19" i="59"/>
  <c r="AD12" i="59" s="1"/>
  <c r="S16" i="59"/>
  <c r="AK12" i="59" s="1"/>
  <c r="T13" i="59"/>
  <c r="T10" i="59"/>
  <c r="AR6" i="59" s="1"/>
  <c r="R8" i="59"/>
  <c r="AD10" i="59" s="1"/>
  <c r="S5" i="59"/>
  <c r="AK6" i="59" s="1"/>
  <c r="O23" i="59"/>
  <c r="O19" i="59"/>
  <c r="O15" i="59"/>
  <c r="O11" i="59"/>
  <c r="O7" i="59"/>
  <c r="M18" i="59"/>
  <c r="M10" i="59"/>
  <c r="V3" i="59"/>
  <c r="W23" i="59"/>
  <c r="U21" i="59"/>
  <c r="V18" i="59"/>
  <c r="W15" i="59"/>
  <c r="V10" i="59"/>
  <c r="W7" i="59"/>
  <c r="U5" i="59"/>
  <c r="BB967" i="13"/>
  <c r="BB966" i="13"/>
  <c r="AZ967" i="13"/>
  <c r="AZ966" i="13"/>
  <c r="AX967" i="13"/>
  <c r="AX966" i="13"/>
  <c r="BB963" i="13"/>
  <c r="BB962" i="13"/>
  <c r="AX963" i="13"/>
  <c r="AX962" i="13"/>
  <c r="AZ962" i="13"/>
  <c r="R3" i="10" a="1"/>
  <c r="O3" i="10" a="1"/>
  <c r="P23" i="10" s="1"/>
  <c r="L3" i="10" a="1"/>
  <c r="AP6" i="59" l="1"/>
  <c r="V4" i="60"/>
  <c r="W4" i="60"/>
  <c r="AP4" i="59"/>
  <c r="AP8" i="59"/>
  <c r="AP9" i="59"/>
  <c r="AP7" i="59"/>
  <c r="AP3" i="59"/>
  <c r="AI21" i="59"/>
  <c r="AI12" i="59"/>
  <c r="AI16" i="59"/>
  <c r="AI5" i="59"/>
  <c r="AI20" i="59"/>
  <c r="AI14" i="59"/>
  <c r="AI18" i="59"/>
  <c r="AI19" i="59"/>
  <c r="AI9" i="59"/>
  <c r="AI11" i="59"/>
  <c r="AI15" i="59"/>
  <c r="AI3" i="59"/>
  <c r="AI13" i="59"/>
  <c r="AI7" i="59"/>
  <c r="AI8" i="59"/>
  <c r="AI10" i="59"/>
  <c r="AI6" i="59"/>
  <c r="AB7" i="59"/>
  <c r="AB20" i="59"/>
  <c r="AB12" i="59"/>
  <c r="AB11" i="59"/>
  <c r="AB10" i="59"/>
  <c r="AB18" i="59"/>
  <c r="AB5" i="59"/>
  <c r="AB16" i="59"/>
  <c r="AB15" i="59"/>
  <c r="AB14" i="59"/>
  <c r="AB8" i="59"/>
  <c r="AB6" i="59"/>
  <c r="AB17" i="59"/>
  <c r="AB3" i="59"/>
  <c r="AB22" i="59"/>
  <c r="AB13" i="59"/>
  <c r="AB4" i="59"/>
  <c r="AB19" i="59"/>
  <c r="AB21" i="59"/>
  <c r="AB23" i="59"/>
  <c r="AB9" i="59"/>
  <c r="P21" i="10"/>
  <c r="P17" i="10"/>
  <c r="P9" i="10"/>
  <c r="P15" i="10"/>
  <c r="P13" i="10"/>
  <c r="P11" i="10"/>
  <c r="P22" i="10"/>
  <c r="P18" i="10"/>
  <c r="P14" i="10"/>
  <c r="P10" i="10"/>
  <c r="P19" i="10"/>
  <c r="P4" i="10"/>
  <c r="P5" i="10"/>
  <c r="P6" i="10"/>
  <c r="P8" i="10"/>
  <c r="P20" i="10"/>
  <c r="P16" i="10"/>
  <c r="P12" i="10"/>
  <c r="P7" i="10"/>
  <c r="J36" i="10"/>
  <c r="J32" i="10"/>
  <c r="J24" i="10"/>
  <c r="J20" i="10"/>
  <c r="J16" i="10"/>
  <c r="J12" i="10"/>
  <c r="J35" i="10"/>
  <c r="J27" i="10"/>
  <c r="J17" i="10"/>
  <c r="J7" i="10"/>
  <c r="J10" i="10"/>
  <c r="J34" i="10"/>
  <c r="J30" i="10"/>
  <c r="J21" i="10"/>
  <c r="J22" i="10"/>
  <c r="J33" i="10"/>
  <c r="J25" i="10"/>
  <c r="J8" i="10"/>
  <c r="J28" i="10"/>
  <c r="J9" i="10"/>
  <c r="J26" i="10"/>
  <c r="J23" i="10"/>
  <c r="J19" i="10"/>
  <c r="J15" i="10"/>
  <c r="J13" i="10"/>
  <c r="J11" i="10"/>
  <c r="J4" i="10"/>
  <c r="J6" i="10"/>
  <c r="J18" i="10"/>
  <c r="J29" i="10"/>
  <c r="J5" i="10"/>
  <c r="J14" i="10"/>
  <c r="J31" i="10"/>
  <c r="M4" i="10"/>
  <c r="M5" i="10"/>
  <c r="M7" i="10"/>
  <c r="M6" i="10"/>
  <c r="M8" i="10"/>
  <c r="T3" i="59"/>
  <c r="AR5" i="59" s="1"/>
  <c r="AP5" i="59" s="1"/>
  <c r="O3" i="10"/>
  <c r="P3" i="10" s="1"/>
  <c r="T22" i="59"/>
  <c r="T19" i="59"/>
  <c r="L3" i="10"/>
  <c r="M3" i="10" s="1"/>
  <c r="R3" i="10"/>
  <c r="S3" i="10" s="1"/>
  <c r="T5" i="10"/>
  <c r="S8" i="10"/>
  <c r="U10" i="10"/>
  <c r="T13" i="10"/>
  <c r="S16" i="10"/>
  <c r="U18" i="10"/>
  <c r="T21" i="10"/>
  <c r="S24" i="10"/>
  <c r="U26" i="10"/>
  <c r="T29" i="10"/>
  <c r="S32" i="10"/>
  <c r="U34" i="10"/>
  <c r="T37" i="10"/>
  <c r="S40" i="10"/>
  <c r="U42" i="10"/>
  <c r="T45" i="10"/>
  <c r="T46" i="10"/>
  <c r="T20" i="10"/>
  <c r="S47" i="10"/>
  <c r="T42" i="10"/>
  <c r="U5" i="10"/>
  <c r="T8" i="10"/>
  <c r="S11" i="10"/>
  <c r="U13" i="10"/>
  <c r="T16" i="10"/>
  <c r="S19" i="10"/>
  <c r="U21" i="10"/>
  <c r="T24" i="10"/>
  <c r="S27" i="10"/>
  <c r="U29" i="10"/>
  <c r="T32" i="10"/>
  <c r="S35" i="10"/>
  <c r="U37" i="10"/>
  <c r="T40" i="10"/>
  <c r="S43" i="10"/>
  <c r="U45" i="10"/>
  <c r="S45" i="10"/>
  <c r="S37" i="10"/>
  <c r="S29" i="10"/>
  <c r="T26" i="10"/>
  <c r="U23" i="10"/>
  <c r="S21" i="10"/>
  <c r="T18" i="10"/>
  <c r="U15" i="10"/>
  <c r="S13" i="10"/>
  <c r="T10" i="10"/>
  <c r="U7" i="10"/>
  <c r="S5" i="10"/>
  <c r="T47" i="10"/>
  <c r="U44" i="10"/>
  <c r="S42" i="10"/>
  <c r="T39" i="10"/>
  <c r="U36" i="10"/>
  <c r="S34" i="10"/>
  <c r="T31" i="10"/>
  <c r="U28" i="10"/>
  <c r="S26" i="10"/>
  <c r="T23" i="10"/>
  <c r="U20" i="10"/>
  <c r="S18" i="10"/>
  <c r="T15" i="10"/>
  <c r="U12" i="10"/>
  <c r="S10" i="10"/>
  <c r="T7" i="10"/>
  <c r="U4" i="10"/>
  <c r="U31" i="10"/>
  <c r="U41" i="10"/>
  <c r="U33" i="10"/>
  <c r="T28" i="10"/>
  <c r="S23" i="10"/>
  <c r="U17" i="10"/>
  <c r="U9" i="10"/>
  <c r="S7" i="10"/>
  <c r="T4" i="10"/>
  <c r="U46" i="10"/>
  <c r="S44" i="10"/>
  <c r="T41" i="10"/>
  <c r="U38" i="10"/>
  <c r="S36" i="10"/>
  <c r="T33" i="10"/>
  <c r="U30" i="10"/>
  <c r="S28" i="10"/>
  <c r="T25" i="10"/>
  <c r="U22" i="10"/>
  <c r="S20" i="10"/>
  <c r="T17" i="10"/>
  <c r="U14" i="10"/>
  <c r="S12" i="10"/>
  <c r="T9" i="10"/>
  <c r="U6" i="10"/>
  <c r="S4" i="10"/>
  <c r="T34" i="10"/>
  <c r="S39" i="10"/>
  <c r="S31" i="10"/>
  <c r="T12" i="10"/>
  <c r="S41" i="10"/>
  <c r="T38" i="10"/>
  <c r="U35" i="10"/>
  <c r="S33" i="10"/>
  <c r="T30" i="10"/>
  <c r="U27" i="10"/>
  <c r="S25" i="10"/>
  <c r="T22" i="10"/>
  <c r="U19" i="10"/>
  <c r="S17" i="10"/>
  <c r="T14" i="10"/>
  <c r="U11" i="10"/>
  <c r="S9" i="10"/>
  <c r="T6" i="10"/>
  <c r="U47" i="10"/>
  <c r="U39" i="10"/>
  <c r="T44" i="10"/>
  <c r="T36" i="10"/>
  <c r="U25" i="10"/>
  <c r="S15" i="10"/>
  <c r="U43" i="10"/>
  <c r="S46" i="10"/>
  <c r="T43" i="10"/>
  <c r="U40" i="10"/>
  <c r="S38" i="10"/>
  <c r="T35" i="10"/>
  <c r="U32" i="10"/>
  <c r="S30" i="10"/>
  <c r="T27" i="10"/>
  <c r="U24" i="10"/>
  <c r="S22" i="10"/>
  <c r="T19" i="10"/>
  <c r="U16" i="10"/>
  <c r="S14" i="10"/>
  <c r="T11" i="10"/>
  <c r="U8" i="10"/>
  <c r="S6" i="10"/>
  <c r="I4" i="60" l="1"/>
  <c r="J2" i="10"/>
  <c r="U3" i="10"/>
  <c r="T3" i="10"/>
  <c r="C21" i="50"/>
  <c r="CC647" i="13"/>
  <c r="CB647" i="13"/>
  <c r="BY647" i="13"/>
  <c r="CC645" i="13"/>
  <c r="BY645" i="13"/>
  <c r="CC644" i="13"/>
  <c r="CB644" i="13"/>
  <c r="BY644" i="13"/>
  <c r="BV647" i="13"/>
  <c r="BV646" i="13"/>
  <c r="BV645" i="13"/>
  <c r="BV644" i="13"/>
  <c r="BS647" i="13"/>
  <c r="BS646" i="13"/>
  <c r="BS645" i="13"/>
  <c r="BS644" i="13"/>
  <c r="Z650" i="13"/>
  <c r="Z649" i="13"/>
  <c r="Z648" i="13"/>
  <c r="BY404" i="13"/>
  <c r="BY928" i="13" l="1"/>
  <c r="BY927" i="13"/>
  <c r="BY922" i="13"/>
  <c r="BY921" i="13"/>
  <c r="BY917" i="13"/>
  <c r="BY915" i="13"/>
  <c r="BY914" i="13"/>
  <c r="BY913" i="13"/>
  <c r="BY912" i="13"/>
  <c r="BY911" i="13"/>
  <c r="BS928" i="13"/>
  <c r="BS927" i="13"/>
  <c r="BS922" i="13"/>
  <c r="BS921" i="13"/>
  <c r="BS917" i="13"/>
  <c r="BS915" i="13"/>
  <c r="BS914" i="13"/>
  <c r="BS913" i="13"/>
  <c r="BS912" i="13"/>
  <c r="BS911" i="13"/>
  <c r="BZ947" i="13"/>
  <c r="BZ946" i="13"/>
  <c r="BZ945" i="13"/>
  <c r="BZ944" i="13"/>
  <c r="BZ943" i="13"/>
  <c r="BZ942" i="13"/>
  <c r="BY947" i="13"/>
  <c r="BY946" i="13"/>
  <c r="BY945" i="13"/>
  <c r="BY944" i="13"/>
  <c r="BY943" i="13"/>
  <c r="BY942" i="13"/>
  <c r="BY941" i="13"/>
  <c r="BY940" i="13"/>
  <c r="BY939" i="13"/>
  <c r="BY938" i="13"/>
  <c r="BY937" i="13"/>
  <c r="BY936" i="13"/>
  <c r="BY935" i="13"/>
  <c r="BY934" i="13"/>
  <c r="BY933" i="13"/>
  <c r="BT947" i="13"/>
  <c r="BT946" i="13"/>
  <c r="BT945" i="13"/>
  <c r="BT944" i="13"/>
  <c r="BT943" i="13"/>
  <c r="BT942" i="13"/>
  <c r="BT941" i="13"/>
  <c r="BT940" i="13"/>
  <c r="BS947" i="13"/>
  <c r="BS946" i="13"/>
  <c r="BS945" i="13"/>
  <c r="BS944" i="13"/>
  <c r="BS943" i="13"/>
  <c r="BS942" i="13"/>
  <c r="BS941" i="13"/>
  <c r="BS940" i="13"/>
  <c r="BS939" i="13"/>
  <c r="BS938" i="13"/>
  <c r="BS937" i="13"/>
  <c r="BS936" i="13"/>
  <c r="BS935" i="13"/>
  <c r="BS934" i="13"/>
  <c r="BS933" i="13"/>
  <c r="BS518" i="13"/>
  <c r="BS517" i="13"/>
  <c r="BS516" i="13"/>
  <c r="BS515" i="13"/>
  <c r="BS514" i="13"/>
  <c r="BS513" i="13"/>
  <c r="BS512" i="13"/>
  <c r="BS511" i="13"/>
  <c r="BS510" i="13"/>
  <c r="BS509" i="13"/>
  <c r="BS508" i="13"/>
  <c r="BS507" i="13"/>
  <c r="BS506" i="13"/>
  <c r="BS505" i="13"/>
  <c r="BS504" i="13"/>
  <c r="BS503" i="13"/>
  <c r="BS502" i="13"/>
  <c r="BS501" i="13"/>
  <c r="BS500" i="13"/>
  <c r="BS499" i="13"/>
  <c r="BS498" i="13"/>
  <c r="BS497" i="13"/>
  <c r="BS496" i="13"/>
  <c r="BS495" i="13"/>
  <c r="BS494" i="13"/>
  <c r="BS493" i="13"/>
  <c r="BS492" i="13"/>
  <c r="BS491" i="13"/>
  <c r="BS490" i="13"/>
  <c r="BY518" i="13"/>
  <c r="BY517" i="13"/>
  <c r="BY516" i="13"/>
  <c r="BY515" i="13"/>
  <c r="BY514" i="13"/>
  <c r="BY513" i="13"/>
  <c r="BY512" i="13"/>
  <c r="BY511" i="13"/>
  <c r="BY510" i="13"/>
  <c r="BY509" i="13"/>
  <c r="BY508" i="13"/>
  <c r="BY507" i="13"/>
  <c r="BY506" i="13"/>
  <c r="BY505" i="13"/>
  <c r="BY504" i="13"/>
  <c r="BY503" i="13"/>
  <c r="BY502" i="13"/>
  <c r="BY501" i="13"/>
  <c r="BY500" i="13"/>
  <c r="BY499" i="13"/>
  <c r="BY498" i="13"/>
  <c r="BY497" i="13"/>
  <c r="BY496" i="13"/>
  <c r="BY495" i="13"/>
  <c r="BY494" i="13"/>
  <c r="BY493" i="13"/>
  <c r="BY492" i="13"/>
  <c r="BY491" i="13"/>
  <c r="BY490" i="13"/>
  <c r="BY489" i="13"/>
  <c r="BY488" i="13"/>
  <c r="BY487" i="13"/>
  <c r="BY486" i="13"/>
  <c r="BY485" i="13"/>
  <c r="BY484" i="13"/>
  <c r="BY483" i="13"/>
  <c r="BY482" i="13"/>
  <c r="BY481" i="13"/>
  <c r="BY480" i="13"/>
  <c r="BY479" i="13"/>
  <c r="BY478" i="13"/>
  <c r="BY477" i="13"/>
  <c r="BY476" i="13"/>
  <c r="BY475" i="13"/>
  <c r="BY474" i="13"/>
  <c r="BY473" i="13"/>
  <c r="BY472" i="13"/>
  <c r="BY471" i="13"/>
  <c r="BY470" i="13"/>
  <c r="BY469" i="13"/>
  <c r="BY468" i="13"/>
  <c r="BY467" i="13"/>
  <c r="BY466" i="13"/>
  <c r="BY465" i="13"/>
  <c r="BY464" i="13"/>
  <c r="BY463" i="13"/>
  <c r="BS489" i="13"/>
  <c r="BS488" i="13"/>
  <c r="BS487" i="13"/>
  <c r="BS486" i="13"/>
  <c r="BS485" i="13"/>
  <c r="BS484" i="13"/>
  <c r="BS483" i="13"/>
  <c r="BS482" i="13"/>
  <c r="BS481" i="13"/>
  <c r="BS480" i="13"/>
  <c r="BS479" i="13"/>
  <c r="BS478" i="13"/>
  <c r="BS477" i="13"/>
  <c r="BS476" i="13"/>
  <c r="BS475" i="13"/>
  <c r="BS474" i="13"/>
  <c r="BS473" i="13"/>
  <c r="BS472" i="13"/>
  <c r="BS471" i="13"/>
  <c r="BS470" i="13"/>
  <c r="BS469" i="13"/>
  <c r="BS468" i="13"/>
  <c r="BS467" i="13"/>
  <c r="BS466" i="13"/>
  <c r="BS465" i="13"/>
  <c r="BS464" i="13"/>
  <c r="BS463" i="13"/>
  <c r="BS177" i="13" l="1"/>
  <c r="BS176" i="13"/>
  <c r="BS175" i="13"/>
  <c r="BS171" i="13"/>
  <c r="BS172" i="13"/>
  <c r="BS173" i="13"/>
  <c r="BS174" i="13"/>
  <c r="BY462" i="13"/>
  <c r="BY461" i="13"/>
  <c r="BY460" i="13"/>
  <c r="BY459" i="13"/>
  <c r="BY458" i="13"/>
  <c r="BY457" i="13"/>
  <c r="BY456" i="13"/>
  <c r="BY455" i="13"/>
  <c r="BY454" i="13"/>
  <c r="BY453" i="13"/>
  <c r="BY452" i="13"/>
  <c r="BY451" i="13"/>
  <c r="BY450" i="13"/>
  <c r="BY449" i="13"/>
  <c r="BY448" i="13"/>
  <c r="BY447" i="13"/>
  <c r="BY446" i="13"/>
  <c r="BY445" i="13"/>
  <c r="BY444" i="13"/>
  <c r="BY443" i="13"/>
  <c r="BY442" i="13"/>
  <c r="BY441" i="13"/>
  <c r="BY440" i="13"/>
  <c r="BY439" i="13"/>
  <c r="BY438" i="13"/>
  <c r="BY437" i="13"/>
  <c r="BY436" i="13"/>
  <c r="BY435" i="13"/>
  <c r="BY434" i="13"/>
  <c r="BY433" i="13"/>
  <c r="BY432" i="13"/>
  <c r="BY431" i="13"/>
  <c r="BY430" i="13"/>
  <c r="BY429" i="13"/>
  <c r="BY428" i="13"/>
  <c r="BY427" i="13"/>
  <c r="BY426" i="13"/>
  <c r="BY425" i="13"/>
  <c r="BY424" i="13"/>
  <c r="BY423" i="13"/>
  <c r="BY422" i="13"/>
  <c r="BY421" i="13"/>
  <c r="BY420" i="13"/>
  <c r="BY419" i="13"/>
  <c r="BY418" i="13"/>
  <c r="BY417" i="13"/>
  <c r="BY416" i="13"/>
  <c r="BY415" i="13"/>
  <c r="BY414" i="13"/>
  <c r="BY413" i="13"/>
  <c r="BY412" i="13"/>
  <c r="BY411" i="13"/>
  <c r="BY410" i="13"/>
  <c r="BY409" i="13"/>
  <c r="BY408" i="13"/>
  <c r="BY407" i="13"/>
  <c r="BY406" i="13"/>
  <c r="BY405" i="13"/>
  <c r="BY403" i="13"/>
  <c r="BY402" i="13"/>
  <c r="BY401" i="13"/>
  <c r="BY400" i="13"/>
  <c r="BY399" i="13"/>
  <c r="BY398" i="13"/>
  <c r="BY397" i="13"/>
  <c r="BY396" i="13"/>
  <c r="BY395" i="13"/>
  <c r="BY394" i="13"/>
  <c r="BY393" i="13"/>
  <c r="BY392" i="13"/>
  <c r="BY391" i="13"/>
  <c r="BY390" i="13"/>
  <c r="BY389" i="13"/>
  <c r="BY388" i="13"/>
  <c r="BY387" i="13"/>
  <c r="BY386" i="13"/>
  <c r="BY385" i="13"/>
  <c r="D18" i="50"/>
  <c r="BS462" i="13" l="1"/>
  <c r="BS461" i="13"/>
  <c r="BS460" i="13"/>
  <c r="BS459" i="13"/>
  <c r="BS458" i="13"/>
  <c r="BS457" i="13"/>
  <c r="BS456" i="13"/>
  <c r="BS455" i="13"/>
  <c r="BS454" i="13"/>
  <c r="BS453" i="13"/>
  <c r="BS452" i="13"/>
  <c r="BS451" i="13"/>
  <c r="BS450" i="13"/>
  <c r="BS449" i="13"/>
  <c r="BS448" i="13"/>
  <c r="BS447" i="13"/>
  <c r="BS446" i="13"/>
  <c r="BS445" i="13"/>
  <c r="BS444" i="13"/>
  <c r="BS443" i="13"/>
  <c r="BS442" i="13"/>
  <c r="BS441" i="13"/>
  <c r="BS440" i="13"/>
  <c r="BS439" i="13"/>
  <c r="BS438" i="13"/>
  <c r="BS437" i="13"/>
  <c r="BS436" i="13"/>
  <c r="BS435" i="13"/>
  <c r="BS434" i="13"/>
  <c r="BS433" i="13"/>
  <c r="BS432" i="13"/>
  <c r="BS431" i="13"/>
  <c r="BS430" i="13"/>
  <c r="BS429" i="13"/>
  <c r="BS428" i="13"/>
  <c r="BS427" i="13"/>
  <c r="BS426" i="13"/>
  <c r="BS425" i="13"/>
  <c r="BS424" i="13"/>
  <c r="BS423" i="13"/>
  <c r="BS422" i="13"/>
  <c r="BS421" i="13"/>
  <c r="BS420" i="13"/>
  <c r="BS419" i="13"/>
  <c r="BS418" i="13"/>
  <c r="BS417" i="13"/>
  <c r="BS416" i="13"/>
  <c r="BS415" i="13"/>
  <c r="BS414" i="13"/>
  <c r="BS413" i="13"/>
  <c r="BS412" i="13"/>
  <c r="BS411" i="13"/>
  <c r="BS410" i="13"/>
  <c r="BS409" i="13"/>
  <c r="BS408" i="13"/>
  <c r="BS407" i="13"/>
  <c r="BS406" i="13"/>
  <c r="BS405" i="13"/>
  <c r="BS404" i="13"/>
  <c r="BS403" i="13"/>
  <c r="BS402" i="13"/>
  <c r="BS401" i="13"/>
  <c r="BS400" i="13"/>
  <c r="BS399" i="13"/>
  <c r="BS398" i="13"/>
  <c r="BS397" i="13"/>
  <c r="BS396" i="13"/>
  <c r="BS395" i="13"/>
  <c r="BS394" i="13"/>
  <c r="BS393" i="13"/>
  <c r="BS392" i="13"/>
  <c r="BS391" i="13"/>
  <c r="BS390" i="13"/>
  <c r="BS389" i="13"/>
  <c r="BS388" i="13"/>
  <c r="BS387" i="13"/>
  <c r="BS386" i="13"/>
  <c r="BS385" i="13"/>
  <c r="CC653" i="13"/>
  <c r="CC652" i="13"/>
  <c r="CC651" i="13"/>
  <c r="CC650" i="13"/>
  <c r="CC649" i="13"/>
  <c r="CC648" i="13"/>
  <c r="CB653" i="13"/>
  <c r="CB652" i="13"/>
  <c r="CB651" i="13"/>
  <c r="CB650" i="13"/>
  <c r="CB649" i="13"/>
  <c r="CB648" i="13"/>
  <c r="BY653" i="13"/>
  <c r="BY652" i="13"/>
  <c r="BY651" i="13"/>
  <c r="BY650" i="13"/>
  <c r="BY649" i="13"/>
  <c r="BY648" i="13"/>
  <c r="BW653" i="13"/>
  <c r="BW652" i="13"/>
  <c r="BW651" i="13"/>
  <c r="BW650" i="13"/>
  <c r="BW649" i="13"/>
  <c r="BW648" i="13"/>
  <c r="BV653" i="13"/>
  <c r="BV652" i="13"/>
  <c r="BV651" i="13"/>
  <c r="BV650" i="13"/>
  <c r="BV649" i="13"/>
  <c r="BV648" i="13"/>
  <c r="BS653" i="13"/>
  <c r="BS652" i="13"/>
  <c r="BS651" i="13"/>
  <c r="BS650" i="13"/>
  <c r="BS649" i="13"/>
  <c r="BS648" i="13"/>
  <c r="BT953" i="13"/>
  <c r="BT952" i="13"/>
  <c r="BT951" i="13"/>
  <c r="BT950" i="13"/>
  <c r="BT949" i="13"/>
  <c r="BT948" i="13"/>
  <c r="BS953" i="13"/>
  <c r="BS952" i="13"/>
  <c r="BS951" i="13"/>
  <c r="BS950" i="13"/>
  <c r="BS949" i="13"/>
  <c r="BS948" i="13"/>
  <c r="BZ1031" i="13"/>
  <c r="BZ1030" i="13"/>
  <c r="BZ1029" i="13"/>
  <c r="BY1031" i="13"/>
  <c r="BY1030" i="13"/>
  <c r="BY1029" i="13"/>
  <c r="BT1031" i="13"/>
  <c r="BT1030" i="13"/>
  <c r="BT1029" i="13"/>
  <c r="BS1031" i="13"/>
  <c r="BS1030" i="13"/>
  <c r="BS1029" i="13"/>
  <c r="BM137" i="13"/>
  <c r="BM143" i="13"/>
  <c r="BM142" i="13"/>
  <c r="BM141" i="13"/>
  <c r="BM140" i="13"/>
  <c r="BM139" i="13"/>
  <c r="BM138" i="13"/>
  <c r="BM136" i="13"/>
  <c r="BM135" i="13"/>
  <c r="BM134" i="13"/>
  <c r="BM133" i="13"/>
  <c r="BM132" i="13"/>
  <c r="BM131" i="13"/>
  <c r="BM130" i="13"/>
  <c r="BM152" i="13"/>
  <c r="BM151" i="13"/>
  <c r="BM150" i="13"/>
  <c r="BM149" i="13"/>
  <c r="BM148" i="13"/>
  <c r="BM147" i="13"/>
  <c r="BM146" i="13"/>
  <c r="BM145" i="13"/>
  <c r="BM144" i="13" l="1"/>
  <c r="C6" i="50" a="1"/>
  <c r="C6" i="50" s="1"/>
  <c r="K6" i="50" s="1"/>
  <c r="L20" i="50" a="1"/>
  <c r="M20" i="50" a="1"/>
  <c r="E18" i="50"/>
  <c r="J20" i="50" a="1"/>
  <c r="F18" i="50"/>
  <c r="K20" i="50" a="1"/>
  <c r="M20" i="50" l="1"/>
  <c r="L20" i="50"/>
  <c r="K20" i="50"/>
  <c r="J20" i="50"/>
  <c r="BG22" i="50" l="1" a="1"/>
  <c r="BG22" i="50" s="1"/>
  <c r="BC22" i="50" a="1"/>
  <c r="BC22" i="50" s="1"/>
  <c r="AX22" i="50" a="1"/>
  <c r="AP22" i="50" a="1"/>
  <c r="AP22" i="50" s="1"/>
  <c r="K7" i="50"/>
  <c r="L7" i="50"/>
  <c r="O7" i="50"/>
  <c r="P7" i="50"/>
  <c r="S7" i="50"/>
  <c r="T7" i="50"/>
  <c r="K8" i="50"/>
  <c r="L8" i="50"/>
  <c r="O8" i="50"/>
  <c r="P8" i="50"/>
  <c r="S8" i="50"/>
  <c r="T8" i="50"/>
  <c r="AR76" i="50" a="1"/>
  <c r="BI31" i="50" a="1"/>
  <c r="AR79" i="50" a="1"/>
  <c r="AQ68" i="50" a="1"/>
  <c r="AQ53" i="50" a="1"/>
  <c r="BH30" i="50" a="1"/>
  <c r="AQ90" i="50" a="1"/>
  <c r="BI22" i="50" a="1"/>
  <c r="AQ47" i="50" a="1"/>
  <c r="AQ74" i="50" a="1"/>
  <c r="AR22" i="50" a="1"/>
  <c r="AQ42" i="50" a="1"/>
  <c r="AX22" i="50" l="1"/>
  <c r="BI31" i="50"/>
  <c r="BH30" i="50"/>
  <c r="BI22" i="50"/>
  <c r="AQ90" i="50"/>
  <c r="AQ74" i="50"/>
  <c r="AQ68" i="50"/>
  <c r="AQ42" i="50"/>
  <c r="AR79" i="50"/>
  <c r="AR76" i="50"/>
  <c r="AQ53" i="50"/>
  <c r="AQ47" i="50"/>
  <c r="AR22" i="50"/>
  <c r="AQ92" i="50" a="1"/>
  <c r="AR89" i="50" a="1"/>
  <c r="AQ38" i="50" a="1"/>
  <c r="AQ98" i="50" a="1"/>
  <c r="AR23" i="50" a="1"/>
  <c r="AQ65" i="50" a="1"/>
  <c r="AR67" i="50" a="1"/>
  <c r="AR29" i="50" a="1"/>
  <c r="AQ28" i="50" a="1"/>
  <c r="AR62" i="50" a="1"/>
  <c r="AQ52" i="50" a="1"/>
  <c r="AR60" i="50" a="1"/>
  <c r="AR81" i="50" a="1"/>
  <c r="BI24" i="50" a="1"/>
  <c r="AQ104" i="50" a="1"/>
  <c r="BH33" i="50" a="1"/>
  <c r="AQ103" i="50" a="1"/>
  <c r="BI38" i="50" a="1"/>
  <c r="AQ96" i="50" a="1"/>
  <c r="AR55" i="50" a="1"/>
  <c r="AR73" i="50" a="1"/>
  <c r="AR33" i="50" a="1"/>
  <c r="AQ82" i="50" a="1"/>
  <c r="AR54" i="50" a="1"/>
  <c r="BH27" i="50" a="1"/>
  <c r="AR102" i="50" a="1"/>
  <c r="BH31" i="50" a="1"/>
  <c r="AQ89" i="50" a="1"/>
  <c r="AQ83" i="50" a="1"/>
  <c r="AQ91" i="50" a="1"/>
  <c r="BI37" i="50" a="1"/>
  <c r="AR68" i="50" a="1"/>
  <c r="AQ49" i="50" a="1"/>
  <c r="BH25" i="50" a="1"/>
  <c r="BI32" i="50" a="1"/>
  <c r="AQ44" i="50" a="1"/>
  <c r="AQ77" i="50" a="1"/>
  <c r="AR103" i="50" a="1"/>
  <c r="AQ75" i="50" a="1"/>
  <c r="BH36" i="50" a="1"/>
  <c r="AQ100" i="50" a="1"/>
  <c r="AR70" i="50" a="1"/>
  <c r="AR31" i="50" a="1"/>
  <c r="AR85" i="50" a="1"/>
  <c r="AR46" i="50" a="1"/>
  <c r="AR101" i="50" a="1"/>
  <c r="AQ79" i="50" a="1"/>
  <c r="AQ72" i="50" a="1"/>
  <c r="AQ102" i="50" a="1"/>
  <c r="AR84" i="50" a="1"/>
  <c r="AQ46" i="50" a="1"/>
  <c r="AR105" i="50" a="1"/>
  <c r="AQ51" i="50" a="1"/>
  <c r="AQ70" i="50" a="1"/>
  <c r="AR63" i="50" a="1"/>
  <c r="AR78" i="50" a="1"/>
  <c r="AQ76" i="50" a="1"/>
  <c r="AQ57" i="50" a="1"/>
  <c r="AQ56" i="50" a="1"/>
  <c r="AR43" i="50" a="1"/>
  <c r="AR39" i="50" a="1"/>
  <c r="AR71" i="50" a="1"/>
  <c r="AQ64" i="50" a="1"/>
  <c r="AQ69" i="50" a="1"/>
  <c r="AR40" i="50" a="1"/>
  <c r="BH35" i="50" a="1"/>
  <c r="AQ95" i="50" a="1"/>
  <c r="BH29" i="50" a="1"/>
  <c r="AQ78" i="50" a="1"/>
  <c r="AQ48" i="50" a="1"/>
  <c r="AR90" i="50" a="1"/>
  <c r="AR34" i="50" a="1"/>
  <c r="AQ66" i="50" a="1"/>
  <c r="AR28" i="50" a="1"/>
  <c r="AR58" i="50" a="1"/>
  <c r="BH32" i="50" a="1"/>
  <c r="AZ22" i="50" a="1"/>
  <c r="AR45" i="50" a="1"/>
  <c r="AQ63" i="50" a="1"/>
  <c r="AQ94" i="50" a="1"/>
  <c r="AQ37" i="50" a="1"/>
  <c r="AQ62" i="50" a="1"/>
  <c r="AQ33" i="50" a="1"/>
  <c r="AR104" i="50" a="1"/>
  <c r="AR42" i="50" a="1"/>
  <c r="AR83" i="50" a="1"/>
  <c r="BH34" i="50" a="1"/>
  <c r="AR24" i="50" a="1"/>
  <c r="AR93" i="50" a="1"/>
  <c r="AR96" i="50" a="1"/>
  <c r="AR57" i="50" a="1"/>
  <c r="AR80" i="50" a="1"/>
  <c r="AR48" i="50" a="1"/>
  <c r="BI25" i="50" a="1"/>
  <c r="BI29" i="50" a="1"/>
  <c r="AQ105" i="50" a="1"/>
  <c r="AR75" i="50" a="1"/>
  <c r="AQ30" i="50" a="1"/>
  <c r="AQ39" i="50" a="1"/>
  <c r="BH39" i="50" a="1"/>
  <c r="AQ34" i="50" a="1"/>
  <c r="AQ80" i="50" a="1"/>
  <c r="AR69" i="50" a="1"/>
  <c r="AR50" i="50" a="1"/>
  <c r="AR82" i="50" a="1"/>
  <c r="BI23" i="50" a="1"/>
  <c r="AR47" i="50" a="1"/>
  <c r="AQ41" i="50" a="1"/>
  <c r="AR37" i="50" a="1"/>
  <c r="AQ31" i="50" a="1"/>
  <c r="AR64" i="50" a="1"/>
  <c r="BI30" i="50" a="1"/>
  <c r="AQ99" i="50" a="1"/>
  <c r="AR38" i="50" a="1"/>
  <c r="BH37" i="50" a="1"/>
  <c r="AR41" i="50" a="1"/>
  <c r="AQ86" i="50" a="1"/>
  <c r="AR74" i="50" a="1"/>
  <c r="AQ88" i="50" a="1"/>
  <c r="AR87" i="50" a="1"/>
  <c r="AQ43" i="50" a="1"/>
  <c r="AQ85" i="50" a="1"/>
  <c r="AQ84" i="50" a="1"/>
  <c r="AR56" i="50" a="1"/>
  <c r="AQ71" i="50" a="1"/>
  <c r="AR35" i="50" a="1"/>
  <c r="AQ40" i="50" a="1"/>
  <c r="BI35" i="50" a="1"/>
  <c r="AR51" i="50" a="1"/>
  <c r="AQ61" i="50" a="1"/>
  <c r="AQ81" i="50" a="1"/>
  <c r="BI39" i="50" a="1"/>
  <c r="BI26" i="50" a="1"/>
  <c r="BI34" i="50" a="1"/>
  <c r="AR92" i="50" a="1"/>
  <c r="AR32" i="50" a="1"/>
  <c r="BH28" i="50" a="1"/>
  <c r="BH26" i="50" a="1"/>
  <c r="AR99" i="50" a="1"/>
  <c r="BI28" i="50" a="1"/>
  <c r="AQ54" i="50" a="1"/>
  <c r="AR49" i="50" a="1"/>
  <c r="AR77" i="50" a="1"/>
  <c r="AR98" i="50" a="1"/>
  <c r="AR106" i="50" a="1"/>
  <c r="AQ32" i="50" a="1"/>
  <c r="AR100" i="50" a="1"/>
  <c r="AR72" i="50" a="1"/>
  <c r="AZ23" i="50" a="1"/>
  <c r="BI36" i="50" a="1"/>
  <c r="BI33" i="50" a="1"/>
  <c r="AQ73" i="50" a="1"/>
  <c r="AR52" i="50" a="1"/>
  <c r="AQ35" i="50" a="1"/>
  <c r="AR65" i="50" a="1"/>
  <c r="AR95" i="50" a="1"/>
  <c r="AQ55" i="50" a="1"/>
  <c r="AR25" i="50" a="1"/>
  <c r="AQ45" i="50" a="1"/>
  <c r="AR44" i="50" a="1"/>
  <c r="AQ67" i="50" a="1"/>
  <c r="BH38" i="50" a="1"/>
  <c r="AR26" i="50" a="1"/>
  <c r="AQ106" i="50" a="1"/>
  <c r="AR53" i="50" a="1"/>
  <c r="AR86" i="50" a="1"/>
  <c r="AR97" i="50" a="1"/>
  <c r="AQ93" i="50" a="1"/>
  <c r="AR36" i="50" a="1"/>
  <c r="AQ87" i="50" a="1"/>
  <c r="AR61" i="50" a="1"/>
  <c r="AQ29" i="50" a="1"/>
  <c r="BI27" i="50" a="1"/>
  <c r="AR66" i="50" a="1"/>
  <c r="AR88" i="50" a="1"/>
  <c r="AR94" i="50" a="1"/>
  <c r="AQ97" i="50" a="1"/>
  <c r="AQ60" i="50" a="1"/>
  <c r="AQ59" i="50" a="1"/>
  <c r="AQ58" i="50" a="1"/>
  <c r="AR30" i="50" a="1"/>
  <c r="AQ36" i="50" a="1"/>
  <c r="AR27" i="50" a="1"/>
  <c r="AR91" i="50" a="1"/>
  <c r="AR59" i="50" a="1"/>
  <c r="AQ101" i="50" a="1"/>
  <c r="AQ50" i="50" a="1"/>
  <c r="AR44" i="50" l="1"/>
  <c r="AQ43" i="50"/>
  <c r="BH38" i="50"/>
  <c r="AQ36" i="50"/>
  <c r="AR92" i="50"/>
  <c r="AQ83" i="50"/>
  <c r="AR29" i="50"/>
  <c r="AR75" i="50"/>
  <c r="AQ91" i="50"/>
  <c r="AR78" i="50"/>
  <c r="AR36" i="50"/>
  <c r="BI39" i="50"/>
  <c r="AQ33" i="50"/>
  <c r="BH37" i="50"/>
  <c r="AR60" i="50"/>
  <c r="AR94" i="50"/>
  <c r="AQ88" i="50"/>
  <c r="AQ97" i="50"/>
  <c r="AQ59" i="50"/>
  <c r="BI34" i="50"/>
  <c r="AR23" i="50"/>
  <c r="AR25" i="50"/>
  <c r="AQ102" i="50"/>
  <c r="AR34" i="50"/>
  <c r="AQ96" i="50"/>
  <c r="AQ35" i="50"/>
  <c r="AQ40" i="50"/>
  <c r="AQ73" i="50"/>
  <c r="BI27" i="50"/>
  <c r="AR64" i="50"/>
  <c r="AQ28" i="50"/>
  <c r="AR66" i="50"/>
  <c r="AR106" i="50"/>
  <c r="BH28" i="50"/>
  <c r="AR33" i="50"/>
  <c r="AQ86" i="50"/>
  <c r="AQ38" i="50"/>
  <c r="AR83" i="50"/>
  <c r="AR32" i="50"/>
  <c r="AQ41" i="50"/>
  <c r="AR39" i="50"/>
  <c r="AR70" i="50"/>
  <c r="AR67" i="50"/>
  <c r="AR56" i="50"/>
  <c r="AR82" i="50"/>
  <c r="BH26" i="50"/>
  <c r="BI26" i="50"/>
  <c r="AQ46" i="50"/>
  <c r="AR73" i="50"/>
  <c r="AQ49" i="50"/>
  <c r="BI33" i="50"/>
  <c r="AR62" i="50"/>
  <c r="AR47" i="50"/>
  <c r="AR80" i="50"/>
  <c r="BI28" i="50"/>
  <c r="AR85" i="50"/>
  <c r="AQ103" i="50"/>
  <c r="AQ76" i="50"/>
  <c r="BI30" i="50"/>
  <c r="AQ44" i="50"/>
  <c r="BI36" i="50"/>
  <c r="AR57" i="50"/>
  <c r="AQ29" i="50"/>
  <c r="AR99" i="50"/>
  <c r="BI29" i="50"/>
  <c r="AR45" i="50"/>
  <c r="AR27" i="50"/>
  <c r="AR69" i="50"/>
  <c r="BI32" i="50"/>
  <c r="AR52" i="50"/>
  <c r="AQ69" i="50"/>
  <c r="AQ58" i="50"/>
  <c r="AR105" i="50"/>
  <c r="BI24" i="50"/>
  <c r="AR101" i="50"/>
  <c r="AQ30" i="50"/>
  <c r="AQ82" i="50"/>
  <c r="AR91" i="50"/>
  <c r="AQ77" i="50"/>
  <c r="AQ106" i="50"/>
  <c r="AR86" i="50"/>
  <c r="AR68" i="50"/>
  <c r="AQ67" i="50"/>
  <c r="AR54" i="50"/>
  <c r="AQ93" i="50"/>
  <c r="BH29" i="50"/>
  <c r="AR61" i="50"/>
  <c r="AQ52" i="50"/>
  <c r="AR24" i="50"/>
  <c r="AR50" i="50"/>
  <c r="AR103" i="50"/>
  <c r="AR43" i="50"/>
  <c r="AQ50" i="50"/>
  <c r="AR35" i="50"/>
  <c r="BI37" i="50"/>
  <c r="AR51" i="50"/>
  <c r="AR74" i="50"/>
  <c r="AR71" i="50"/>
  <c r="AR96" i="50"/>
  <c r="AQ95" i="50"/>
  <c r="AQ37" i="50"/>
  <c r="AQ60" i="50"/>
  <c r="AR100" i="50"/>
  <c r="AQ92" i="50"/>
  <c r="AR38" i="50"/>
  <c r="AR58" i="50"/>
  <c r="BH27" i="50"/>
  <c r="BH35" i="50"/>
  <c r="AR30" i="50"/>
  <c r="AQ87" i="50"/>
  <c r="AQ65" i="50"/>
  <c r="AR95" i="50"/>
  <c r="AR89" i="50"/>
  <c r="AQ56" i="50"/>
  <c r="AR37" i="50"/>
  <c r="BI25" i="50"/>
  <c r="AR49" i="50"/>
  <c r="AQ101" i="50"/>
  <c r="AR28" i="50"/>
  <c r="AQ45" i="50"/>
  <c r="AQ55" i="50"/>
  <c r="AQ62" i="50"/>
  <c r="AQ31" i="50"/>
  <c r="AR41" i="50"/>
  <c r="AQ32" i="50"/>
  <c r="AQ99" i="50"/>
  <c r="AR88" i="50"/>
  <c r="AQ72" i="50"/>
  <c r="AQ85" i="50"/>
  <c r="BH31" i="50"/>
  <c r="AQ64" i="50"/>
  <c r="BI38" i="50"/>
  <c r="AQ104" i="50"/>
  <c r="AQ57" i="50"/>
  <c r="AR102" i="50"/>
  <c r="AR84" i="50"/>
  <c r="AQ80" i="50"/>
  <c r="AR40" i="50"/>
  <c r="AR65" i="50"/>
  <c r="AQ54" i="50"/>
  <c r="AR59" i="50"/>
  <c r="BI35" i="50"/>
  <c r="AR53" i="50"/>
  <c r="AQ71" i="50"/>
  <c r="AR55" i="50"/>
  <c r="AR63" i="50"/>
  <c r="BH25" i="50"/>
  <c r="AR81" i="50"/>
  <c r="AQ89" i="50"/>
  <c r="AR31" i="50"/>
  <c r="AR26" i="50"/>
  <c r="AQ70" i="50"/>
  <c r="BH32" i="50"/>
  <c r="AQ94" i="50"/>
  <c r="AQ105" i="50"/>
  <c r="AZ23" i="50"/>
  <c r="AQ100" i="50"/>
  <c r="AQ81" i="50"/>
  <c r="AQ78" i="50"/>
  <c r="AR42" i="50"/>
  <c r="AQ51" i="50"/>
  <c r="AQ39" i="50"/>
  <c r="BH34" i="50"/>
  <c r="BH36" i="50"/>
  <c r="AR97" i="50"/>
  <c r="AR48" i="50"/>
  <c r="BH39" i="50"/>
  <c r="AQ48" i="50"/>
  <c r="AR104" i="50"/>
  <c r="AQ98" i="50"/>
  <c r="AQ66" i="50"/>
  <c r="AR46" i="50"/>
  <c r="AQ61" i="50"/>
  <c r="AR72" i="50"/>
  <c r="AQ75" i="50"/>
  <c r="AQ63" i="50"/>
  <c r="BI23" i="50"/>
  <c r="AR77" i="50"/>
  <c r="AR90" i="50"/>
  <c r="AR93" i="50"/>
  <c r="AQ79" i="50"/>
  <c r="AR98" i="50"/>
  <c r="BH33" i="50"/>
  <c r="AQ34" i="50"/>
  <c r="AQ84" i="50"/>
  <c r="AR87" i="50"/>
  <c r="AZ22" i="50"/>
  <c r="C28" i="50" a="1"/>
  <c r="BS294" i="13"/>
  <c r="BS293" i="13"/>
  <c r="BS292" i="13"/>
  <c r="W225" i="13"/>
  <c r="W226" i="13"/>
  <c r="W227" i="13"/>
  <c r="W224" i="13"/>
  <c r="AI205" i="13"/>
  <c r="AI225" i="13" s="1"/>
  <c r="AK205" i="13"/>
  <c r="AK225" i="13" s="1"/>
  <c r="AL205" i="13"/>
  <c r="AL225" i="13" s="1"/>
  <c r="AQ205" i="13"/>
  <c r="AQ225" i="13" s="1"/>
  <c r="AR205" i="13"/>
  <c r="AR225" i="13" s="1"/>
  <c r="AU205" i="13"/>
  <c r="AU225" i="13" s="1"/>
  <c r="AI206" i="13"/>
  <c r="AI226" i="13" s="1"/>
  <c r="AK206" i="13"/>
  <c r="AK226" i="13" s="1"/>
  <c r="AL206" i="13"/>
  <c r="AL226" i="13" s="1"/>
  <c r="AQ206" i="13"/>
  <c r="AQ226" i="13" s="1"/>
  <c r="AR206" i="13"/>
  <c r="AR226" i="13" s="1"/>
  <c r="AU206" i="13"/>
  <c r="AU226" i="13" s="1"/>
  <c r="AI207" i="13"/>
  <c r="AI227" i="13" s="1"/>
  <c r="AK207" i="13"/>
  <c r="AK227" i="13" s="1"/>
  <c r="AL207" i="13"/>
  <c r="AL227" i="13" s="1"/>
  <c r="AQ207" i="13"/>
  <c r="AQ214" i="13" s="1"/>
  <c r="AQ231" i="13" s="1"/>
  <c r="AR207" i="13"/>
  <c r="AR227" i="13" s="1"/>
  <c r="AU207" i="13"/>
  <c r="AU227" i="13" s="1"/>
  <c r="AI208" i="13"/>
  <c r="AI215" i="13" s="1"/>
  <c r="AK208" i="13"/>
  <c r="AK215" i="13" s="1"/>
  <c r="AL208" i="13"/>
  <c r="AL215" i="13" s="1"/>
  <c r="AQ208" i="13"/>
  <c r="AQ215" i="13" s="1"/>
  <c r="AR208" i="13"/>
  <c r="AR215" i="13" s="1"/>
  <c r="AU208" i="13"/>
  <c r="AU215" i="13" s="1"/>
  <c r="AI209" i="13"/>
  <c r="AI216" i="13" s="1"/>
  <c r="AK209" i="13"/>
  <c r="AK216" i="13" s="1"/>
  <c r="AL209" i="13"/>
  <c r="AL216" i="13" s="1"/>
  <c r="AQ209" i="13"/>
  <c r="AQ216" i="13" s="1"/>
  <c r="AR209" i="13"/>
  <c r="AR216" i="13" s="1"/>
  <c r="AU209" i="13"/>
  <c r="AU216" i="13" s="1"/>
  <c r="AI210" i="13"/>
  <c r="AI217" i="13" s="1"/>
  <c r="AK210" i="13"/>
  <c r="AK217" i="13" s="1"/>
  <c r="AL210" i="13"/>
  <c r="AL217" i="13" s="1"/>
  <c r="AQ210" i="13"/>
  <c r="AQ217" i="13" s="1"/>
  <c r="AR210" i="13"/>
  <c r="AR217" i="13" s="1"/>
  <c r="AU210" i="13"/>
  <c r="AU217" i="13" s="1"/>
  <c r="AI204" i="13"/>
  <c r="AI211" i="13" s="1"/>
  <c r="AI228" i="13" s="1"/>
  <c r="AK204" i="13"/>
  <c r="AK211" i="13" s="1"/>
  <c r="AK228" i="13" s="1"/>
  <c r="AL204" i="13"/>
  <c r="AL224" i="13" s="1"/>
  <c r="AQ204" i="13"/>
  <c r="AQ224" i="13" s="1"/>
  <c r="AR204" i="13"/>
  <c r="AR211" i="13" s="1"/>
  <c r="AR228" i="13" s="1"/>
  <c r="AU204" i="13"/>
  <c r="AU211" i="13" s="1"/>
  <c r="AU228" i="13" s="1"/>
  <c r="BT223" i="13"/>
  <c r="BS223" i="13"/>
  <c r="BT222" i="13"/>
  <c r="BS222" i="13"/>
  <c r="BT221" i="13"/>
  <c r="BS221" i="13"/>
  <c r="BT220" i="13"/>
  <c r="BS220" i="13"/>
  <c r="BT219" i="13"/>
  <c r="BS219" i="13"/>
  <c r="BT218" i="13"/>
  <c r="BS218" i="13"/>
  <c r="BT217" i="13"/>
  <c r="BS217" i="13"/>
  <c r="BT216" i="13"/>
  <c r="BS216" i="13"/>
  <c r="BT215" i="13"/>
  <c r="BS215" i="13"/>
  <c r="BT214" i="13"/>
  <c r="BS214" i="13"/>
  <c r="BT213" i="13"/>
  <c r="BS213" i="13"/>
  <c r="BT212" i="13"/>
  <c r="BS212" i="13"/>
  <c r="BT211" i="13"/>
  <c r="BS211" i="13"/>
  <c r="BT210" i="13"/>
  <c r="BS210" i="13"/>
  <c r="BT209" i="13"/>
  <c r="BS209" i="13"/>
  <c r="BT208" i="13"/>
  <c r="BS208" i="13"/>
  <c r="BT207" i="13"/>
  <c r="BS207" i="13"/>
  <c r="BT206" i="13"/>
  <c r="BS206" i="13"/>
  <c r="BT205" i="13"/>
  <c r="BS205" i="13"/>
  <c r="BT204" i="13"/>
  <c r="BS204" i="13"/>
  <c r="BT203" i="13"/>
  <c r="BS203" i="13"/>
  <c r="BT202" i="13"/>
  <c r="BS202" i="13"/>
  <c r="BT201" i="13"/>
  <c r="BS201" i="13"/>
  <c r="BT200" i="13"/>
  <c r="BS200" i="13"/>
  <c r="BT199" i="13"/>
  <c r="BS199" i="13"/>
  <c r="BT198" i="13"/>
  <c r="BS198" i="13"/>
  <c r="BT197" i="13"/>
  <c r="BS197" i="13"/>
  <c r="Q211" i="13"/>
  <c r="P219" i="13"/>
  <c r="Q219" i="13" s="1"/>
  <c r="P220" i="13"/>
  <c r="Q220" i="13" s="1"/>
  <c r="P221" i="13"/>
  <c r="Q221" i="13" s="1"/>
  <c r="P222" i="13"/>
  <c r="Q222" i="13" s="1"/>
  <c r="P223" i="13"/>
  <c r="Q223" i="13" s="1"/>
  <c r="P218" i="13"/>
  <c r="Q218" i="13" s="1"/>
  <c r="W205" i="13"/>
  <c r="W206" i="13"/>
  <c r="W207" i="13"/>
  <c r="W208" i="13"/>
  <c r="W209" i="13"/>
  <c r="W210" i="13"/>
  <c r="W204" i="13"/>
  <c r="B22" i="50"/>
  <c r="C22" i="50" s="1"/>
  <c r="B23" i="50"/>
  <c r="C23" i="50" s="1"/>
  <c r="B24" i="50"/>
  <c r="C24" i="50" s="1"/>
  <c r="B21" i="50"/>
  <c r="C12" i="50"/>
  <c r="C13" i="50"/>
  <c r="C14" i="50"/>
  <c r="C15" i="50"/>
  <c r="J18" i="50" a="1"/>
  <c r="J18" i="50" s="1"/>
  <c r="BH22" i="50" a="1"/>
  <c r="AH34" i="50" l="1"/>
  <c r="Z36" i="50"/>
  <c r="Y35" i="50"/>
  <c r="AC36" i="50"/>
  <c r="AD36" i="50"/>
  <c r="AC35" i="50"/>
  <c r="AG36" i="50"/>
  <c r="AD34" i="50"/>
  <c r="Y36" i="50"/>
  <c r="Z35" i="50"/>
  <c r="Y34" i="50"/>
  <c r="AG35" i="50"/>
  <c r="AG34" i="50"/>
  <c r="Z34" i="50"/>
  <c r="AD35" i="50"/>
  <c r="AH36" i="50"/>
  <c r="AH35" i="50"/>
  <c r="AC34" i="50"/>
  <c r="AG33" i="50"/>
  <c r="AH33" i="50"/>
  <c r="AD33" i="50"/>
  <c r="Y33" i="50"/>
  <c r="Z33" i="50"/>
  <c r="AC33" i="50"/>
  <c r="BH22" i="50"/>
  <c r="C28" i="50"/>
  <c r="Z29" i="50"/>
  <c r="AD30" i="50"/>
  <c r="AH31" i="50"/>
  <c r="AC29" i="50"/>
  <c r="AG30" i="50"/>
  <c r="Y32" i="50"/>
  <c r="Y29" i="50"/>
  <c r="AC30" i="50"/>
  <c r="AG31" i="50"/>
  <c r="AD29" i="50"/>
  <c r="AH30" i="50"/>
  <c r="Z32" i="50"/>
  <c r="AG29" i="50"/>
  <c r="Y31" i="50"/>
  <c r="AC32" i="50"/>
  <c r="AH29" i="50"/>
  <c r="Z31" i="50"/>
  <c r="AD32" i="50"/>
  <c r="Y30" i="50"/>
  <c r="AC31" i="50"/>
  <c r="AG32" i="50"/>
  <c r="Z30" i="50"/>
  <c r="AD31" i="50"/>
  <c r="AH32" i="50"/>
  <c r="AK213" i="13"/>
  <c r="AK230" i="13" s="1"/>
  <c r="AI224" i="13"/>
  <c r="AR224" i="13"/>
  <c r="AQ227" i="13"/>
  <c r="AQ211" i="13"/>
  <c r="AQ228" i="13" s="1"/>
  <c r="AL211" i="13"/>
  <c r="AL228" i="13" s="1"/>
  <c r="AL214" i="13"/>
  <c r="AL231" i="13" s="1"/>
  <c r="AI213" i="13"/>
  <c r="AI230" i="13" s="1"/>
  <c r="AU224" i="13"/>
  <c r="AK214" i="13"/>
  <c r="AK231" i="13" s="1"/>
  <c r="AI214" i="13"/>
  <c r="AI231" i="13" s="1"/>
  <c r="AR212" i="13"/>
  <c r="AR229" i="13" s="1"/>
  <c r="AU212" i="13"/>
  <c r="AU229" i="13" s="1"/>
  <c r="AU213" i="13"/>
  <c r="AU230" i="13" s="1"/>
  <c r="AQ212" i="13"/>
  <c r="AQ229" i="13" s="1"/>
  <c r="AR213" i="13"/>
  <c r="AR230" i="13" s="1"/>
  <c r="AL212" i="13"/>
  <c r="AL229" i="13" s="1"/>
  <c r="AK224" i="13"/>
  <c r="AU214" i="13"/>
  <c r="AU231" i="13" s="1"/>
  <c r="AQ213" i="13"/>
  <c r="AQ230" i="13" s="1"/>
  <c r="AK212" i="13"/>
  <c r="AK229" i="13" s="1"/>
  <c r="AR214" i="13"/>
  <c r="AR231" i="13" s="1"/>
  <c r="AL213" i="13"/>
  <c r="AL230" i="13" s="1"/>
  <c r="AI212" i="13"/>
  <c r="AI229" i="13" s="1"/>
  <c r="M18" i="50"/>
  <c r="L18" i="50"/>
  <c r="K18" i="50"/>
  <c r="F32" i="50" l="1"/>
  <c r="F29" i="50"/>
  <c r="F30" i="50"/>
  <c r="D31" i="50"/>
  <c r="D29" i="50"/>
  <c r="E31" i="50"/>
  <c r="E29" i="50"/>
  <c r="D30" i="50"/>
  <c r="E32" i="50"/>
  <c r="D32" i="50"/>
  <c r="F31" i="50"/>
  <c r="E30" i="50"/>
  <c r="AH28" i="50"/>
  <c r="AG28" i="50"/>
  <c r="AD28" i="50"/>
  <c r="AC28" i="50"/>
  <c r="Z28" i="50"/>
  <c r="Y28" i="50"/>
  <c r="D28" i="50" l="1"/>
  <c r="F28" i="50"/>
  <c r="E28" i="50"/>
  <c r="A651" i="49"/>
  <c r="L6" i="50" l="1"/>
  <c r="T6" i="50"/>
  <c r="S6" i="50"/>
  <c r="P6" i="50"/>
  <c r="O6" i="50"/>
  <c r="A652" i="49"/>
  <c r="Q1053" i="13"/>
  <c r="D6" i="50" l="1"/>
  <c r="A653" i="49"/>
  <c r="E6" i="50"/>
  <c r="F6" i="50"/>
  <c r="A654" i="49" l="1"/>
  <c r="L1030" i="13"/>
  <c r="L1031" i="13"/>
  <c r="L1029" i="13"/>
  <c r="A655" i="49" l="1"/>
  <c r="A2" i="13"/>
  <c r="V939" i="13"/>
  <c r="V946" i="13" s="1"/>
  <c r="V947" i="13" s="1"/>
  <c r="V938" i="13"/>
  <c r="V945" i="13" s="1"/>
  <c r="V937" i="13"/>
  <c r="V944" i="13" s="1"/>
  <c r="V936" i="13"/>
  <c r="V943" i="13" s="1"/>
  <c r="V935" i="13"/>
  <c r="V942" i="13" s="1"/>
  <c r="V934" i="13"/>
  <c r="V941" i="13" s="1"/>
  <c r="V933" i="13"/>
  <c r="V940" i="13" s="1"/>
  <c r="V932" i="13"/>
  <c r="V931" i="13"/>
  <c r="V930" i="13"/>
  <c r="V929" i="13"/>
  <c r="V928" i="13"/>
  <c r="V927" i="13"/>
  <c r="V926" i="13"/>
  <c r="V925" i="13"/>
  <c r="V924" i="13"/>
  <c r="V923" i="13"/>
  <c r="V922" i="13"/>
  <c r="V921" i="13"/>
  <c r="A656" i="49" l="1"/>
  <c r="Q212" i="13"/>
  <c r="Q213" i="13"/>
  <c r="Q214" i="13"/>
  <c r="Q215" i="13"/>
  <c r="Q216" i="13"/>
  <c r="Q217" i="13"/>
  <c r="Q229" i="13"/>
  <c r="Q230" i="13"/>
  <c r="Q231" i="13"/>
  <c r="Q228" i="13"/>
  <c r="Z219" i="13"/>
  <c r="Z220" i="13"/>
  <c r="Z221" i="13"/>
  <c r="Z222" i="13"/>
  <c r="Z223" i="13"/>
  <c r="Z218" i="13"/>
  <c r="A657" i="49" l="1"/>
  <c r="W1" i="13"/>
  <c r="A658" i="49" l="1"/>
  <c r="V225" i="13"/>
  <c r="V226" i="13"/>
  <c r="V227" i="13"/>
  <c r="V224" i="13"/>
  <c r="V208" i="13"/>
  <c r="V210" i="13"/>
  <c r="V206" i="13"/>
  <c r="V209" i="13"/>
  <c r="V204" i="13"/>
  <c r="V205" i="13"/>
  <c r="V207" i="13"/>
  <c r="AP941" i="13"/>
  <c r="AP942" i="13"/>
  <c r="AP943" i="13"/>
  <c r="AP944" i="13"/>
  <c r="AP945" i="13"/>
  <c r="AP946" i="13"/>
  <c r="AP947" i="13" s="1"/>
  <c r="AP940" i="13"/>
  <c r="AD916" i="13"/>
  <c r="AD912" i="13"/>
  <c r="AD913" i="13"/>
  <c r="AD914" i="13"/>
  <c r="AD915" i="13"/>
  <c r="AD917" i="13"/>
  <c r="AD911" i="13"/>
  <c r="A659" i="49" l="1"/>
  <c r="A660" i="49" l="1"/>
  <c r="BL955" i="13"/>
  <c r="BL956" i="13"/>
  <c r="G1134" i="59" s="1"/>
  <c r="K13" i="59" s="1"/>
  <c r="AJ4" i="59" s="1"/>
  <c r="BL957" i="13"/>
  <c r="G1135" i="59" s="1"/>
  <c r="BL958" i="13"/>
  <c r="G1136" i="59" s="1"/>
  <c r="BL959" i="13"/>
  <c r="G1137" i="59" s="1"/>
  <c r="BL954" i="13"/>
  <c r="U27" i="59" l="1"/>
  <c r="M27" i="59"/>
  <c r="K27" i="59"/>
  <c r="S27" i="59"/>
  <c r="U13" i="59"/>
  <c r="M13" i="59"/>
  <c r="G1130" i="59"/>
  <c r="G1132" i="59"/>
  <c r="S21" i="59"/>
  <c r="AK17" i="59" s="1"/>
  <c r="AI17" i="59" s="1"/>
  <c r="M32" i="59"/>
  <c r="U32" i="59"/>
  <c r="S32" i="59"/>
  <c r="U23" i="59"/>
  <c r="M23" i="59"/>
  <c r="S23" i="59"/>
  <c r="S13" i="59"/>
  <c r="AK4" i="59" s="1"/>
  <c r="AI4" i="59" s="1"/>
  <c r="A661" i="49"/>
  <c r="S20" i="59" l="1"/>
  <c r="K20" i="59"/>
  <c r="K9" i="59"/>
  <c r="S9" i="59"/>
  <c r="A662" i="49"/>
  <c r="A663" i="49" l="1"/>
  <c r="A664" i="49" l="1"/>
  <c r="A665" i="49" l="1"/>
  <c r="A666" i="49" l="1"/>
  <c r="A667" i="49" l="1"/>
  <c r="A668" i="49" l="1"/>
  <c r="A669" i="49" l="1"/>
  <c r="AQ81" i="13"/>
  <c r="AQ80" i="13"/>
  <c r="AQ79" i="13"/>
  <c r="AQ78" i="13"/>
  <c r="AQ77" i="13"/>
  <c r="AQ76" i="13"/>
  <c r="AQ89" i="13"/>
  <c r="AQ88" i="13"/>
  <c r="A670" i="49" l="1"/>
  <c r="M2" i="10"/>
  <c r="P2" i="10"/>
  <c r="AQ128" i="13"/>
  <c r="AQ127" i="13"/>
  <c r="AQ126" i="13"/>
  <c r="AQ125" i="13"/>
  <c r="AQ124" i="13"/>
  <c r="AQ123" i="13"/>
  <c r="AQ122" i="13"/>
  <c r="AQ121" i="13"/>
  <c r="AQ120" i="13"/>
  <c r="AQ119" i="13"/>
  <c r="AQ118" i="13"/>
  <c r="AQ117" i="13"/>
  <c r="AQ116" i="13"/>
  <c r="AQ115" i="13"/>
  <c r="AQ114" i="13"/>
  <c r="AQ113" i="13"/>
  <c r="AQ112" i="13"/>
  <c r="AQ111" i="13"/>
  <c r="AQ110" i="13"/>
  <c r="AQ109" i="13"/>
  <c r="AQ108" i="13"/>
  <c r="AQ107" i="13"/>
  <c r="AQ106" i="13"/>
  <c r="AQ105" i="13"/>
  <c r="AQ104" i="13"/>
  <c r="AQ103" i="13"/>
  <c r="AQ102" i="13"/>
  <c r="AQ101" i="13"/>
  <c r="AQ100" i="13"/>
  <c r="AQ99" i="13"/>
  <c r="AQ98" i="13"/>
  <c r="AQ97" i="13"/>
  <c r="AQ96" i="13"/>
  <c r="AQ95" i="13"/>
  <c r="AQ94" i="13"/>
  <c r="AQ93" i="13"/>
  <c r="AQ87" i="13"/>
  <c r="AQ86" i="13"/>
  <c r="AQ85" i="13"/>
  <c r="AQ84" i="13"/>
  <c r="AQ83" i="13"/>
  <c r="AQ82" i="13"/>
  <c r="AQ75" i="13"/>
  <c r="AQ74" i="13"/>
  <c r="AQ73" i="13"/>
  <c r="AQ72" i="13"/>
  <c r="AQ71" i="13"/>
  <c r="AQ70" i="13"/>
  <c r="A671" i="49" l="1"/>
  <c r="A672" i="49" l="1"/>
  <c r="A673" i="49" l="1"/>
  <c r="A674" i="49" l="1"/>
  <c r="A675" i="49" l="1"/>
  <c r="A676" i="49" l="1"/>
  <c r="A677" i="49" l="1"/>
  <c r="A678" i="49" l="1"/>
  <c r="A679" i="49" l="1"/>
  <c r="A680" i="49" l="1"/>
  <c r="A681" i="49" l="1"/>
  <c r="BE181" i="50" a="1"/>
  <c r="T15" i="50"/>
  <c r="BD180" i="50" a="1"/>
  <c r="BD70" i="50" a="1"/>
  <c r="BD228" i="50" a="1"/>
  <c r="BE39" i="50" a="1"/>
  <c r="BD57" i="50" a="1"/>
  <c r="BE180" i="50" a="1"/>
  <c r="BE137" i="50" a="1"/>
  <c r="BD124" i="50" a="1"/>
  <c r="BD61" i="50" a="1"/>
  <c r="BE312" i="50" a="1"/>
  <c r="BE57" i="50" a="1"/>
  <c r="K15" i="50"/>
  <c r="BE69" i="50" a="1"/>
  <c r="BE261" i="50" a="1"/>
  <c r="BE297" i="50" a="1"/>
  <c r="BE131" i="50" a="1"/>
  <c r="BE287" i="50" a="1"/>
  <c r="BE56" i="50" a="1"/>
  <c r="BE25" i="50" a="1"/>
  <c r="BE96" i="50" a="1"/>
  <c r="BE186" i="50" a="1"/>
  <c r="BD100" i="50" a="1"/>
  <c r="BE211" i="50" a="1"/>
  <c r="BE318" i="50" a="1"/>
  <c r="BE84" i="50" a="1"/>
  <c r="BD203" i="50" a="1"/>
  <c r="BE236" i="50" a="1"/>
  <c r="BD242" i="50" a="1"/>
  <c r="BD152" i="50" a="1"/>
  <c r="BD260" i="50" a="1"/>
  <c r="BD74" i="50" a="1"/>
  <c r="BD306" i="50" a="1"/>
  <c r="BE150" i="50" a="1"/>
  <c r="BE144" i="50" a="1"/>
  <c r="BE77" i="50" a="1"/>
  <c r="BE121" i="50" a="1"/>
  <c r="BE113" i="50" a="1"/>
  <c r="BE267" i="50" a="1"/>
  <c r="BD101" i="50" a="1"/>
  <c r="BD126" i="50" a="1"/>
  <c r="BE239" i="50" a="1"/>
  <c r="BD37" i="50" a="1"/>
  <c r="BE208" i="50" a="1"/>
  <c r="BD36" i="50" a="1"/>
  <c r="BE320" i="50" a="1"/>
  <c r="BE65" i="50" a="1"/>
  <c r="BE119" i="50" a="1"/>
  <c r="BE264" i="50" a="1"/>
  <c r="BE22" i="50" a="1"/>
  <c r="BE179" i="50" a="1"/>
  <c r="BD81" i="50" a="1"/>
  <c r="BE214" i="50" a="1"/>
  <c r="BD62" i="50" a="1"/>
  <c r="BD108" i="50" a="1"/>
  <c r="BE270" i="50" a="1"/>
  <c r="BD231" i="50" a="1"/>
  <c r="BD59" i="50" a="1"/>
  <c r="BE319" i="50" a="1"/>
  <c r="BE140" i="50" a="1"/>
  <c r="BE247" i="50" a="1"/>
  <c r="BE142" i="50" a="1"/>
  <c r="BD248" i="50" a="1"/>
  <c r="BD118" i="50" a="1"/>
  <c r="BD154" i="50" a="1"/>
  <c r="BE68" i="50" a="1"/>
  <c r="BH23" i="50" a="1"/>
  <c r="BD268" i="50" a="1"/>
  <c r="BD298" i="50" a="1"/>
  <c r="BE234" i="50" a="1"/>
  <c r="BD69" i="50" a="1"/>
  <c r="S12" i="50"/>
  <c r="BD178" i="50" a="1"/>
  <c r="BE88" i="50" a="1"/>
  <c r="BD308" i="50" a="1"/>
  <c r="BD24" i="50" a="1"/>
  <c r="BD202" i="50" a="1"/>
  <c r="BE66" i="50" a="1"/>
  <c r="K13" i="50"/>
  <c r="L13" i="50"/>
  <c r="BD291" i="50" a="1"/>
  <c r="BD111" i="50" a="1"/>
  <c r="BD47" i="50" a="1"/>
  <c r="BE23" i="50" a="1"/>
  <c r="BD284" i="50" a="1"/>
  <c r="BD50" i="50" a="1"/>
  <c r="BD170" i="50" a="1"/>
  <c r="BE95" i="50" a="1"/>
  <c r="BE164" i="50" a="1"/>
  <c r="BD34" i="50" a="1"/>
  <c r="BE298" i="50" a="1"/>
  <c r="BD275" i="50" a="1"/>
  <c r="BE75" i="50" a="1"/>
  <c r="BE302" i="50" a="1"/>
  <c r="BE170" i="50" a="1"/>
  <c r="BE191" i="50" a="1"/>
  <c r="BD104" i="50" a="1"/>
  <c r="O13" i="50"/>
  <c r="BE262" i="50" a="1"/>
  <c r="BD144" i="50" a="1"/>
  <c r="BD223" i="50" a="1"/>
  <c r="BE37" i="50" a="1"/>
  <c r="BD45" i="50" a="1"/>
  <c r="BD175" i="50" a="1"/>
  <c r="BD311" i="50" a="1"/>
  <c r="BD230" i="50" a="1"/>
  <c r="BD174" i="50" a="1"/>
  <c r="BE216" i="50" a="1"/>
  <c r="BE168" i="50" a="1"/>
  <c r="BE125" i="50" a="1"/>
  <c r="BD75" i="50" a="1"/>
  <c r="BE36" i="50" a="1"/>
  <c r="BD92" i="50" a="1"/>
  <c r="BD179" i="50" a="1"/>
  <c r="BD83" i="50" a="1"/>
  <c r="BD192" i="50" a="1"/>
  <c r="BD91" i="50" a="1"/>
  <c r="BE240" i="50" a="1"/>
  <c r="BD265" i="50" a="1"/>
  <c r="BE185" i="50" a="1"/>
  <c r="BE98" i="50" a="1"/>
  <c r="BE304" i="50" a="1"/>
  <c r="BD169" i="50" a="1"/>
  <c r="BD278" i="50" a="1"/>
  <c r="BD197" i="50" a="1"/>
  <c r="BD305" i="50" a="1"/>
  <c r="BD252" i="50" a="1"/>
  <c r="BE86" i="50" a="1"/>
  <c r="BD95" i="50" a="1"/>
  <c r="BE134" i="50" a="1"/>
  <c r="BE228" i="50" a="1"/>
  <c r="BE223" i="50" a="1"/>
  <c r="BE182" i="50" a="1"/>
  <c r="BE45" i="50" a="1"/>
  <c r="BD261" i="50" a="1"/>
  <c r="AY22" i="50" a="1"/>
  <c r="BE28" i="50" a="1"/>
  <c r="BD240" i="50" a="1"/>
  <c r="BD97" i="50" a="1"/>
  <c r="BE309" i="50" a="1"/>
  <c r="BD87" i="50" a="1"/>
  <c r="BE173" i="50" a="1"/>
  <c r="P13" i="50"/>
  <c r="BE41" i="50" a="1"/>
  <c r="BD288" i="50" a="1"/>
  <c r="BD25" i="50" a="1"/>
  <c r="BE209" i="50" a="1"/>
  <c r="BE35" i="50" a="1"/>
  <c r="BD32" i="50" a="1"/>
  <c r="BD171" i="50" a="1"/>
  <c r="BE283" i="50" a="1"/>
  <c r="BD149" i="50" a="1"/>
  <c r="BD182" i="50" a="1"/>
  <c r="BD285" i="50" a="1"/>
  <c r="BD39" i="50" a="1"/>
  <c r="BD58" i="50" a="1"/>
  <c r="BE50" i="50" a="1"/>
  <c r="BE213" i="50" a="1"/>
  <c r="BE238" i="50" a="1"/>
  <c r="BE104" i="50" a="1"/>
  <c r="AQ24" i="50" a="1"/>
  <c r="BE89" i="50" a="1"/>
  <c r="BD116" i="50" a="1"/>
  <c r="BE163" i="50" a="1"/>
  <c r="BD215" i="50" a="1"/>
  <c r="BE250" i="50" a="1"/>
  <c r="BE166" i="50" a="1"/>
  <c r="BD279" i="50" a="1"/>
  <c r="BE289" i="50" a="1"/>
  <c r="BE196" i="50" a="1"/>
  <c r="BE203" i="50" a="1"/>
  <c r="BD280" i="50" a="1"/>
  <c r="T14" i="50"/>
  <c r="BE235" i="50" a="1"/>
  <c r="BE147" i="50" a="1"/>
  <c r="AQ23" i="50" a="1"/>
  <c r="BD271" i="50" a="1"/>
  <c r="BD286" i="50" a="1"/>
  <c r="BD204" i="50" a="1"/>
  <c r="BD213" i="50" a="1"/>
  <c r="BD293" i="50" a="1"/>
  <c r="BD164" i="50" a="1"/>
  <c r="BE257" i="50" a="1"/>
  <c r="BD77" i="50" a="1"/>
  <c r="L15" i="50"/>
  <c r="BD187" i="50" a="1"/>
  <c r="BE222" i="50" a="1"/>
  <c r="BD110" i="50" a="1"/>
  <c r="BE42" i="50" a="1"/>
  <c r="T12" i="50"/>
  <c r="BD239" i="50" a="1"/>
  <c r="P14" i="50"/>
  <c r="BE70" i="50" a="1"/>
  <c r="BD44" i="50" a="1"/>
  <c r="BE124" i="50" a="1"/>
  <c r="BE194" i="50" a="1"/>
  <c r="BE111" i="50" a="1"/>
  <c r="BD82" i="50" a="1"/>
  <c r="BE169" i="50" a="1"/>
  <c r="BD226" i="50" a="1"/>
  <c r="BD132" i="50" a="1"/>
  <c r="BD307" i="50" a="1"/>
  <c r="BE72" i="50" a="1"/>
  <c r="BD107" i="50" a="1"/>
  <c r="BE316" i="50" a="1"/>
  <c r="BE132" i="50" a="1"/>
  <c r="P12" i="50"/>
  <c r="BE103" i="50" a="1"/>
  <c r="BE38" i="50" a="1"/>
  <c r="BE284" i="50" a="1"/>
  <c r="BE101" i="50" a="1"/>
  <c r="BD299" i="50" a="1"/>
  <c r="BD191" i="50" a="1"/>
  <c r="BE26" i="50" a="1"/>
  <c r="BE118" i="50" a="1"/>
  <c r="BD267" i="50" a="1"/>
  <c r="BD281" i="50" a="1"/>
  <c r="AQ27" i="50" a="1"/>
  <c r="BD232" i="50" a="1"/>
  <c r="BD122" i="50" a="1"/>
  <c r="BE265" i="50" a="1"/>
  <c r="BD200" i="50" a="1"/>
  <c r="BE274" i="50" a="1"/>
  <c r="BE220" i="50" a="1"/>
  <c r="BE24" i="50" a="1"/>
  <c r="BD119" i="50" a="1"/>
  <c r="BD30" i="50" a="1"/>
  <c r="BE31" i="50" a="1"/>
  <c r="BD266" i="50" a="1"/>
  <c r="BD165" i="50" a="1"/>
  <c r="O14" i="50"/>
  <c r="BE193" i="50" a="1"/>
  <c r="BD313" i="50" a="1"/>
  <c r="BE188" i="50" a="1"/>
  <c r="BE197" i="50" a="1"/>
  <c r="BE259" i="50" a="1"/>
  <c r="BE251" i="50" a="1"/>
  <c r="BD133" i="50" a="1"/>
  <c r="BD221" i="50" a="1"/>
  <c r="BD167" i="50" a="1"/>
  <c r="BD185" i="50" a="1"/>
  <c r="BD256" i="50" a="1"/>
  <c r="BD220" i="50" a="1"/>
  <c r="BD114" i="50" a="1"/>
  <c r="BE48" i="50" a="1"/>
  <c r="BD269" i="50" a="1"/>
  <c r="BD318" i="50" a="1"/>
  <c r="BE92" i="50" a="1"/>
  <c r="BD157" i="50" a="1"/>
  <c r="BD236" i="50" a="1"/>
  <c r="BE105" i="50" a="1"/>
  <c r="BE93" i="50" a="1"/>
  <c r="BD188" i="50" a="1"/>
  <c r="BD210" i="50" a="1"/>
  <c r="BD65" i="50" a="1"/>
  <c r="BD206" i="50" a="1"/>
  <c r="BD316" i="50" a="1"/>
  <c r="BE296" i="50" a="1"/>
  <c r="BE135" i="50" a="1"/>
  <c r="BD244" i="50" a="1"/>
  <c r="BD219" i="50" a="1"/>
  <c r="BE83" i="50" a="1"/>
  <c r="BD42" i="50" a="1"/>
  <c r="BD135" i="50" a="1"/>
  <c r="AQ26" i="50" a="1"/>
  <c r="BE195" i="50" a="1"/>
  <c r="BE207" i="50" a="1"/>
  <c r="BE151" i="50" a="1"/>
  <c r="BE30" i="50" a="1"/>
  <c r="BE94" i="50" a="1"/>
  <c r="BD229" i="50" a="1"/>
  <c r="BE227" i="50" a="1"/>
  <c r="BD155" i="50" a="1"/>
  <c r="BE221" i="50" a="1"/>
  <c r="BE108" i="50" a="1"/>
  <c r="BE127" i="50" a="1"/>
  <c r="BD166" i="50" a="1"/>
  <c r="BD208" i="50" a="1"/>
  <c r="BE157" i="50" a="1"/>
  <c r="BD137" i="50" a="1"/>
  <c r="BE159" i="50" a="1"/>
  <c r="BD247" i="50" a="1"/>
  <c r="BE62" i="50" a="1"/>
  <c r="BD296" i="50" a="1"/>
  <c r="BE273" i="50" a="1"/>
  <c r="BE78" i="50" a="1"/>
  <c r="AY23" i="50" a="1"/>
  <c r="BE99" i="50" a="1"/>
  <c r="BD128" i="50" a="1"/>
  <c r="BE71" i="50" a="1"/>
  <c r="BD263" i="50" a="1"/>
  <c r="BE40" i="50" a="1"/>
  <c r="BE282" i="50" a="1"/>
  <c r="BE277" i="50" a="1"/>
  <c r="BD254" i="50" a="1"/>
  <c r="AQ25" i="50" a="1"/>
  <c r="BD156" i="50" a="1"/>
  <c r="BE120" i="50" a="1"/>
  <c r="BD250" i="50" a="1"/>
  <c r="BD93" i="50" a="1"/>
  <c r="BD255" i="50" a="1"/>
  <c r="BD76" i="50" a="1"/>
  <c r="O15" i="50"/>
  <c r="T13" i="50"/>
  <c r="BD98" i="50" a="1"/>
  <c r="BD96" i="50" a="1"/>
  <c r="BE176" i="50" a="1"/>
  <c r="BE286" i="50" a="1"/>
  <c r="BE245" i="50" a="1"/>
  <c r="BE54" i="50" a="1"/>
  <c r="BE295" i="50" a="1"/>
  <c r="BD160" i="50" a="1"/>
  <c r="BE155" i="50" a="1"/>
  <c r="BD173" i="50" a="1"/>
  <c r="BE55" i="50" a="1"/>
  <c r="BD199" i="50" a="1"/>
  <c r="BD251" i="50" a="1"/>
  <c r="BE253" i="50" a="1"/>
  <c r="BD103" i="50" a="1"/>
  <c r="BD78" i="50" a="1"/>
  <c r="BE183" i="50" a="1"/>
  <c r="BD176" i="50" a="1"/>
  <c r="BE149" i="50" a="1"/>
  <c r="BE82" i="50" a="1"/>
  <c r="BD158" i="50" a="1"/>
  <c r="BE60" i="50" a="1"/>
  <c r="BE200" i="50" a="1"/>
  <c r="BD22" i="50" a="1"/>
  <c r="BE226" i="50" a="1"/>
  <c r="BE107" i="50" a="1"/>
  <c r="S15" i="50"/>
  <c r="BE256" i="50" a="1"/>
  <c r="BD273" i="50" a="1"/>
  <c r="BD68" i="50" a="1"/>
  <c r="BD120" i="50" a="1"/>
  <c r="BE73" i="50" a="1"/>
  <c r="BD134" i="50" a="1"/>
  <c r="BD123" i="50" a="1"/>
  <c r="BE167" i="50" a="1"/>
  <c r="BE46" i="50" a="1"/>
  <c r="BE59" i="50" a="1"/>
  <c r="BE49" i="50" a="1"/>
  <c r="BE187" i="50" a="1"/>
  <c r="BE225" i="50" a="1"/>
  <c r="BD234" i="50" a="1"/>
  <c r="BE141" i="50" a="1"/>
  <c r="K14" i="50"/>
  <c r="BD31" i="50" a="1"/>
  <c r="BD292" i="50" a="1"/>
  <c r="BE224" i="50" a="1"/>
  <c r="BE109" i="50" a="1"/>
  <c r="BE90" i="50" a="1"/>
  <c r="BD102" i="50" a="1"/>
  <c r="BE317" i="50" a="1"/>
  <c r="BD309" i="50" a="1"/>
  <c r="BD195" i="50" a="1"/>
  <c r="BE206" i="50" a="1"/>
  <c r="BD41" i="50" a="1"/>
  <c r="S14" i="50"/>
  <c r="BD225" i="50" a="1"/>
  <c r="BE299" i="50" a="1"/>
  <c r="BE271" i="50" a="1"/>
  <c r="BD211" i="50" a="1"/>
  <c r="BD150" i="50" a="1"/>
  <c r="BD117" i="50" a="1"/>
  <c r="BD189" i="50" a="1"/>
  <c r="BD227" i="50" a="1"/>
  <c r="BE117" i="50" a="1"/>
  <c r="BE81" i="50" a="1"/>
  <c r="BE212" i="50" a="1"/>
  <c r="BD130" i="50" a="1"/>
  <c r="BD40" i="50" a="1"/>
  <c r="BD29" i="50" a="1"/>
  <c r="BE244" i="50" a="1"/>
  <c r="BE308" i="50" a="1"/>
  <c r="BE205" i="50" a="1"/>
  <c r="BE126" i="50" a="1"/>
  <c r="BD177" i="50" a="1"/>
  <c r="BD277" i="50" a="1"/>
  <c r="S13" i="50"/>
  <c r="BD146" i="50" a="1"/>
  <c r="BD196" i="50" a="1"/>
  <c r="BD51" i="50" a="1"/>
  <c r="BE278" i="50" a="1"/>
  <c r="BE204" i="50" a="1"/>
  <c r="BE152" i="50" a="1"/>
  <c r="BE249" i="50" a="1"/>
  <c r="BD141" i="50" a="1"/>
  <c r="BD312" i="50" a="1"/>
  <c r="BE230" i="50" a="1"/>
  <c r="BD89" i="50" a="1"/>
  <c r="BD320" i="50" a="1"/>
  <c r="BE52" i="50" a="1"/>
  <c r="BE263" i="50" a="1"/>
  <c r="BD168" i="50" a="1"/>
  <c r="BE85" i="50" a="1"/>
  <c r="BE242" i="50" a="1"/>
  <c r="BE266" i="50" a="1"/>
  <c r="BD56" i="50" a="1"/>
  <c r="BE237" i="50" a="1"/>
  <c r="BH24" i="50" a="1"/>
  <c r="BD60" i="50" a="1"/>
  <c r="BE255" i="50" a="1"/>
  <c r="BD159" i="50" a="1"/>
  <c r="BE43" i="50" a="1"/>
  <c r="BE47" i="50" a="1"/>
  <c r="BD241" i="50" a="1"/>
  <c r="BD147" i="50" a="1"/>
  <c r="BD53" i="50" a="1"/>
  <c r="BE198" i="50" a="1"/>
  <c r="BE311" i="50" a="1"/>
  <c r="BD64" i="50" a="1"/>
  <c r="BD212" i="50" a="1"/>
  <c r="BE156" i="50" a="1"/>
  <c r="BE290" i="50" a="1"/>
  <c r="BE160" i="50" a="1"/>
  <c r="BE74" i="50" a="1"/>
  <c r="BE171" i="50" a="1"/>
  <c r="BD258" i="50" a="1"/>
  <c r="BD145" i="50" a="1"/>
  <c r="BE79" i="50" a="1"/>
  <c r="BD105" i="50" a="1"/>
  <c r="BE310" i="50" a="1"/>
  <c r="BD38" i="50" a="1"/>
  <c r="BE61" i="50" a="1"/>
  <c r="BD246" i="50" a="1"/>
  <c r="BD300" i="50" a="1"/>
  <c r="BD262" i="50" a="1"/>
  <c r="BD235" i="50" a="1"/>
  <c r="BE246" i="50" a="1"/>
  <c r="BE202" i="50" a="1"/>
  <c r="BE136" i="50" a="1"/>
  <c r="P15" i="50"/>
  <c r="BD193" i="50" a="1"/>
  <c r="BE301" i="50" a="1"/>
  <c r="BD209" i="50" a="1"/>
  <c r="BE145" i="50" a="1"/>
  <c r="BD301" i="50" a="1"/>
  <c r="BE123" i="50" a="1"/>
  <c r="BD88" i="50" a="1"/>
  <c r="BE112" i="50" a="1"/>
  <c r="BD23" i="50" a="1"/>
  <c r="BD73" i="50" a="1"/>
  <c r="BD224" i="50" a="1"/>
  <c r="BD125" i="50" a="1"/>
  <c r="BD217" i="50" a="1"/>
  <c r="BD80" i="50" a="1"/>
  <c r="BD310" i="50" a="1"/>
  <c r="BE217" i="50" a="1"/>
  <c r="BD26" i="50" a="1"/>
  <c r="BD46" i="50" a="1"/>
  <c r="BE146" i="50" a="1"/>
  <c r="BD127" i="50" a="1"/>
  <c r="BE258" i="50" a="1"/>
  <c r="BD253" i="50" a="1"/>
  <c r="BE232" i="50" a="1"/>
  <c r="BD72" i="50" a="1"/>
  <c r="BE133" i="50" a="1"/>
  <c r="BD264" i="50" a="1"/>
  <c r="BD148" i="50" a="1"/>
  <c r="BE177" i="50" a="1"/>
  <c r="AQ22" i="50" a="1"/>
  <c r="BE76" i="50" a="1"/>
  <c r="BE122" i="50" a="1"/>
  <c r="BE91" i="50" a="1"/>
  <c r="BE201" i="50" a="1"/>
  <c r="BD317" i="50" a="1"/>
  <c r="BD48" i="50" a="1"/>
  <c r="BD138" i="50" a="1"/>
  <c r="BE199" i="50" a="1"/>
  <c r="BE63" i="50" a="1"/>
  <c r="BD222" i="50" a="1"/>
  <c r="BD86" i="50" a="1"/>
  <c r="BE51" i="50" a="1"/>
  <c r="BE215" i="50" a="1"/>
  <c r="BE260" i="50" a="1"/>
  <c r="BE97" i="50" a="1"/>
  <c r="BE67" i="50" a="1"/>
  <c r="BE285" i="50" a="1"/>
  <c r="BD49" i="50" a="1"/>
  <c r="BD153" i="50" a="1"/>
  <c r="BE252" i="50" a="1"/>
  <c r="BE192" i="50" a="1"/>
  <c r="BD249" i="50" a="1"/>
  <c r="BD304" i="50" a="1"/>
  <c r="BD143" i="50" a="1"/>
  <c r="BD172" i="50" a="1"/>
  <c r="BE229" i="50" a="1"/>
  <c r="BE64" i="50" a="1"/>
  <c r="BD259" i="50" a="1"/>
  <c r="BD54" i="50" a="1"/>
  <c r="BD162" i="50" a="1"/>
  <c r="BE102" i="50" a="1"/>
  <c r="L12" i="50"/>
  <c r="BE143" i="50" a="1"/>
  <c r="O12" i="50"/>
  <c r="BD237" i="50" a="1"/>
  <c r="BD245" i="50" a="1"/>
  <c r="BD181" i="50" a="1"/>
  <c r="BE80" i="50" a="1"/>
  <c r="BE87" i="50" a="1"/>
  <c r="BE153" i="50" a="1"/>
  <c r="BE291" i="50" a="1"/>
  <c r="BE184" i="50" a="1"/>
  <c r="BD297" i="50" a="1"/>
  <c r="BE128" i="50" a="1"/>
  <c r="BE129" i="50" a="1"/>
  <c r="BE248" i="50" a="1"/>
  <c r="BD35" i="50" a="1"/>
  <c r="BE106" i="50" a="1"/>
  <c r="BE305" i="50" a="1"/>
  <c r="BE32" i="50" a="1"/>
  <c r="BE254" i="50" a="1"/>
  <c r="BD121" i="50" a="1"/>
  <c r="BE321" i="50" a="1"/>
  <c r="BD183" i="50" a="1"/>
  <c r="BD63" i="50" a="1"/>
  <c r="BE233" i="50" a="1"/>
  <c r="BD314" i="50" a="1"/>
  <c r="BE178" i="50" a="1"/>
  <c r="BD315" i="50" a="1"/>
  <c r="BD243" i="50" a="1"/>
  <c r="BE175" i="50" a="1"/>
  <c r="BE100" i="50" a="1"/>
  <c r="BD205" i="50" a="1"/>
  <c r="BE241" i="50" a="1"/>
  <c r="K12" i="50"/>
  <c r="BE243" i="50" a="1"/>
  <c r="BD282" i="50" a="1"/>
  <c r="BD84" i="50" a="1"/>
  <c r="BE300" i="50" a="1"/>
  <c r="BD276" i="50" a="1"/>
  <c r="BD294" i="50" a="1"/>
  <c r="BD131" i="50" a="1"/>
  <c r="BD90" i="50" a="1"/>
  <c r="BE189" i="50" a="1"/>
  <c r="BD139" i="50" a="1"/>
  <c r="BD71" i="50" a="1"/>
  <c r="BE272" i="50" a="1"/>
  <c r="BE280" i="50" a="1"/>
  <c r="BE293" i="50" a="1"/>
  <c r="BD66" i="50" a="1"/>
  <c r="BD257" i="50" a="1"/>
  <c r="BD198" i="50" a="1"/>
  <c r="L14" i="50"/>
  <c r="BD142" i="50" a="1"/>
  <c r="BE162" i="50" a="1"/>
  <c r="BE33" i="50" a="1"/>
  <c r="BD194" i="50" a="1"/>
  <c r="BE315" i="50" a="1"/>
  <c r="BD302" i="50" a="1"/>
  <c r="BE313" i="50" a="1"/>
  <c r="BE116" i="50" a="1"/>
  <c r="BE268" i="50" a="1"/>
  <c r="BE275" i="50" a="1"/>
  <c r="BD319" i="50" a="1"/>
  <c r="BD295" i="50" a="1"/>
  <c r="BE314" i="50" a="1"/>
  <c r="BD289" i="50" a="1"/>
  <c r="BD33" i="50" a="1"/>
  <c r="BD94" i="50" a="1"/>
  <c r="BD238" i="50" a="1"/>
  <c r="BE138" i="50" a="1"/>
  <c r="BD113" i="50" a="1"/>
  <c r="BE294" i="50" a="1"/>
  <c r="BD233" i="50" a="1"/>
  <c r="BD115" i="50" a="1"/>
  <c r="BE292" i="50" a="1"/>
  <c r="BD161" i="50" a="1"/>
  <c r="BD214" i="50" a="1"/>
  <c r="BD79" i="50" a="1"/>
  <c r="BE269" i="50" a="1"/>
  <c r="BD184" i="50" a="1"/>
  <c r="BD186" i="50" a="1"/>
  <c r="BE130" i="50" a="1"/>
  <c r="BD287" i="50" a="1"/>
  <c r="BD303" i="50" a="1"/>
  <c r="BE218" i="50" a="1"/>
  <c r="BE276" i="50" a="1"/>
  <c r="BD270" i="50" a="1"/>
  <c r="BD163" i="50" a="1"/>
  <c r="BE53" i="50" a="1"/>
  <c r="BD43" i="50" a="1"/>
  <c r="BD140" i="50" a="1"/>
  <c r="BE139" i="50" a="1"/>
  <c r="BD274" i="50" a="1"/>
  <c r="BD136" i="50" a="1"/>
  <c r="BE34" i="50" a="1"/>
  <c r="BD207" i="50" a="1"/>
  <c r="BE115" i="50" a="1"/>
  <c r="BD55" i="50" a="1"/>
  <c r="BE219" i="50" a="1"/>
  <c r="BD67" i="50" a="1"/>
  <c r="BE114" i="50" a="1"/>
  <c r="BD290" i="50" a="1"/>
  <c r="BE279" i="50" a="1"/>
  <c r="BE172" i="50" a="1"/>
  <c r="BE231" i="50" a="1"/>
  <c r="BD216" i="50" a="1"/>
  <c r="BD129" i="50" a="1"/>
  <c r="BE303" i="50" a="1"/>
  <c r="BD52" i="50" a="1"/>
  <c r="BE306" i="50" a="1"/>
  <c r="BD112" i="50" a="1"/>
  <c r="BE148" i="50" a="1"/>
  <c r="BE210" i="50" a="1"/>
  <c r="BE165" i="50" a="1"/>
  <c r="BE110" i="50" a="1"/>
  <c r="BE307" i="50" a="1"/>
  <c r="BE158" i="50" a="1"/>
  <c r="BE44" i="50" a="1"/>
  <c r="BE58" i="50" a="1"/>
  <c r="BD99" i="50" a="1"/>
  <c r="BD190" i="50" a="1"/>
  <c r="BE288" i="50" a="1"/>
  <c r="BD109" i="50" a="1"/>
  <c r="BE161" i="50" a="1"/>
  <c r="BE27" i="50" a="1"/>
  <c r="BE29" i="50" a="1"/>
  <c r="BD151" i="50" a="1"/>
  <c r="BD201" i="50" a="1"/>
  <c r="BD283" i="50" a="1"/>
  <c r="BD272" i="50" a="1"/>
  <c r="BD106" i="50" a="1"/>
  <c r="BD218" i="50" a="1"/>
  <c r="BE174" i="50" a="1"/>
  <c r="BD321" i="50" a="1"/>
  <c r="BD28" i="50" a="1"/>
  <c r="BE281" i="50" a="1"/>
  <c r="BD27" i="50" a="1"/>
  <c r="BD85" i="50" a="1"/>
  <c r="BE190" i="50" a="1"/>
  <c r="BE154" i="50" a="1"/>
  <c r="BE154" i="50" l="1"/>
  <c r="BE190" i="50"/>
  <c r="BD85" i="50"/>
  <c r="BD27" i="50"/>
  <c r="BE281" i="50"/>
  <c r="BD28" i="50"/>
  <c r="BD321" i="50"/>
  <c r="BE174" i="50"/>
  <c r="BD218" i="50"/>
  <c r="BD106" i="50"/>
  <c r="BD272" i="50"/>
  <c r="BD283" i="50"/>
  <c r="BD201" i="50"/>
  <c r="BD151" i="50"/>
  <c r="BE29" i="50"/>
  <c r="BE27" i="50"/>
  <c r="BE161" i="50"/>
  <c r="BD109" i="50"/>
  <c r="BE288" i="50"/>
  <c r="BD190" i="50"/>
  <c r="BD99" i="50"/>
  <c r="BE58" i="50"/>
  <c r="BE44" i="50"/>
  <c r="BE158" i="50"/>
  <c r="BE307" i="50"/>
  <c r="BE110" i="50"/>
  <c r="BE165" i="50"/>
  <c r="BE210" i="50"/>
  <c r="BE148" i="50"/>
  <c r="BD112" i="50"/>
  <c r="BE306" i="50"/>
  <c r="BD52" i="50"/>
  <c r="BE303" i="50"/>
  <c r="BD129" i="50"/>
  <c r="BD216" i="50"/>
  <c r="BE231" i="50"/>
  <c r="BE172" i="50"/>
  <c r="BE279" i="50"/>
  <c r="BD290" i="50"/>
  <c r="BE114" i="50"/>
  <c r="BD67" i="50"/>
  <c r="BE219" i="50"/>
  <c r="BD55" i="50"/>
  <c r="BE115" i="50"/>
  <c r="BD207" i="50"/>
  <c r="BE34" i="50"/>
  <c r="BD136" i="50"/>
  <c r="BD274" i="50"/>
  <c r="BE139" i="50"/>
  <c r="BD140" i="50"/>
  <c r="BD43" i="50"/>
  <c r="BE53" i="50"/>
  <c r="BD163" i="50"/>
  <c r="BD270" i="50"/>
  <c r="BE276" i="50"/>
  <c r="BE218" i="50"/>
  <c r="BD303" i="50"/>
  <c r="BD287" i="50"/>
  <c r="BE130" i="50"/>
  <c r="BD186" i="50"/>
  <c r="BD184" i="50"/>
  <c r="BE269" i="50"/>
  <c r="BD79" i="50"/>
  <c r="BD214" i="50"/>
  <c r="BD161" i="50"/>
  <c r="BE292" i="50"/>
  <c r="BD115" i="50"/>
  <c r="BD233" i="50"/>
  <c r="BE294" i="50"/>
  <c r="BD113" i="50"/>
  <c r="BE138" i="50"/>
  <c r="BD238" i="50"/>
  <c r="BD94" i="50"/>
  <c r="BD33" i="50"/>
  <c r="BD289" i="50"/>
  <c r="BE314" i="50"/>
  <c r="BD295" i="50"/>
  <c r="BD319" i="50"/>
  <c r="BE275" i="50"/>
  <c r="BE268" i="50"/>
  <c r="BE116" i="50"/>
  <c r="BE313" i="50"/>
  <c r="BD302" i="50"/>
  <c r="BE315" i="50"/>
  <c r="BD194" i="50"/>
  <c r="BE33" i="50"/>
  <c r="BE162" i="50"/>
  <c r="BD142" i="50"/>
  <c r="BD198" i="50"/>
  <c r="BD257" i="50"/>
  <c r="BD66" i="50"/>
  <c r="BE293" i="50"/>
  <c r="BE280" i="50"/>
  <c r="BE272" i="50"/>
  <c r="BD71" i="50"/>
  <c r="BD139" i="50"/>
  <c r="BE189" i="50"/>
  <c r="BD90" i="50"/>
  <c r="BD131" i="50"/>
  <c r="BD294" i="50"/>
  <c r="BD276" i="50"/>
  <c r="BE300" i="50"/>
  <c r="BD84" i="50"/>
  <c r="BD282" i="50"/>
  <c r="BE243" i="50"/>
  <c r="D12" i="50"/>
  <c r="BE241" i="50"/>
  <c r="BD205" i="50"/>
  <c r="BE100" i="50"/>
  <c r="BE175" i="50"/>
  <c r="BD243" i="50"/>
  <c r="BD315" i="50"/>
  <c r="BE178" i="50"/>
  <c r="BD314" i="50"/>
  <c r="BE233" i="50"/>
  <c r="BD63" i="50"/>
  <c r="BD183" i="50"/>
  <c r="BE321" i="50"/>
  <c r="BD121" i="50"/>
  <c r="BE254" i="50"/>
  <c r="BE32" i="50"/>
  <c r="BE305" i="50"/>
  <c r="BE106" i="50"/>
  <c r="BD35" i="50"/>
  <c r="BE248" i="50"/>
  <c r="BE129" i="50"/>
  <c r="BE128" i="50"/>
  <c r="BD297" i="50"/>
  <c r="BE184" i="50"/>
  <c r="BE291" i="50"/>
  <c r="BE153" i="50"/>
  <c r="BE87" i="50"/>
  <c r="BE80" i="50"/>
  <c r="BD181" i="50"/>
  <c r="BD245" i="50"/>
  <c r="BD237" i="50"/>
  <c r="E12" i="50"/>
  <c r="BE143" i="50"/>
  <c r="BE102" i="50"/>
  <c r="BD162" i="50"/>
  <c r="BD54" i="50"/>
  <c r="BD259" i="50"/>
  <c r="BE64" i="50"/>
  <c r="BE229" i="50"/>
  <c r="BD172" i="50"/>
  <c r="BD143" i="50"/>
  <c r="BD304" i="50"/>
  <c r="BD249" i="50"/>
  <c r="BE192" i="50"/>
  <c r="BE252" i="50"/>
  <c r="BD153" i="50"/>
  <c r="BD49" i="50"/>
  <c r="BE285" i="50"/>
  <c r="BE67" i="50"/>
  <c r="BE97" i="50"/>
  <c r="BE260" i="50"/>
  <c r="BE215" i="50"/>
  <c r="BE51" i="50"/>
  <c r="BD86" i="50"/>
  <c r="BD222" i="50"/>
  <c r="BE63" i="50"/>
  <c r="BE199" i="50"/>
  <c r="BD138" i="50"/>
  <c r="BD48" i="50"/>
  <c r="BD317" i="50"/>
  <c r="BE201" i="50"/>
  <c r="BE91" i="50"/>
  <c r="BE122" i="50"/>
  <c r="BE76" i="50"/>
  <c r="AQ22" i="50"/>
  <c r="BE177" i="50"/>
  <c r="BD148" i="50"/>
  <c r="BD264" i="50"/>
  <c r="BE133" i="50"/>
  <c r="BD72" i="50"/>
  <c r="BE232" i="50"/>
  <c r="BD253" i="50"/>
  <c r="BE258" i="50"/>
  <c r="BD127" i="50"/>
  <c r="BE146" i="50"/>
  <c r="BD46" i="50"/>
  <c r="BD26" i="50"/>
  <c r="BE217" i="50"/>
  <c r="BD310" i="50"/>
  <c r="BD80" i="50"/>
  <c r="BD217" i="50"/>
  <c r="BD125" i="50"/>
  <c r="BD224" i="50"/>
  <c r="BD73" i="50"/>
  <c r="BD23" i="50"/>
  <c r="BE112" i="50"/>
  <c r="BD88" i="50"/>
  <c r="BE123" i="50"/>
  <c r="BD301" i="50"/>
  <c r="BE145" i="50"/>
  <c r="BD209" i="50"/>
  <c r="BE301" i="50"/>
  <c r="BD193" i="50"/>
  <c r="BE136" i="50"/>
  <c r="BE202" i="50"/>
  <c r="BE246" i="50"/>
  <c r="BD235" i="50"/>
  <c r="BD262" i="50"/>
  <c r="BD300" i="50"/>
  <c r="BD246" i="50"/>
  <c r="BE61" i="50"/>
  <c r="BD38" i="50"/>
  <c r="BE310" i="50"/>
  <c r="BD105" i="50"/>
  <c r="BE79" i="50"/>
  <c r="BD145" i="50"/>
  <c r="BD258" i="50"/>
  <c r="BE171" i="50"/>
  <c r="BE74" i="50"/>
  <c r="BE160" i="50"/>
  <c r="BE290" i="50"/>
  <c r="BE156" i="50"/>
  <c r="BD212" i="50"/>
  <c r="BD64" i="50"/>
  <c r="BE311" i="50"/>
  <c r="BE198" i="50"/>
  <c r="BD53" i="50"/>
  <c r="BD147" i="50"/>
  <c r="BD241" i="50"/>
  <c r="BE47" i="50"/>
  <c r="BE43" i="50"/>
  <c r="BD159" i="50"/>
  <c r="BE255" i="50"/>
  <c r="BD60" i="50"/>
  <c r="BH24" i="50"/>
  <c r="BE237" i="50"/>
  <c r="BD56" i="50"/>
  <c r="BE266" i="50"/>
  <c r="BE242" i="50"/>
  <c r="BE85" i="50"/>
  <c r="BD168" i="50"/>
  <c r="BE263" i="50"/>
  <c r="BE52" i="50"/>
  <c r="BD320" i="50"/>
  <c r="BD89" i="50"/>
  <c r="BE230" i="50"/>
  <c r="BD312" i="50"/>
  <c r="BD141" i="50"/>
  <c r="BE249" i="50"/>
  <c r="BE152" i="50"/>
  <c r="BE204" i="50"/>
  <c r="BE278" i="50"/>
  <c r="BD51" i="50"/>
  <c r="BD196" i="50"/>
  <c r="BD146" i="50"/>
  <c r="F13" i="50"/>
  <c r="BD277" i="50"/>
  <c r="BD177" i="50"/>
  <c r="BE126" i="50"/>
  <c r="BE205" i="50"/>
  <c r="BE308" i="50"/>
  <c r="BE244" i="50"/>
  <c r="BD29" i="50"/>
  <c r="BD40" i="50"/>
  <c r="BD130" i="50"/>
  <c r="BE212" i="50"/>
  <c r="BE81" i="50"/>
  <c r="BE117" i="50"/>
  <c r="BD227" i="50"/>
  <c r="BD189" i="50"/>
  <c r="BD117" i="50"/>
  <c r="BD150" i="50"/>
  <c r="BD211" i="50"/>
  <c r="BE271" i="50"/>
  <c r="BE299" i="50"/>
  <c r="BD225" i="50"/>
  <c r="F14" i="50"/>
  <c r="BD41" i="50"/>
  <c r="BE206" i="50"/>
  <c r="BD195" i="50"/>
  <c r="BD309" i="50"/>
  <c r="BE317" i="50"/>
  <c r="BD102" i="50"/>
  <c r="BE90" i="50"/>
  <c r="BE109" i="50"/>
  <c r="BE224" i="50"/>
  <c r="BD292" i="50"/>
  <c r="BD31" i="50"/>
  <c r="D14" i="50"/>
  <c r="BE141" i="50"/>
  <c r="BD234" i="50"/>
  <c r="BE225" i="50"/>
  <c r="BE187" i="50"/>
  <c r="BE49" i="50"/>
  <c r="BE59" i="50"/>
  <c r="BE46" i="50"/>
  <c r="BE167" i="50"/>
  <c r="BD123" i="50"/>
  <c r="BD134" i="50"/>
  <c r="BE73" i="50"/>
  <c r="BD120" i="50"/>
  <c r="BD68" i="50"/>
  <c r="BD273" i="50"/>
  <c r="BE256" i="50"/>
  <c r="F15" i="50"/>
  <c r="BE107" i="50"/>
  <c r="BE226" i="50"/>
  <c r="BD22" i="50"/>
  <c r="BE200" i="50"/>
  <c r="BE60" i="50"/>
  <c r="BD158" i="50"/>
  <c r="BE82" i="50"/>
  <c r="BE149" i="50"/>
  <c r="BD176" i="50"/>
  <c r="BE183" i="50"/>
  <c r="BD78" i="50"/>
  <c r="BD103" i="50"/>
  <c r="BE253" i="50"/>
  <c r="BD251" i="50"/>
  <c r="BD199" i="50"/>
  <c r="BE55" i="50"/>
  <c r="BD173" i="50"/>
  <c r="BE155" i="50"/>
  <c r="BD160" i="50"/>
  <c r="BE295" i="50"/>
  <c r="BE54" i="50"/>
  <c r="BE245" i="50"/>
  <c r="BE286" i="50"/>
  <c r="BE176" i="50"/>
  <c r="BD96" i="50"/>
  <c r="BD98" i="50"/>
  <c r="E15" i="50"/>
  <c r="BD76" i="50"/>
  <c r="BD255" i="50"/>
  <c r="BD93" i="50"/>
  <c r="BD250" i="50"/>
  <c r="BE120" i="50"/>
  <c r="BD156" i="50"/>
  <c r="AQ25" i="50"/>
  <c r="BD254" i="50"/>
  <c r="BE277" i="50"/>
  <c r="BE282" i="50"/>
  <c r="BE40" i="50"/>
  <c r="BD263" i="50"/>
  <c r="BE71" i="50"/>
  <c r="BD128" i="50"/>
  <c r="BE99" i="50"/>
  <c r="AY23" i="50"/>
  <c r="BE78" i="50"/>
  <c r="BE273" i="50"/>
  <c r="BD296" i="50"/>
  <c r="BE62" i="50"/>
  <c r="BD247" i="50"/>
  <c r="BE159" i="50"/>
  <c r="BD137" i="50"/>
  <c r="BE157" i="50"/>
  <c r="BD208" i="50"/>
  <c r="BD166" i="50"/>
  <c r="BE127" i="50"/>
  <c r="BE108" i="50"/>
  <c r="BE221" i="50"/>
  <c r="BD155" i="50"/>
  <c r="BE227" i="50"/>
  <c r="BD229" i="50"/>
  <c r="BE94" i="50"/>
  <c r="BE30" i="50"/>
  <c r="BE151" i="50"/>
  <c r="BE207" i="50"/>
  <c r="BE195" i="50"/>
  <c r="AQ26" i="50"/>
  <c r="BD135" i="50"/>
  <c r="BD42" i="50"/>
  <c r="BE83" i="50"/>
  <c r="BD219" i="50"/>
  <c r="BD244" i="50"/>
  <c r="BE135" i="50"/>
  <c r="BE296" i="50"/>
  <c r="BD316" i="50"/>
  <c r="BD206" i="50"/>
  <c r="BD65" i="50"/>
  <c r="BD210" i="50"/>
  <c r="BD188" i="50"/>
  <c r="BE93" i="50"/>
  <c r="BE105" i="50"/>
  <c r="BD236" i="50"/>
  <c r="BD157" i="50"/>
  <c r="BE92" i="50"/>
  <c r="BD318" i="50"/>
  <c r="BD269" i="50"/>
  <c r="BE48" i="50"/>
  <c r="BD114" i="50"/>
  <c r="BD220" i="50"/>
  <c r="BD256" i="50"/>
  <c r="BD185" i="50"/>
  <c r="BD167" i="50"/>
  <c r="BD221" i="50"/>
  <c r="BD133" i="50"/>
  <c r="BE251" i="50"/>
  <c r="BE259" i="50"/>
  <c r="BE197" i="50"/>
  <c r="BE188" i="50"/>
  <c r="BD313" i="50"/>
  <c r="BE193" i="50"/>
  <c r="E14" i="50"/>
  <c r="BD165" i="50"/>
  <c r="BD266" i="50"/>
  <c r="BE31" i="50"/>
  <c r="BD30" i="50"/>
  <c r="BD119" i="50"/>
  <c r="BE24" i="50"/>
  <c r="BE220" i="50"/>
  <c r="BE274" i="50"/>
  <c r="BD200" i="50"/>
  <c r="BE265" i="50"/>
  <c r="BD122" i="50"/>
  <c r="BD232" i="50"/>
  <c r="AQ27" i="50"/>
  <c r="BD281" i="50"/>
  <c r="BD267" i="50"/>
  <c r="BE118" i="50"/>
  <c r="BE26" i="50"/>
  <c r="BD191" i="50"/>
  <c r="BD299" i="50"/>
  <c r="BE101" i="50"/>
  <c r="BE284" i="50"/>
  <c r="BE38" i="50"/>
  <c r="BE103" i="50"/>
  <c r="BE132" i="50"/>
  <c r="BE316" i="50"/>
  <c r="BD107" i="50"/>
  <c r="BE72" i="50"/>
  <c r="BD307" i="50"/>
  <c r="BD132" i="50"/>
  <c r="BD226" i="50"/>
  <c r="BE169" i="50"/>
  <c r="BD82" i="50"/>
  <c r="BE111" i="50"/>
  <c r="BE194" i="50"/>
  <c r="BE124" i="50"/>
  <c r="BD44" i="50"/>
  <c r="BE70" i="50"/>
  <c r="BD239" i="50"/>
  <c r="BE42" i="50"/>
  <c r="BD110" i="50"/>
  <c r="BE222" i="50"/>
  <c r="BD187" i="50"/>
  <c r="BD77" i="50"/>
  <c r="BE257" i="50"/>
  <c r="BD164" i="50"/>
  <c r="BD293" i="50"/>
  <c r="BD213" i="50"/>
  <c r="BD204" i="50"/>
  <c r="BD286" i="50"/>
  <c r="BD271" i="50"/>
  <c r="AQ23" i="50"/>
  <c r="BE147" i="50"/>
  <c r="BE235" i="50"/>
  <c r="BD280" i="50"/>
  <c r="BE203" i="50"/>
  <c r="BE196" i="50"/>
  <c r="BE289" i="50"/>
  <c r="BD279" i="50"/>
  <c r="BE166" i="50"/>
  <c r="BE250" i="50"/>
  <c r="BD215" i="50"/>
  <c r="BE163" i="50"/>
  <c r="BD116" i="50"/>
  <c r="BE89" i="50"/>
  <c r="AQ24" i="50"/>
  <c r="BE104" i="50"/>
  <c r="BE238" i="50"/>
  <c r="BE213" i="50"/>
  <c r="BE50" i="50"/>
  <c r="BD58" i="50"/>
  <c r="BD39" i="50"/>
  <c r="BD285" i="50"/>
  <c r="BD182" i="50"/>
  <c r="BD149" i="50"/>
  <c r="BE283" i="50"/>
  <c r="BD171" i="50"/>
  <c r="BD32" i="50"/>
  <c r="BE35" i="50"/>
  <c r="BE209" i="50"/>
  <c r="BD25" i="50"/>
  <c r="BD288" i="50"/>
  <c r="BE41" i="50"/>
  <c r="BE173" i="50"/>
  <c r="BD87" i="50"/>
  <c r="BE309" i="50"/>
  <c r="BD97" i="50"/>
  <c r="BD240" i="50"/>
  <c r="BE28" i="50"/>
  <c r="AY22" i="50"/>
  <c r="BD261" i="50"/>
  <c r="BE45" i="50"/>
  <c r="BE182" i="50"/>
  <c r="BE223" i="50"/>
  <c r="BE228" i="50"/>
  <c r="BE134" i="50"/>
  <c r="BD95" i="50"/>
  <c r="BE86" i="50"/>
  <c r="BD252" i="50"/>
  <c r="BD305" i="50"/>
  <c r="BD197" i="50"/>
  <c r="BD278" i="50"/>
  <c r="BD169" i="50"/>
  <c r="BE304" i="50"/>
  <c r="BE98" i="50"/>
  <c r="BE185" i="50"/>
  <c r="BD265" i="50"/>
  <c r="BE240" i="50"/>
  <c r="BD91" i="50"/>
  <c r="BD192" i="50"/>
  <c r="BD83" i="50"/>
  <c r="BD179" i="50"/>
  <c r="BD92" i="50"/>
  <c r="BE36" i="50"/>
  <c r="BD75" i="50"/>
  <c r="BE125" i="50"/>
  <c r="BE168" i="50"/>
  <c r="BE216" i="50"/>
  <c r="BD174" i="50"/>
  <c r="BD230" i="50"/>
  <c r="BD311" i="50"/>
  <c r="BD175" i="50"/>
  <c r="BD45" i="50"/>
  <c r="BE37" i="50"/>
  <c r="BD223" i="50"/>
  <c r="BD144" i="50"/>
  <c r="BE262" i="50"/>
  <c r="E13" i="50"/>
  <c r="BD104" i="50"/>
  <c r="BE191" i="50"/>
  <c r="BE170" i="50"/>
  <c r="BE302" i="50"/>
  <c r="BE75" i="50"/>
  <c r="BD275" i="50"/>
  <c r="BE298" i="50"/>
  <c r="BD34" i="50"/>
  <c r="BE164" i="50"/>
  <c r="BE95" i="50"/>
  <c r="BD170" i="50"/>
  <c r="BD50" i="50"/>
  <c r="BD284" i="50"/>
  <c r="BE23" i="50"/>
  <c r="BD47" i="50"/>
  <c r="BD111" i="50"/>
  <c r="BD291" i="50"/>
  <c r="D13" i="50"/>
  <c r="BE66" i="50"/>
  <c r="BD202" i="50"/>
  <c r="BD24" i="50"/>
  <c r="BD308" i="50"/>
  <c r="BE88" i="50"/>
  <c r="BD178" i="50"/>
  <c r="F12" i="50"/>
  <c r="BD69" i="50"/>
  <c r="BE234" i="50"/>
  <c r="BD298" i="50"/>
  <c r="BD268" i="50"/>
  <c r="BH23" i="50"/>
  <c r="BE68" i="50"/>
  <c r="BD154" i="50"/>
  <c r="BD118" i="50"/>
  <c r="BD248" i="50"/>
  <c r="BE142" i="50"/>
  <c r="BE247" i="50"/>
  <c r="BE140" i="50"/>
  <c r="BE319" i="50"/>
  <c r="BD59" i="50"/>
  <c r="BD231" i="50"/>
  <c r="BE270" i="50"/>
  <c r="BD108" i="50"/>
  <c r="BD62" i="50"/>
  <c r="BE214" i="50"/>
  <c r="BD81" i="50"/>
  <c r="BE179" i="50"/>
  <c r="BE22" i="50"/>
  <c r="BE264" i="50"/>
  <c r="BE119" i="50"/>
  <c r="BE65" i="50"/>
  <c r="BE320" i="50"/>
  <c r="BD36" i="50"/>
  <c r="BE208" i="50"/>
  <c r="BD37" i="50"/>
  <c r="BE239" i="50"/>
  <c r="BD126" i="50"/>
  <c r="BD101" i="50"/>
  <c r="BE267" i="50"/>
  <c r="BE113" i="50"/>
  <c r="BE121" i="50"/>
  <c r="BE77" i="50"/>
  <c r="BE144" i="50"/>
  <c r="BE150" i="50"/>
  <c r="BD306" i="50"/>
  <c r="BD74" i="50"/>
  <c r="BD260" i="50"/>
  <c r="BD152" i="50"/>
  <c r="BD242" i="50"/>
  <c r="BE236" i="50"/>
  <c r="BD203" i="50"/>
  <c r="BE84" i="50"/>
  <c r="BE318" i="50"/>
  <c r="BE211" i="50"/>
  <c r="BD100" i="50"/>
  <c r="BE186" i="50"/>
  <c r="BE96" i="50"/>
  <c r="BE25" i="50"/>
  <c r="BE56" i="50"/>
  <c r="BE287" i="50"/>
  <c r="BE131" i="50"/>
  <c r="BE297" i="50"/>
  <c r="BE261" i="50"/>
  <c r="BE69" i="50"/>
  <c r="D15" i="50"/>
  <c r="BE57" i="50"/>
  <c r="BE312" i="50"/>
  <c r="BD61" i="50"/>
  <c r="BD124" i="50"/>
  <c r="BE137" i="50"/>
  <c r="BE180" i="50"/>
  <c r="BD57" i="50"/>
  <c r="BE39" i="50"/>
  <c r="BD228" i="50"/>
  <c r="BD70" i="50"/>
  <c r="BD180" i="50"/>
  <c r="BE181" i="50"/>
  <c r="A682" i="49"/>
  <c r="A683" i="49" l="1"/>
  <c r="A684" i="49" l="1"/>
  <c r="A685" i="49" l="1"/>
  <c r="A686" i="49" l="1"/>
  <c r="A687" i="49" l="1"/>
  <c r="A688" i="49" l="1"/>
  <c r="A689" i="49" l="1"/>
  <c r="A690" i="49" l="1"/>
  <c r="A691" i="49" l="1"/>
  <c r="A692" i="49" l="1"/>
  <c r="A693" i="49" l="1"/>
  <c r="A694" i="49" l="1"/>
  <c r="A695" i="49" l="1"/>
  <c r="A696" i="49" l="1"/>
  <c r="A697" i="49" l="1"/>
  <c r="A698" i="49" l="1"/>
  <c r="A699" i="49" l="1"/>
  <c r="A700" i="49" l="1"/>
  <c r="A701" i="49" l="1"/>
  <c r="A702" i="49" s="1"/>
  <c r="A703" i="49" s="1"/>
  <c r="A704" i="49" s="1"/>
  <c r="A705" i="49" s="1"/>
  <c r="A706" i="49" s="1"/>
  <c r="A707" i="49" s="1"/>
  <c r="A708" i="49" s="1"/>
  <c r="A709" i="49" s="1"/>
  <c r="A710" i="49" s="1"/>
  <c r="A711" i="49" s="1"/>
  <c r="A712" i="49" s="1"/>
  <c r="A713" i="49" s="1"/>
  <c r="A714" i="49" s="1"/>
  <c r="A715" i="49" s="1"/>
  <c r="A716" i="49" s="1"/>
  <c r="A717" i="49" s="1"/>
  <c r="A718" i="49" s="1"/>
  <c r="A719" i="49" s="1"/>
  <c r="A720" i="49" s="1"/>
  <c r="A721" i="49" s="1"/>
  <c r="A722" i="49" s="1"/>
  <c r="A723" i="49" s="1"/>
  <c r="A724" i="49" s="1"/>
  <c r="A725" i="49" s="1"/>
  <c r="A726" i="49" s="1"/>
  <c r="A727" i="49" s="1"/>
  <c r="A728" i="49" s="1"/>
  <c r="A729" i="49" s="1"/>
  <c r="A730" i="49" s="1"/>
  <c r="A731" i="49" s="1"/>
  <c r="A732" i="49" s="1"/>
  <c r="A733" i="49" s="1"/>
  <c r="A734" i="49" s="1"/>
  <c r="A735" i="49" s="1"/>
  <c r="A736" i="49" s="1"/>
  <c r="A737" i="49" s="1"/>
  <c r="A738" i="49" s="1"/>
  <c r="A739" i="49" s="1"/>
  <c r="A740" i="49" s="1"/>
  <c r="A741" i="49" s="1"/>
  <c r="A742" i="49" s="1"/>
  <c r="A743" i="49" s="1"/>
  <c r="A744" i="49" s="1"/>
  <c r="A745" i="49" s="1"/>
  <c r="A746" i="49" s="1"/>
  <c r="A747" i="49" s="1"/>
  <c r="A748" i="49" s="1"/>
  <c r="A749" i="49" s="1"/>
  <c r="A750" i="49" s="1"/>
  <c r="A751" i="49" s="1"/>
  <c r="A752" i="49" s="1"/>
  <c r="A753" i="49" s="1"/>
  <c r="A754" i="49" s="1"/>
  <c r="A755" i="49" s="1"/>
  <c r="A756" i="49" s="1"/>
  <c r="A757" i="49" s="1"/>
  <c r="A758" i="49" s="1"/>
  <c r="A759" i="49" s="1"/>
  <c r="A760" i="49" s="1"/>
  <c r="A761" i="49" s="1"/>
  <c r="A762" i="49" s="1"/>
  <c r="A763" i="49" s="1"/>
  <c r="A764" i="49" s="1"/>
  <c r="A765" i="49" s="1"/>
  <c r="A766" i="49" s="1"/>
  <c r="A767" i="49" s="1"/>
  <c r="A768" i="49" s="1"/>
  <c r="A769" i="49" s="1"/>
  <c r="A770" i="49" s="1"/>
  <c r="A771" i="49" s="1"/>
  <c r="A772" i="49" s="1"/>
  <c r="A773" i="49" s="1"/>
  <c r="A774" i="49" s="1"/>
  <c r="A775" i="49" s="1"/>
  <c r="A776" i="49" s="1"/>
  <c r="A777" i="49" s="1"/>
  <c r="A778" i="49" s="1"/>
  <c r="A779" i="49" s="1"/>
  <c r="A780" i="49" s="1"/>
  <c r="A781" i="49" s="1"/>
  <c r="A782" i="49" s="1"/>
  <c r="A783" i="49" s="1"/>
  <c r="A784" i="49" s="1"/>
  <c r="A785" i="49" s="1"/>
  <c r="A786" i="49" s="1"/>
  <c r="A787" i="49" s="1"/>
  <c r="A788" i="49" s="1"/>
  <c r="A789" i="49" s="1"/>
  <c r="A790" i="49" s="1"/>
  <c r="A791" i="49" s="1"/>
  <c r="A792" i="49" s="1"/>
  <c r="A793" i="49" s="1"/>
  <c r="AL22" i="50" l="1" a="1"/>
  <c r="AL22" i="50" l="1"/>
  <c r="AT22" i="50" a="1"/>
  <c r="AT22" i="50" s="1"/>
  <c r="A2" i="49" l="1"/>
  <c r="AN65" i="50" a="1"/>
  <c r="AM39" i="50" a="1"/>
  <c r="AM106" i="50" a="1"/>
  <c r="AM229" i="50" a="1"/>
  <c r="AN228" i="50" a="1"/>
  <c r="AN186" i="50" a="1"/>
  <c r="AM208" i="50" a="1"/>
  <c r="AM82" i="50" a="1"/>
  <c r="AN92" i="50" a="1"/>
  <c r="AN148" i="50" a="1"/>
  <c r="AN164" i="50" a="1"/>
  <c r="AM227" i="50" a="1"/>
  <c r="AN241" i="50" a="1"/>
  <c r="AM244" i="50" a="1"/>
  <c r="AN43" i="50" a="1"/>
  <c r="AN122" i="50" a="1"/>
  <c r="AM241" i="50" a="1"/>
  <c r="AM222" i="50" a="1"/>
  <c r="AM288" i="50" a="1"/>
  <c r="AM48" i="50" a="1"/>
  <c r="AN72" i="50" a="1"/>
  <c r="AN283" i="50" a="1"/>
  <c r="AM258" i="50" a="1"/>
  <c r="AN98" i="50" a="1"/>
  <c r="AM321" i="50" a="1"/>
  <c r="AN99" i="50" a="1"/>
  <c r="AM269" i="50" a="1"/>
  <c r="AM34" i="50" a="1"/>
  <c r="AM300" i="50" a="1"/>
  <c r="AM93" i="50" a="1"/>
  <c r="AM100" i="50" a="1"/>
  <c r="AN179" i="50" a="1"/>
  <c r="AN120" i="50" a="1"/>
  <c r="AM83" i="50" a="1"/>
  <c r="AM124" i="50" a="1"/>
  <c r="AN172" i="50" a="1"/>
  <c r="AN310" i="50" a="1"/>
  <c r="AN319" i="50" a="1"/>
  <c r="AM30" i="50" a="1"/>
  <c r="AM243" i="50" a="1"/>
  <c r="AM86" i="50" a="1"/>
  <c r="AM246" i="50" a="1"/>
  <c r="AN91" i="50" a="1"/>
  <c r="AM96" i="50" a="1"/>
  <c r="AM128" i="50" a="1"/>
  <c r="AN106" i="50" a="1"/>
  <c r="AN32" i="50" a="1"/>
  <c r="AN155" i="50" a="1"/>
  <c r="AN137" i="50" a="1"/>
  <c r="AM179" i="50" a="1"/>
  <c r="AM112" i="50" a="1"/>
  <c r="AM58" i="50" a="1"/>
  <c r="AM53" i="50" a="1"/>
  <c r="AM23" i="50" a="1"/>
  <c r="AM141" i="50" a="1"/>
  <c r="AN197" i="50" a="1"/>
  <c r="AM266" i="50" a="1"/>
  <c r="AM134" i="50" a="1"/>
  <c r="AN75" i="50" a="1"/>
  <c r="AN285" i="50" a="1"/>
  <c r="AM79" i="50" a="1"/>
  <c r="AM63" i="50" a="1"/>
  <c r="AM265" i="50" a="1"/>
  <c r="AM196" i="50" a="1"/>
  <c r="AM275" i="50" a="1"/>
  <c r="AM163" i="50" a="1"/>
  <c r="AN288" i="50" a="1"/>
  <c r="AN23" i="50" a="1"/>
  <c r="AM68" i="50" a="1"/>
  <c r="AN138" i="50" a="1"/>
  <c r="AN276" i="50" a="1"/>
  <c r="AM72" i="50" a="1"/>
  <c r="AM59" i="50" a="1"/>
  <c r="AM136" i="50" a="1"/>
  <c r="AN118" i="50" a="1"/>
  <c r="AN219" i="50" a="1"/>
  <c r="AN36" i="50" a="1"/>
  <c r="AN298" i="50" a="1"/>
  <c r="AM171" i="50" a="1"/>
  <c r="AN33" i="50" a="1"/>
  <c r="AM224" i="50" a="1"/>
  <c r="AN103" i="50" a="1"/>
  <c r="AM285" i="50" a="1"/>
  <c r="AM189" i="50" a="1"/>
  <c r="AN206" i="50" a="1"/>
  <c r="AN42" i="50" a="1"/>
  <c r="AN165" i="50" a="1"/>
  <c r="AM263" i="50" a="1"/>
  <c r="AM183" i="50" a="1"/>
  <c r="AN161" i="50" a="1"/>
  <c r="AN262" i="50" a="1"/>
  <c r="AM252" i="50" a="1"/>
  <c r="AM304" i="50" a="1"/>
  <c r="AN205" i="50" a="1"/>
  <c r="AN181" i="50" a="1"/>
  <c r="AM210" i="50" a="1"/>
  <c r="AM264" i="50" a="1"/>
  <c r="AM294" i="50" a="1"/>
  <c r="AN173" i="50" a="1"/>
  <c r="AM162" i="50" a="1"/>
  <c r="AN214" i="50" a="1"/>
  <c r="AN317" i="50" a="1"/>
  <c r="AM236" i="50" a="1"/>
  <c r="AN280" i="50" a="1"/>
  <c r="AN308" i="50" a="1"/>
  <c r="AM175" i="50" a="1"/>
  <c r="AM314" i="50" a="1"/>
  <c r="AM267" i="50" a="1"/>
  <c r="AN296" i="50" a="1"/>
  <c r="AN150" i="50" a="1"/>
  <c r="AN26" i="50" a="1"/>
  <c r="AN258" i="50" a="1"/>
  <c r="AM99" i="50" a="1"/>
  <c r="AM290" i="50" a="1"/>
  <c r="AM198" i="50" a="1"/>
  <c r="AM146" i="50" a="1"/>
  <c r="AM292" i="50" a="1"/>
  <c r="AN102" i="50" a="1"/>
  <c r="AN89" i="50" a="1"/>
  <c r="AM199" i="50" a="1"/>
  <c r="AN101" i="50" a="1"/>
  <c r="AN135" i="50" a="1"/>
  <c r="AM80" i="50" a="1"/>
  <c r="AN38" i="50" a="1"/>
  <c r="AN124" i="50" a="1"/>
  <c r="AN76" i="50" a="1"/>
  <c r="AM131" i="50" a="1"/>
  <c r="AM123" i="50" a="1"/>
  <c r="AM133" i="50" a="1"/>
  <c r="AN199" i="50" a="1"/>
  <c r="AM311" i="50" a="1"/>
  <c r="AN177" i="50" a="1"/>
  <c r="AM190" i="50" a="1"/>
  <c r="AM139" i="50" a="1"/>
  <c r="AN247" i="50" a="1"/>
  <c r="AN151" i="50" a="1"/>
  <c r="AN175" i="50" a="1"/>
  <c r="AM259" i="50" a="1"/>
  <c r="AN44" i="50" a="1"/>
  <c r="AM278" i="50" a="1"/>
  <c r="AM204" i="50" a="1"/>
  <c r="AN281" i="50" a="1"/>
  <c r="AM232" i="50" a="1"/>
  <c r="AM169" i="50" a="1"/>
  <c r="AM75" i="50" a="1"/>
  <c r="AM142" i="50" a="1"/>
  <c r="AN149" i="50" a="1"/>
  <c r="AN209" i="50" a="1"/>
  <c r="AN64" i="50" a="1"/>
  <c r="AN275" i="50" a="1"/>
  <c r="AM95" i="50" a="1"/>
  <c r="AN93" i="50" a="1"/>
  <c r="AN278" i="50" a="1"/>
  <c r="AM94" i="50" a="1"/>
  <c r="AN67" i="50" a="1"/>
  <c r="AN37" i="50" a="1"/>
  <c r="AM220" i="50" a="1"/>
  <c r="AM283" i="50" a="1"/>
  <c r="AN300" i="50" a="1"/>
  <c r="AM111" i="50" a="1"/>
  <c r="AN234" i="50" a="1"/>
  <c r="AN116" i="50" a="1"/>
  <c r="AN207" i="50" a="1"/>
  <c r="AM308" i="50" a="1"/>
  <c r="AM36" i="50" a="1"/>
  <c r="AM298" i="50" a="1"/>
  <c r="AM97" i="50" a="1"/>
  <c r="AM268" i="50" a="1"/>
  <c r="AN88" i="50" a="1"/>
  <c r="AN73" i="50" a="1"/>
  <c r="AN69" i="50" a="1"/>
  <c r="AM77" i="50" a="1"/>
  <c r="AN233" i="50" a="1"/>
  <c r="AM64" i="50" a="1"/>
  <c r="AN232" i="50" a="1"/>
  <c r="AN40" i="50" a="1"/>
  <c r="AN268" i="50" a="1"/>
  <c r="AM254" i="50" a="1"/>
  <c r="AM24" i="50" a="1"/>
  <c r="AM218" i="50" a="1"/>
  <c r="AN287" i="50" a="1"/>
  <c r="AM215" i="50" a="1"/>
  <c r="AM209" i="50" a="1"/>
  <c r="AM92" i="50" a="1"/>
  <c r="AN74" i="50" a="1"/>
  <c r="AM126" i="50" a="1"/>
  <c r="AM238" i="50" a="1"/>
  <c r="AN79" i="50" a="1"/>
  <c r="AM207" i="50" a="1"/>
  <c r="AN259" i="50" a="1"/>
  <c r="AN56" i="50" a="1"/>
  <c r="AM66" i="50" a="1"/>
  <c r="AN176" i="50" a="1"/>
  <c r="AN114" i="50" a="1"/>
  <c r="AN108" i="50" a="1"/>
  <c r="AM193" i="50" a="1"/>
  <c r="AM274" i="50" a="1"/>
  <c r="AM150" i="50" a="1"/>
  <c r="AN61" i="50" a="1"/>
  <c r="AM270" i="50" a="1"/>
  <c r="AN131" i="50" a="1"/>
  <c r="AN318" i="50" a="1"/>
  <c r="AN104" i="50" a="1"/>
  <c r="AM144" i="50" a="1"/>
  <c r="AM194" i="50" a="1"/>
  <c r="AM43" i="50" a="1"/>
  <c r="AM65" i="50" a="1"/>
  <c r="AN27" i="50" a="1"/>
  <c r="AM172" i="50" a="1"/>
  <c r="AM287" i="50" a="1"/>
  <c r="AM312" i="50" a="1"/>
  <c r="AN143" i="50" a="1"/>
  <c r="AV22" i="50" a="1"/>
  <c r="AN307" i="50" a="1"/>
  <c r="AM214" i="50" a="1"/>
  <c r="AN180" i="50" a="1"/>
  <c r="AM165" i="50" a="1"/>
  <c r="AN273" i="50" a="1"/>
  <c r="AN132" i="50" a="1"/>
  <c r="AM293" i="50" a="1"/>
  <c r="AN127" i="50" a="1"/>
  <c r="AN62" i="50" a="1"/>
  <c r="AN260" i="50" a="1"/>
  <c r="AM318" i="50" a="1"/>
  <c r="AN297" i="50" a="1"/>
  <c r="AM234" i="50" a="1"/>
  <c r="AN162" i="50" a="1"/>
  <c r="AN146" i="50" a="1"/>
  <c r="AN304" i="50" a="1"/>
  <c r="AM155" i="50" a="1"/>
  <c r="AM117" i="50" a="1"/>
  <c r="AN251" i="50" a="1"/>
  <c r="AM70" i="50" a="1"/>
  <c r="AM164" i="50" a="1"/>
  <c r="AN66" i="50" a="1"/>
  <c r="AN156" i="50" a="1"/>
  <c r="AN169" i="50" a="1"/>
  <c r="AM127" i="50" a="1"/>
  <c r="AN174" i="50" a="1"/>
  <c r="AM319" i="50" a="1"/>
  <c r="AM41" i="50" a="1"/>
  <c r="AN134" i="50" a="1"/>
  <c r="AM116" i="50" a="1"/>
  <c r="AN261" i="50" a="1"/>
  <c r="AN216" i="50" a="1"/>
  <c r="AM302" i="50" a="1"/>
  <c r="AN90" i="50" a="1"/>
  <c r="AN236" i="50" a="1"/>
  <c r="AM49" i="50" a="1"/>
  <c r="AM109" i="50" a="1"/>
  <c r="AN100" i="50" a="1"/>
  <c r="AN267" i="50" a="1"/>
  <c r="AM273" i="50" a="1"/>
  <c r="AN30" i="50" a="1"/>
  <c r="AM281" i="50" a="1"/>
  <c r="AN107" i="50" a="1"/>
  <c r="AN52" i="50" a="1"/>
  <c r="AN222" i="50" a="1"/>
  <c r="AM248" i="50" a="1"/>
  <c r="AN168" i="50" a="1"/>
  <c r="AM235" i="50" a="1"/>
  <c r="AN315" i="50" a="1"/>
  <c r="AM101" i="50" a="1"/>
  <c r="AN154" i="50" a="1"/>
  <c r="AM147" i="50" a="1"/>
  <c r="AN294" i="50" a="1"/>
  <c r="AN123" i="50" a="1"/>
  <c r="AM51" i="50" a="1"/>
  <c r="AM305" i="50" a="1"/>
  <c r="AN80" i="50" a="1"/>
  <c r="AN231" i="50" a="1"/>
  <c r="AM25" i="50" a="1"/>
  <c r="AM309" i="50" a="1"/>
  <c r="AM26" i="50" a="1"/>
  <c r="AM226" i="50" a="1"/>
  <c r="AM295" i="50" a="1"/>
  <c r="AN136" i="50" a="1"/>
  <c r="AN78" i="50" a="1"/>
  <c r="AM156" i="50" a="1"/>
  <c r="AN240" i="50" a="1"/>
  <c r="AM200" i="50" a="1"/>
  <c r="AN212" i="50" a="1"/>
  <c r="AN153" i="50" a="1"/>
  <c r="AM251" i="50" a="1"/>
  <c r="AN121" i="50" a="1"/>
  <c r="AN213" i="50" a="1"/>
  <c r="AM180" i="50" a="1"/>
  <c r="AN130" i="50" a="1"/>
  <c r="AN299" i="50" a="1"/>
  <c r="AN39" i="50" a="1"/>
  <c r="AN293" i="50" a="1"/>
  <c r="AM249" i="50" a="1"/>
  <c r="AM130" i="50" a="1"/>
  <c r="AN271" i="50" a="1"/>
  <c r="AN49" i="50" a="1"/>
  <c r="AN237" i="50" a="1"/>
  <c r="AM282" i="50" a="1"/>
  <c r="AN147" i="50" a="1"/>
  <c r="AN60" i="50" a="1"/>
  <c r="AM28" i="50" a="1"/>
  <c r="AM157" i="50" a="1"/>
  <c r="AM195" i="50" a="1"/>
  <c r="AM78" i="50" a="1"/>
  <c r="AN289" i="50" a="1"/>
  <c r="AM315" i="50" a="1"/>
  <c r="AN46" i="50" a="1"/>
  <c r="AM118" i="50" a="1"/>
  <c r="AM256" i="50" a="1"/>
  <c r="AM197" i="50" a="1"/>
  <c r="AM237" i="50" a="1"/>
  <c r="AM223" i="50" a="1"/>
  <c r="AM74" i="50" a="1"/>
  <c r="AM225" i="50" a="1"/>
  <c r="AN51" i="50" a="1"/>
  <c r="AM137" i="50" a="1"/>
  <c r="AN303" i="50" a="1"/>
  <c r="AN41" i="50" a="1"/>
  <c r="AN145" i="50" a="1"/>
  <c r="AM291" i="50" a="1"/>
  <c r="AN190" i="50" a="1"/>
  <c r="AN291" i="50" a="1"/>
  <c r="AM247" i="50" a="1"/>
  <c r="AM212" i="50" a="1"/>
  <c r="AM98" i="50" a="1"/>
  <c r="AN113" i="50" a="1"/>
  <c r="AN189" i="50" a="1"/>
  <c r="AN22" i="50" a="1"/>
  <c r="AN243" i="50" a="1"/>
  <c r="AN115" i="50" a="1"/>
  <c r="AM216" i="50" a="1"/>
  <c r="AM149" i="50" a="1"/>
  <c r="AM84" i="50" a="1"/>
  <c r="AN224" i="50" a="1"/>
  <c r="AM286" i="50" a="1"/>
  <c r="AM182" i="50" a="1"/>
  <c r="AM239" i="50" a="1"/>
  <c r="AM205" i="50" a="1"/>
  <c r="AN301" i="50" a="1"/>
  <c r="AN141" i="50" a="1"/>
  <c r="AN163" i="50" a="1"/>
  <c r="AM250" i="50" a="1"/>
  <c r="AM240" i="50" a="1"/>
  <c r="AN171" i="50" a="1"/>
  <c r="AN254" i="50" a="1"/>
  <c r="AN312" i="50" a="1"/>
  <c r="AN321" i="50" a="1"/>
  <c r="AM211" i="50" a="1"/>
  <c r="AN50" i="50" a="1"/>
  <c r="AN142" i="50" a="1"/>
  <c r="AM110" i="50" a="1"/>
  <c r="AM119" i="50" a="1"/>
  <c r="AN31" i="50" a="1"/>
  <c r="AN244" i="50" a="1"/>
  <c r="AM296" i="50" a="1"/>
  <c r="AN195" i="50" a="1"/>
  <c r="AN119" i="50" a="1"/>
  <c r="AN84" i="50" a="1"/>
  <c r="AN235" i="50" a="1"/>
  <c r="AM38" i="50" a="1"/>
  <c r="AN282" i="50" a="1"/>
  <c r="AN211" i="50" a="1"/>
  <c r="AN229" i="50" a="1"/>
  <c r="AN245" i="50" a="1"/>
  <c r="AM262" i="50" a="1"/>
  <c r="AM154" i="50" a="1"/>
  <c r="AM135" i="50" a="1"/>
  <c r="AM145" i="50" a="1"/>
  <c r="AN109" i="50" a="1"/>
  <c r="AN242" i="50" a="1"/>
  <c r="AN215" i="50" a="1"/>
  <c r="AM185" i="50" a="1"/>
  <c r="AM91" i="50" a="1"/>
  <c r="AN202" i="50" a="1"/>
  <c r="AN191" i="50" a="1"/>
  <c r="AM122" i="50" a="1"/>
  <c r="AM140" i="50" a="1"/>
  <c r="AM148" i="50" a="1"/>
  <c r="AN295" i="50" a="1"/>
  <c r="AM114" i="50" a="1"/>
  <c r="AN85" i="50" a="1"/>
  <c r="AM113" i="50" a="1"/>
  <c r="AM44" i="50" a="1"/>
  <c r="AN128" i="50" a="1"/>
  <c r="AN157" i="50" a="1"/>
  <c r="AN218" i="50" a="1"/>
  <c r="AN253" i="50" a="1"/>
  <c r="AN256" i="50" a="1"/>
  <c r="AM174" i="50" a="1"/>
  <c r="AN35" i="50" a="1"/>
  <c r="AN54" i="50" a="1"/>
  <c r="AM67" i="50" a="1"/>
  <c r="AM233" i="50" a="1"/>
  <c r="AN252" i="50" a="1"/>
  <c r="AN306" i="50" a="1"/>
  <c r="AN249" i="50" a="1"/>
  <c r="AN270" i="50" a="1"/>
  <c r="AM177" i="50" a="1"/>
  <c r="AM219" i="50" a="1"/>
  <c r="AM22" i="50" a="1"/>
  <c r="AM56" i="50" a="1"/>
  <c r="AN302" i="50" a="1"/>
  <c r="AM167" i="50" a="1"/>
  <c r="AN227" i="50" a="1"/>
  <c r="AM35" i="50" a="1"/>
  <c r="AN248" i="50" a="1"/>
  <c r="AN83" i="50" a="1"/>
  <c r="AN28" i="50" a="1"/>
  <c r="AN48" i="50" a="1"/>
  <c r="AN139" i="50" a="1"/>
  <c r="AM201" i="50" a="1"/>
  <c r="AM166" i="50" a="1"/>
  <c r="AM57" i="50" a="1"/>
  <c r="AM132" i="50" a="1"/>
  <c r="AM153" i="50" a="1"/>
  <c r="AN111" i="50" a="1"/>
  <c r="AM159" i="50" a="1"/>
  <c r="AN47" i="50" a="1"/>
  <c r="AM160" i="50" a="1"/>
  <c r="AN133" i="50" a="1"/>
  <c r="AN230" i="50" a="1"/>
  <c r="AM47" i="50" a="1"/>
  <c r="AN187" i="50" a="1"/>
  <c r="AM261" i="50" a="1"/>
  <c r="AM33" i="50" a="1"/>
  <c r="AN144" i="50" a="1"/>
  <c r="AN57" i="50" a="1"/>
  <c r="AN182" i="50" a="1"/>
  <c r="AN117" i="50" a="1"/>
  <c r="AU22" i="50" a="1"/>
  <c r="AN221" i="50" a="1"/>
  <c r="AN71" i="50" a="1"/>
  <c r="AN239" i="50" a="1"/>
  <c r="AN160" i="50" a="1"/>
  <c r="AM46" i="50" a="1"/>
  <c r="AN63" i="50" a="1"/>
  <c r="AM306" i="50" a="1"/>
  <c r="AN125" i="50" a="1"/>
  <c r="AN217" i="50" a="1"/>
  <c r="AN203" i="50" a="1"/>
  <c r="AM303" i="50" a="1"/>
  <c r="AM89" i="50" a="1"/>
  <c r="AN152" i="50" a="1"/>
  <c r="AN170" i="50" a="1"/>
  <c r="AN279" i="50" a="1"/>
  <c r="AN126" i="50" a="1"/>
  <c r="AM173" i="50" a="1"/>
  <c r="AM257" i="50" a="1"/>
  <c r="AM54" i="50" a="1"/>
  <c r="AN204" i="50" a="1"/>
  <c r="AM213" i="50" a="1"/>
  <c r="AN193" i="50" a="1"/>
  <c r="AN265" i="50" a="1"/>
  <c r="AM71" i="50" a="1"/>
  <c r="AN24" i="50" a="1"/>
  <c r="AN274" i="50" a="1"/>
  <c r="AN263" i="50" a="1"/>
  <c r="AN34" i="50" a="1"/>
  <c r="AN311" i="50" a="1"/>
  <c r="AM40" i="50" a="1"/>
  <c r="AN77" i="50" a="1"/>
  <c r="AN166" i="50" a="1"/>
  <c r="AN320" i="50" a="1"/>
  <c r="AN284" i="50" a="1"/>
  <c r="AM228" i="50" a="1"/>
  <c r="AM102" i="50" a="1"/>
  <c r="AM50" i="50" a="1"/>
  <c r="AM277" i="50" a="1"/>
  <c r="AN257" i="50" a="1"/>
  <c r="AM161" i="50" a="1"/>
  <c r="AM103" i="50" a="1"/>
  <c r="AN309" i="50" a="1"/>
  <c r="AN87" i="50" a="1"/>
  <c r="AM280" i="50" a="1"/>
  <c r="AN305" i="50" a="1"/>
  <c r="AN290" i="50" a="1"/>
  <c r="AN110" i="50" a="1"/>
  <c r="AN81" i="50" a="1"/>
  <c r="AN158" i="50" a="1"/>
  <c r="AM42" i="50" a="1"/>
  <c r="AN59" i="50" a="1"/>
  <c r="AN70" i="50" a="1"/>
  <c r="AN208" i="50" a="1"/>
  <c r="AM255" i="50" a="1"/>
  <c r="AM52" i="50" a="1"/>
  <c r="AN286" i="50" a="1"/>
  <c r="AM188" i="50" a="1"/>
  <c r="AN185" i="50" a="1"/>
  <c r="AM61" i="50" a="1"/>
  <c r="AM170" i="50" a="1"/>
  <c r="AN29" i="50" a="1"/>
  <c r="AM69" i="50" a="1"/>
  <c r="AN95" i="50" a="1"/>
  <c r="AM143" i="50" a="1"/>
  <c r="AN129" i="50" a="1"/>
  <c r="AM186" i="50" a="1"/>
  <c r="AN53" i="50" a="1"/>
  <c r="AN25" i="50" a="1"/>
  <c r="AN255" i="50" a="1"/>
  <c r="AN96" i="50" a="1"/>
  <c r="AN82" i="50" a="1"/>
  <c r="AN55" i="50" a="1"/>
  <c r="AM125" i="50" a="1"/>
  <c r="AM289" i="50" a="1"/>
  <c r="AM104" i="50" a="1"/>
  <c r="AN200" i="50" a="1"/>
  <c r="AN220" i="50" a="1"/>
  <c r="AN184" i="50" a="1"/>
  <c r="AM242" i="50" a="1"/>
  <c r="AM272" i="50" a="1"/>
  <c r="AM176" i="50" a="1"/>
  <c r="AM55" i="50" a="1"/>
  <c r="AN97" i="50" a="1"/>
  <c r="AN86" i="50" a="1"/>
  <c r="AN45" i="50" a="1"/>
  <c r="AM90" i="50" a="1"/>
  <c r="AN238" i="50" a="1"/>
  <c r="AN223" i="50" a="1"/>
  <c r="AN269" i="50" a="1"/>
  <c r="AN316" i="50" a="1"/>
  <c r="AM158" i="50" a="1"/>
  <c r="AM45" i="50" a="1"/>
  <c r="AN225" i="50" a="1"/>
  <c r="AN196" i="50" a="1"/>
  <c r="AM297" i="50" a="1"/>
  <c r="AM271" i="50" a="1"/>
  <c r="AM87" i="50" a="1"/>
  <c r="AM307" i="50" a="1"/>
  <c r="AM168" i="50" a="1"/>
  <c r="AN314" i="50" a="1"/>
  <c r="AM191" i="50" a="1"/>
  <c r="AN105" i="50" a="1"/>
  <c r="AN58" i="50" a="1"/>
  <c r="AN201" i="50" a="1"/>
  <c r="AN226" i="50" a="1"/>
  <c r="AM184" i="50" a="1"/>
  <c r="AN167" i="50" a="1"/>
  <c r="AM152" i="50" a="1"/>
  <c r="AM192" i="50" a="1"/>
  <c r="AM231" i="50" a="1"/>
  <c r="AM60" i="50" a="1"/>
  <c r="AM284" i="50" a="1"/>
  <c r="AM107" i="50" a="1"/>
  <c r="AN198" i="50" a="1"/>
  <c r="AN192" i="50" a="1"/>
  <c r="AM245" i="50" a="1"/>
  <c r="AM202" i="50" a="1"/>
  <c r="AN194" i="50" a="1"/>
  <c r="AM62" i="50" a="1"/>
  <c r="AM313" i="50" a="1"/>
  <c r="AN250" i="50" a="1"/>
  <c r="AM31" i="50" a="1"/>
  <c r="AM81" i="50" a="1"/>
  <c r="AM37" i="50" a="1"/>
  <c r="AM178" i="50" a="1"/>
  <c r="AM320" i="50" a="1"/>
  <c r="AN246" i="50" a="1"/>
  <c r="AM253" i="50" a="1"/>
  <c r="AM181" i="50" a="1"/>
  <c r="AM76" i="50" a="1"/>
  <c r="AM276" i="50" a="1"/>
  <c r="AM260" i="50" a="1"/>
  <c r="AM217" i="50" a="1"/>
  <c r="AM73" i="50" a="1"/>
  <c r="AN277" i="50" a="1"/>
  <c r="AN266" i="50" a="1"/>
  <c r="AN188" i="50" a="1"/>
  <c r="AN183" i="50" a="1"/>
  <c r="AM115" i="50" a="1"/>
  <c r="AM88" i="50" a="1"/>
  <c r="AM203" i="50" a="1"/>
  <c r="AM32" i="50" a="1"/>
  <c r="AM187" i="50" a="1"/>
  <c r="AM279" i="50" a="1"/>
  <c r="AN94" i="50" a="1"/>
  <c r="AM121" i="50" a="1"/>
  <c r="AM27" i="50" a="1"/>
  <c r="AN178" i="50" a="1"/>
  <c r="AN313" i="50" a="1"/>
  <c r="AM85" i="50" a="1"/>
  <c r="AM206" i="50" a="1"/>
  <c r="AN210" i="50" a="1"/>
  <c r="AN292" i="50" a="1"/>
  <c r="AM310" i="50" a="1"/>
  <c r="AM301" i="50" a="1"/>
  <c r="AM221" i="50" a="1"/>
  <c r="AN68" i="50" a="1"/>
  <c r="AM108" i="50" a="1"/>
  <c r="AN112" i="50" a="1"/>
  <c r="AM151" i="50" a="1"/>
  <c r="AM230" i="50" a="1"/>
  <c r="AM29" i="50" a="1"/>
  <c r="AN264" i="50" a="1"/>
  <c r="AN140" i="50" a="1"/>
  <c r="AM138" i="50" a="1"/>
  <c r="AM105" i="50" a="1"/>
  <c r="AM317" i="50" a="1"/>
  <c r="AM299" i="50" a="1"/>
  <c r="AM120" i="50" a="1"/>
  <c r="AM129" i="50" a="1"/>
  <c r="AM316" i="50" a="1"/>
  <c r="AN159" i="50" a="1"/>
  <c r="AN272" i="50" a="1"/>
  <c r="AM212" i="50" l="1"/>
  <c r="AN196" i="50"/>
  <c r="AM67" i="50"/>
  <c r="AN57" i="50"/>
  <c r="AN304" i="50"/>
  <c r="AN98" i="50"/>
  <c r="AM109" i="50"/>
  <c r="AM269" i="50"/>
  <c r="AN45" i="50"/>
  <c r="AN258" i="50"/>
  <c r="AN127" i="50"/>
  <c r="AN244" i="50"/>
  <c r="AN158" i="50"/>
  <c r="AN296" i="50"/>
  <c r="AM285" i="50"/>
  <c r="AN51" i="50"/>
  <c r="AN104" i="50"/>
  <c r="AN232" i="50"/>
  <c r="AM122" i="50"/>
  <c r="AN272" i="50"/>
  <c r="AM267" i="50"/>
  <c r="AN156" i="50"/>
  <c r="AN174" i="50"/>
  <c r="AM206" i="50"/>
  <c r="AM268" i="50"/>
  <c r="AM50" i="50"/>
  <c r="AM162" i="50"/>
  <c r="AM266" i="50"/>
  <c r="AM136" i="50"/>
  <c r="AN203" i="50"/>
  <c r="AM224" i="50"/>
  <c r="AM203" i="50"/>
  <c r="AM220" i="50"/>
  <c r="AN274" i="50"/>
  <c r="AM163" i="50"/>
  <c r="AU22" i="50"/>
  <c r="AM265" i="50"/>
  <c r="AN306" i="50"/>
  <c r="AM222" i="50"/>
  <c r="AM76" i="50"/>
  <c r="AN94" i="50"/>
  <c r="AN93" i="50"/>
  <c r="AM141" i="50"/>
  <c r="AN256" i="50"/>
  <c r="AN108" i="50"/>
  <c r="AM223" i="50"/>
  <c r="AN83" i="50"/>
  <c r="AN148" i="50"/>
  <c r="AN114" i="50"/>
  <c r="AN216" i="50"/>
  <c r="AN56" i="50"/>
  <c r="AM29" i="50"/>
  <c r="AM81" i="50"/>
  <c r="AM128" i="50"/>
  <c r="AN215" i="50"/>
  <c r="AM54" i="50"/>
  <c r="AM66" i="50"/>
  <c r="AM164" i="50"/>
  <c r="AN192" i="50"/>
  <c r="AN270" i="50"/>
  <c r="AM284" i="50"/>
  <c r="AN295" i="50"/>
  <c r="AM38" i="50"/>
  <c r="AN125" i="50"/>
  <c r="AM318" i="50"/>
  <c r="AN33" i="50"/>
  <c r="AN201" i="50"/>
  <c r="AM196" i="50"/>
  <c r="AM133" i="50"/>
  <c r="AM105" i="50"/>
  <c r="AM64" i="50"/>
  <c r="AN259" i="50"/>
  <c r="AN81" i="50"/>
  <c r="AN241" i="50"/>
  <c r="AN101" i="50"/>
  <c r="AN163" i="50"/>
  <c r="AM160" i="50"/>
  <c r="AM304" i="50"/>
  <c r="AN275" i="50"/>
  <c r="AM214" i="50"/>
  <c r="AM236" i="50"/>
  <c r="AN302" i="50"/>
  <c r="AM201" i="50"/>
  <c r="AN289" i="50"/>
  <c r="AN92" i="50"/>
  <c r="AN178" i="50"/>
  <c r="AN44" i="50"/>
  <c r="AN200" i="50"/>
  <c r="AM68" i="50"/>
  <c r="AM154" i="50"/>
  <c r="AN65" i="50"/>
  <c r="AN165" i="50"/>
  <c r="AM150" i="50"/>
  <c r="AN43" i="50"/>
  <c r="AN182" i="50"/>
  <c r="AM61" i="50"/>
  <c r="AM134" i="50"/>
  <c r="AM296" i="50"/>
  <c r="AN159" i="50"/>
  <c r="AN277" i="50"/>
  <c r="AN25" i="50"/>
  <c r="AM83" i="50"/>
  <c r="AN264" i="50"/>
  <c r="AN218" i="50"/>
  <c r="AN207" i="50"/>
  <c r="AN115" i="50"/>
  <c r="AM129" i="50"/>
  <c r="AM170" i="50"/>
  <c r="AM256" i="50"/>
  <c r="AM234" i="50"/>
  <c r="AM315" i="50"/>
  <c r="AN179" i="50"/>
  <c r="AN194" i="50"/>
  <c r="AM75" i="50"/>
  <c r="AM191" i="50"/>
  <c r="AM202" i="50"/>
  <c r="AN121" i="50"/>
  <c r="AM165" i="50"/>
  <c r="AN231" i="50"/>
  <c r="AM211" i="50"/>
  <c r="AN167" i="50"/>
  <c r="AM139" i="50"/>
  <c r="AM255" i="50"/>
  <c r="AN80" i="50"/>
  <c r="AM215" i="50"/>
  <c r="AN227" i="50"/>
  <c r="AN168" i="50"/>
  <c r="AM239" i="50"/>
  <c r="AN38" i="50"/>
  <c r="AN187" i="50"/>
  <c r="AN103" i="50"/>
  <c r="AN105" i="50"/>
  <c r="AM93" i="50"/>
  <c r="AN183" i="50"/>
  <c r="AN35" i="50"/>
  <c r="AM87" i="50"/>
  <c r="AM132" i="50"/>
  <c r="AM108" i="50"/>
  <c r="AN283" i="50"/>
  <c r="AM169" i="50"/>
  <c r="AN41" i="50"/>
  <c r="AN190" i="50"/>
  <c r="AM112" i="50"/>
  <c r="AM198" i="50"/>
  <c r="AM229" i="50"/>
  <c r="AM28" i="50"/>
  <c r="AM197" i="50"/>
  <c r="AM92" i="50"/>
  <c r="AM310" i="50"/>
  <c r="AM145" i="50"/>
  <c r="AM243" i="50"/>
  <c r="AN290" i="50"/>
  <c r="AN255" i="50"/>
  <c r="AN294" i="50"/>
  <c r="AM121" i="50"/>
  <c r="AN321" i="50"/>
  <c r="AM279" i="50"/>
  <c r="AM140" i="50"/>
  <c r="AN189" i="50"/>
  <c r="AM161" i="50"/>
  <c r="AN53" i="50"/>
  <c r="AM281" i="50"/>
  <c r="AN266" i="50"/>
  <c r="AM248" i="50"/>
  <c r="AM217" i="50"/>
  <c r="AN184" i="50"/>
  <c r="AN223" i="50"/>
  <c r="AN311" i="50"/>
  <c r="AM272" i="50"/>
  <c r="AM280" i="50"/>
  <c r="AM178" i="50"/>
  <c r="AM184" i="50"/>
  <c r="AM264" i="50"/>
  <c r="AN246" i="50"/>
  <c r="AM43" i="50"/>
  <c r="AN229" i="50"/>
  <c r="AM251" i="50"/>
  <c r="AN106" i="50"/>
  <c r="AM114" i="50"/>
  <c r="AN211" i="50"/>
  <c r="AN193" i="50"/>
  <c r="AN119" i="50"/>
  <c r="AN69" i="50"/>
  <c r="AN236" i="50"/>
  <c r="AN212" i="50"/>
  <c r="AM124" i="50"/>
  <c r="AN170" i="50"/>
  <c r="AM190" i="50"/>
  <c r="AM303" i="50"/>
  <c r="AM55" i="50"/>
  <c r="AM111" i="50"/>
  <c r="AN169" i="50"/>
  <c r="AM321" i="50"/>
  <c r="AN291" i="50"/>
  <c r="AN239" i="50"/>
  <c r="AM113" i="50"/>
  <c r="AM69" i="50"/>
  <c r="AN308" i="50"/>
  <c r="AM172" i="50"/>
  <c r="AM24" i="50"/>
  <c r="AM74" i="50"/>
  <c r="AN97" i="50"/>
  <c r="AN140" i="50"/>
  <c r="AM254" i="50"/>
  <c r="AN273" i="50"/>
  <c r="AN237" i="50"/>
  <c r="AM186" i="50"/>
  <c r="AN122" i="50"/>
  <c r="AN313" i="50"/>
  <c r="AN131" i="50"/>
  <c r="AM287" i="50"/>
  <c r="AM182" i="50"/>
  <c r="AM242" i="50"/>
  <c r="AN299" i="50"/>
  <c r="AM233" i="50"/>
  <c r="AM35" i="50"/>
  <c r="AM115" i="50"/>
  <c r="AM298" i="50"/>
  <c r="AN82" i="50"/>
  <c r="AM80" i="50"/>
  <c r="AN161" i="50"/>
  <c r="AN145" i="50"/>
  <c r="AN162" i="50"/>
  <c r="AN109" i="50"/>
  <c r="AM253" i="50"/>
  <c r="AN67" i="50"/>
  <c r="AN185" i="50"/>
  <c r="AM309" i="50"/>
  <c r="AM263" i="50"/>
  <c r="AN276" i="50"/>
  <c r="AN78" i="50"/>
  <c r="AN84" i="50"/>
  <c r="AN176" i="50"/>
  <c r="AN48" i="50"/>
  <c r="AN157" i="50"/>
  <c r="AM47" i="50"/>
  <c r="AM26" i="50"/>
  <c r="AM270" i="50"/>
  <c r="AM175" i="50"/>
  <c r="AM219" i="50"/>
  <c r="AM173" i="50"/>
  <c r="AN205" i="50"/>
  <c r="AN320" i="50"/>
  <c r="AM300" i="50"/>
  <c r="AM110" i="50"/>
  <c r="AN126" i="50"/>
  <c r="AM72" i="50"/>
  <c r="AN209" i="50"/>
  <c r="AN63" i="50"/>
  <c r="AM317" i="50"/>
  <c r="AM240" i="50"/>
  <c r="AM179" i="50"/>
  <c r="AN141" i="50"/>
  <c r="AM126" i="50"/>
  <c r="AM79" i="50"/>
  <c r="AN175" i="50"/>
  <c r="AM138" i="50"/>
  <c r="AN62" i="50"/>
  <c r="AM149" i="50"/>
  <c r="AM271" i="50"/>
  <c r="AN314" i="50"/>
  <c r="AN149" i="50"/>
  <c r="AN42" i="50"/>
  <c r="AN144" i="50"/>
  <c r="AV22" i="50"/>
  <c r="AN298" i="50"/>
  <c r="AM45" i="50"/>
  <c r="AM57" i="50"/>
  <c r="AN102" i="50"/>
  <c r="AN285" i="50"/>
  <c r="AN250" i="50"/>
  <c r="AM230" i="50"/>
  <c r="AM289" i="50"/>
  <c r="AN214" i="50"/>
  <c r="AN150" i="50"/>
  <c r="AN303" i="50"/>
  <c r="AN36" i="50"/>
  <c r="AM36" i="50"/>
  <c r="AM231" i="50"/>
  <c r="AM78" i="50"/>
  <c r="AM183" i="50"/>
  <c r="AN288" i="50"/>
  <c r="AN305" i="50"/>
  <c r="AN315" i="50"/>
  <c r="AN87" i="50"/>
  <c r="AN151" i="50"/>
  <c r="AM131" i="50"/>
  <c r="AM305" i="50"/>
  <c r="AN213" i="50"/>
  <c r="AN197" i="50"/>
  <c r="AM228" i="50"/>
  <c r="AN68" i="50"/>
  <c r="AN166" i="50"/>
  <c r="AN281" i="50"/>
  <c r="AM159" i="50"/>
  <c r="AN222" i="50"/>
  <c r="AN267" i="50"/>
  <c r="AN89" i="50"/>
  <c r="AM71" i="50"/>
  <c r="AM30" i="50"/>
  <c r="AN72" i="50"/>
  <c r="AM46" i="50"/>
  <c r="AM208" i="50"/>
  <c r="AN133" i="50"/>
  <c r="AN312" i="50"/>
  <c r="AM245" i="50"/>
  <c r="AM91" i="50"/>
  <c r="AM290" i="50"/>
  <c r="AN100" i="50"/>
  <c r="AM117" i="50"/>
  <c r="AN96" i="50"/>
  <c r="AN137" i="50"/>
  <c r="AM286" i="50"/>
  <c r="AN226" i="50"/>
  <c r="AM116" i="50"/>
  <c r="AM106" i="50"/>
  <c r="AM319" i="50"/>
  <c r="AM313" i="50"/>
  <c r="AM316" i="50"/>
  <c r="AN319" i="50"/>
  <c r="AM297" i="50"/>
  <c r="AN135" i="50"/>
  <c r="AN251" i="50"/>
  <c r="AN292" i="50"/>
  <c r="AN59" i="50"/>
  <c r="AM94" i="50"/>
  <c r="AN134" i="50"/>
  <c r="AM98" i="50"/>
  <c r="AM99" i="50"/>
  <c r="AM166" i="50"/>
  <c r="AM148" i="50"/>
  <c r="AM189" i="50"/>
  <c r="AM288" i="50"/>
  <c r="AM33" i="50"/>
  <c r="AM52" i="50"/>
  <c r="AM90" i="50"/>
  <c r="AM226" i="50"/>
  <c r="AM39" i="50"/>
  <c r="AN164" i="50"/>
  <c r="AN219" i="50"/>
  <c r="AN28" i="50"/>
  <c r="AM192" i="50"/>
  <c r="AN208" i="50"/>
  <c r="AM144" i="50"/>
  <c r="AM277" i="50"/>
  <c r="AM274" i="50"/>
  <c r="AM22" i="50"/>
  <c r="AN113" i="50"/>
  <c r="AM185" i="50"/>
  <c r="AN142" i="50"/>
  <c r="AM34" i="50"/>
  <c r="AN88" i="50"/>
  <c r="AN263" i="50"/>
  <c r="AN249" i="50"/>
  <c r="AN245" i="50"/>
  <c r="AN60" i="50"/>
  <c r="AN282" i="50"/>
  <c r="AN262" i="50"/>
  <c r="AM137" i="50"/>
  <c r="AM283" i="50"/>
  <c r="AN132" i="50"/>
  <c r="AM89" i="50"/>
  <c r="AN31" i="50"/>
  <c r="AM177" i="50"/>
  <c r="AM218" i="50"/>
  <c r="AM151" i="50"/>
  <c r="AN210" i="50"/>
  <c r="AM252" i="50"/>
  <c r="AM302" i="50"/>
  <c r="AM44" i="50"/>
  <c r="AM118" i="50"/>
  <c r="AM187" i="50"/>
  <c r="AM95" i="50"/>
  <c r="AN76" i="50"/>
  <c r="AM32" i="50"/>
  <c r="AM120" i="50"/>
  <c r="AN66" i="50"/>
  <c r="AN70" i="50"/>
  <c r="AM232" i="50"/>
  <c r="AN257" i="50"/>
  <c r="AM278" i="50"/>
  <c r="AM180" i="50"/>
  <c r="AM276" i="50"/>
  <c r="AM249" i="50"/>
  <c r="AM42" i="50"/>
  <c r="AM258" i="50"/>
  <c r="AN177" i="50"/>
  <c r="AN238" i="50"/>
  <c r="AN117" i="50"/>
  <c r="AN301" i="50"/>
  <c r="AM311" i="50"/>
  <c r="AN297" i="50"/>
  <c r="AM244" i="50"/>
  <c r="AM237" i="50"/>
  <c r="AN230" i="50"/>
  <c r="AM204" i="50"/>
  <c r="AM207" i="50"/>
  <c r="AN143" i="50"/>
  <c r="AN204" i="50"/>
  <c r="AN268" i="50"/>
  <c r="AM167" i="50"/>
  <c r="AM27" i="50"/>
  <c r="AM221" i="50"/>
  <c r="AM147" i="50"/>
  <c r="AN46" i="50"/>
  <c r="AM195" i="50"/>
  <c r="AN217" i="50"/>
  <c r="AN280" i="50"/>
  <c r="AM135" i="50"/>
  <c r="AN188" i="50"/>
  <c r="AN147" i="50"/>
  <c r="AN49" i="50"/>
  <c r="AM25" i="50"/>
  <c r="AN111" i="50"/>
  <c r="AN54" i="50"/>
  <c r="AN138" i="50"/>
  <c r="AN195" i="50"/>
  <c r="AM320" i="50"/>
  <c r="AN154" i="50"/>
  <c r="AM260" i="50"/>
  <c r="AM235" i="50"/>
  <c r="AM168" i="50"/>
  <c r="AN180" i="50"/>
  <c r="AN75" i="50"/>
  <c r="AN221" i="50"/>
  <c r="AM155" i="50"/>
  <c r="AM273" i="50"/>
  <c r="AN34" i="50"/>
  <c r="AM250" i="50"/>
  <c r="AM125" i="50"/>
  <c r="AN220" i="50"/>
  <c r="AM301" i="50"/>
  <c r="AM142" i="50"/>
  <c r="AN279" i="50"/>
  <c r="AM48" i="50"/>
  <c r="AM194" i="50"/>
  <c r="AM58" i="50"/>
  <c r="AN186" i="50"/>
  <c r="AN79" i="50"/>
  <c r="AM62" i="50"/>
  <c r="AN247" i="50"/>
  <c r="AN160" i="50"/>
  <c r="AM96" i="50"/>
  <c r="AM246" i="50"/>
  <c r="AM86" i="50"/>
  <c r="AM51" i="50"/>
  <c r="AM188" i="50"/>
  <c r="AM152" i="50"/>
  <c r="AM261" i="50"/>
  <c r="AN39" i="50"/>
  <c r="AN120" i="50"/>
  <c r="AN110" i="50"/>
  <c r="AN22" i="50"/>
  <c r="AM292" i="50"/>
  <c r="AM158" i="50"/>
  <c r="AN124" i="50"/>
  <c r="AN112" i="50"/>
  <c r="AM312" i="50"/>
  <c r="AM291" i="50"/>
  <c r="AN30" i="50"/>
  <c r="AN269" i="50"/>
  <c r="AN130" i="50"/>
  <c r="AN50" i="50"/>
  <c r="AM153" i="50"/>
  <c r="AM157" i="50"/>
  <c r="AN55" i="50"/>
  <c r="AM176" i="50"/>
  <c r="AM37" i="50"/>
  <c r="AM65" i="50"/>
  <c r="AM294" i="50"/>
  <c r="AM205" i="50"/>
  <c r="AN228" i="50"/>
  <c r="AN123" i="50"/>
  <c r="AM238" i="50"/>
  <c r="AN61" i="50"/>
  <c r="AM101" i="50"/>
  <c r="AM77" i="50"/>
  <c r="AN52" i="50"/>
  <c r="AM307" i="50"/>
  <c r="AM282" i="50"/>
  <c r="AN107" i="50"/>
  <c r="AN286" i="50"/>
  <c r="AM308" i="50"/>
  <c r="AN243" i="50"/>
  <c r="AN234" i="50"/>
  <c r="AM295" i="50"/>
  <c r="AM146" i="50"/>
  <c r="AM210" i="50"/>
  <c r="AM107" i="50"/>
  <c r="AM73" i="50"/>
  <c r="AN278" i="50"/>
  <c r="AN73" i="50"/>
  <c r="AN71" i="50"/>
  <c r="AN74" i="50"/>
  <c r="AN191" i="50"/>
  <c r="AN91" i="50"/>
  <c r="AN32" i="50"/>
  <c r="AN171" i="50"/>
  <c r="AM53" i="50"/>
  <c r="AM209" i="50"/>
  <c r="AN271" i="50"/>
  <c r="AM200" i="50"/>
  <c r="AM103" i="50"/>
  <c r="AN206" i="50"/>
  <c r="AN172" i="50"/>
  <c r="AM84" i="50"/>
  <c r="AN129" i="50"/>
  <c r="AN316" i="50"/>
  <c r="AM143" i="50"/>
  <c r="AM193" i="50"/>
  <c r="AM40" i="50"/>
  <c r="AN287" i="50"/>
  <c r="AM247" i="50"/>
  <c r="AN225" i="50"/>
  <c r="AN293" i="50"/>
  <c r="AN27" i="50"/>
  <c r="AN146" i="50"/>
  <c r="AN309" i="50"/>
  <c r="AN284" i="50"/>
  <c r="AN99" i="50"/>
  <c r="AN86" i="50"/>
  <c r="AN26" i="50"/>
  <c r="AM293" i="50"/>
  <c r="AN85" i="50"/>
  <c r="AM171" i="50"/>
  <c r="AN153" i="50"/>
  <c r="AM49" i="50"/>
  <c r="AM225" i="50"/>
  <c r="AN318" i="50"/>
  <c r="AN202" i="50"/>
  <c r="AN40" i="50"/>
  <c r="AN300" i="50"/>
  <c r="AM314" i="50"/>
  <c r="AN155" i="50"/>
  <c r="AM127" i="50"/>
  <c r="AM85" i="50"/>
  <c r="AM97" i="50"/>
  <c r="AM102" i="50"/>
  <c r="AN173" i="50"/>
  <c r="AN233" i="50"/>
  <c r="AM59" i="50"/>
  <c r="AN265" i="50"/>
  <c r="AN240" i="50"/>
  <c r="AM88" i="50"/>
  <c r="AN37" i="50"/>
  <c r="AN24" i="50"/>
  <c r="AM275" i="50"/>
  <c r="AN90" i="50"/>
  <c r="AM63" i="50"/>
  <c r="AN77" i="50"/>
  <c r="AM241" i="50"/>
  <c r="AM181" i="50"/>
  <c r="AM174" i="50"/>
  <c r="AN199" i="50"/>
  <c r="AM23" i="50"/>
  <c r="AM100" i="50"/>
  <c r="AM216" i="50"/>
  <c r="AN254" i="50"/>
  <c r="AN248" i="50"/>
  <c r="AM119" i="50"/>
  <c r="AM130" i="50"/>
  <c r="AN261" i="50"/>
  <c r="AM41" i="50"/>
  <c r="AM213" i="50"/>
  <c r="AM31" i="50"/>
  <c r="AN252" i="50"/>
  <c r="AN242" i="50"/>
  <c r="AM257" i="50"/>
  <c r="AN95" i="50"/>
  <c r="AM70" i="50"/>
  <c r="AN198" i="50"/>
  <c r="AN116" i="50"/>
  <c r="AM60" i="50"/>
  <c r="AN224" i="50"/>
  <c r="AN235" i="50"/>
  <c r="AM306" i="50"/>
  <c r="AN260" i="50"/>
  <c r="AM156" i="50"/>
  <c r="AN58" i="50"/>
  <c r="AN152" i="50"/>
  <c r="AM123" i="50"/>
  <c r="AN253" i="50"/>
  <c r="AN118" i="50"/>
  <c r="AN29" i="50"/>
  <c r="AN136" i="50"/>
  <c r="AM227" i="50"/>
  <c r="AM199" i="50"/>
  <c r="AN181" i="50"/>
  <c r="AN47" i="50"/>
  <c r="AN128" i="50"/>
  <c r="AN64" i="50"/>
  <c r="AN307" i="50"/>
  <c r="AN317" i="50"/>
  <c r="AM56" i="50"/>
  <c r="AN139" i="50"/>
  <c r="AM299" i="50"/>
  <c r="AM82" i="50"/>
  <c r="AN310" i="50"/>
  <c r="AM259" i="50"/>
  <c r="AM104" i="50"/>
  <c r="AN23" i="50"/>
  <c r="AM262" i="5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tc={02F590E6-EEB2-46BE-9DC3-2DC0B99E990F}</author>
    <author>tc={5DB9DE17-0198-458D-9114-C031B0BCAC59}</author>
    <author>tc={D2A4362B-0F9E-4FA1-AE20-C8D727507549}</author>
    <author>tc={D9B30689-FC6F-4840-B9A8-DD19E4DE253A}</author>
    <author>tc={79018D3D-41EB-4FBB-87F7-B4F45C8A0DEC}</author>
    <author>tc={BB99335A-FDCB-4F67-B1EC-527BAE517395}</author>
    <author>tc={D1355F35-B3A0-4F45-95BB-D74DA90FD8BC}</author>
    <author>tc={5D206A90-05D0-498F-B5B0-BD53E34901E3}</author>
    <author>tc={52B8C131-DD0A-44B9-824C-AB295D32DAA1}</author>
    <author>tc={85522C1A-FA7F-4915-9B22-D03B6B2D5614}</author>
    <author>tc={68A3DC81-7950-4AD3-866D-6F7DC23FB58D}</author>
    <author>tc={E59E012E-A0BF-4E9C-9682-FC2E9261B4EE}</author>
    <author>tc={DC8E16F1-FFC2-4FBA-92D5-732B995A67E2}</author>
    <author>tc={2431CBA7-03CE-42C0-8D4E-EEA4C93AB301}</author>
    <author>tc={2574ED20-2493-4A1A-8D12-64AFF54D6CF7}</author>
    <author>tc={95F6FDDA-3221-4203-BB81-6A3F54E7D687}</author>
    <author>tc={4C1A54D2-4D08-4153-B72F-E2F98EB48546}</author>
  </authors>
  <commentList>
    <comment ref="H1" authorId="0" shapeId="0" xr:uid="{02F590E6-EEB2-46BE-9DC3-2DC0B99E990F}">
      <text>
        <t>[Threaded comment]
Your version of Excel allows you to read this threaded comment; however, any edits to it will get removed if the file is opened in a newer version of Excel. Learn more: https://go.microsoft.com/fwlink/?linkid=870924
Comment:
    we want to focus on actually demonstrated values, so don't use if it is just a review of other credits or "typical values"</t>
      </text>
    </comment>
    <comment ref="I1" authorId="1" shapeId="0" xr:uid="{5DB9DE17-0198-458D-9114-C031B0BCAC59}">
      <text>
        <t>[Threaded comment]
Your version of Excel allows you to read this threaded comment; however, any edits to it will get removed if the file is opened in a newer version of Excel. Learn more: https://go.microsoft.com/fwlink/?linkid=870924
Comment:
    Have the data been extracted onto at least one of the LRT, LRC or LRV tabs?</t>
      </text>
    </comment>
    <comment ref="A2" authorId="2" shapeId="0" xr:uid="{D2A4362B-0F9E-4FA1-AE20-C8D727507549}">
      <text>
        <t>[Threaded comment]
Your version of Excel allows you to read this threaded comment; however, any edits to it will get removed if the file is opened in a newer version of Excel. Learn more: https://go.microsoft.com/fwlink/?linkid=870924
Comment:
    @James Phillips add this one to the list as long as they isolate the LRV of the ultrafiltration process that follows the conventional activated sludge</t>
      </text>
    </comment>
    <comment ref="I9" authorId="3" shapeId="0" xr:uid="{D9B30689-FC6F-4840-B9A8-DD19E4DE253A}">
      <text>
        <t>[Threaded comment]
Your version of Excel allows you to read this threaded comment; however, any edits to it will get removed if the file is opened in a newer version of Excel. Learn more: https://go.microsoft.com/fwlink/?linkid=870924
Comment:
    @James Phillips can you download this paper, review for ONLY total LRV (i.e., not individual subprocesses within the MBR)? Also, I'd like to use a short summary of this paper's findings as an overview of MBR removal mechanisms in our paper. If you have time, try and summarize in 1 or 2 paragraphs (the shorter the better) the important points about removal capabilities of MBRs in the MBR section of our paper (I'll flag the section). These paragraphs can also be supplemented with findings of Branch et al., 2021</t>
      </text>
    </comment>
    <comment ref="A16" authorId="4" shapeId="0" xr:uid="{79018D3D-41EB-4FBB-87F7-B4F45C8A0DEC}">
      <text>
        <t>[Threaded comment]
Your version of Excel allows you to read this threaded comment; however, any edits to it will get removed if the file is opened in a newer version of Excel. Learn more: https://go.microsoft.com/fwlink/?linkid=870924
Comment:
    @James Phillips see if you have access to this, looks like just e coli and virus but we need bacteria for microfiltration</t>
      </text>
    </comment>
    <comment ref="A24" authorId="5" shapeId="0" xr:uid="{BB99335A-FDCB-4F67-B1EC-527BAE517395}">
      <text>
        <t>[Threaded comment]
Your version of Excel allows you to read this threaded comment; however, any edits to it will get removed if the file is opened in a newer version of Excel. Learn more: https://go.microsoft.com/fwlink/?linkid=870924
Comment:
    @James Phillips Add this to the list if you have access and if they isolate the filter unit from the UV unit</t>
      </text>
    </comment>
    <comment ref="H24" authorId="6" shapeId="0" xr:uid="{D1355F35-B3A0-4F45-95BB-D74DA90FD8BC}">
      <text>
        <t>[Threaded comment]
Your version of Excel allows you to read this threaded comment; however, any edits to it will get removed if the file is opened in a newer version of Excel. Learn more: https://go.microsoft.com/fwlink/?linkid=870924
Comment:
    @James Phillips take a look at the pdf in the UP folder, data is in the text, see the highlights for relevant information. For UV, make sure to note it’s a point of use system for a rainwater cistern</t>
      </text>
    </comment>
    <comment ref="A37" authorId="7" shapeId="0" xr:uid="{5D206A90-05D0-498F-B5B0-BD53E34901E3}">
      <text>
        <t xml:space="preserve">[Threaded comment]
Your version of Excel allows you to read this threaded comment; however, any edits to it will get removed if the file is opened in a newer version of Excel. Learn more: https://go.microsoft.com/fwlink/?linkid=870924
Comment:
    @James Phillips add this one to your list to review - pay particular attention to their conclusion that coliphage are not a good indicator of virus removal. This is contrary to other membrane or biofilm-based unit processes. 
https://cdnsciencepub.com/doi/abs/10.1139/W09-124
</t>
      </text>
    </comment>
    <comment ref="A39" authorId="8" shapeId="0" xr:uid="{52B8C131-DD0A-44B9-824C-AB295D32DAA1}">
      <text>
        <t>[Threaded comment]
Your version of Excel allows you to read this threaded comment; however, any edits to it will get removed if the file is opened in a newer version of Excel. Learn more: https://go.microsoft.com/fwlink/?linkid=870924
Comment:
    Classify as "cartridge filter" and note the range of pore sizes/filter materials that are included in that stage</t>
      </text>
    </comment>
    <comment ref="A46" authorId="9" shapeId="0" xr:uid="{85522C1A-FA7F-4915-9B22-D03B6B2D5614}">
      <text>
        <t>[Threaded comment]
Your version of Excel allows you to read this threaded comment; however, any edits to it will get removed if the file is opened in a newer version of Excel. Learn more: https://go.microsoft.com/fwlink/?linkid=870924
Comment:
    this may be NRMMC; EPHC; NHMRC</t>
      </text>
    </comment>
    <comment ref="A48" authorId="10" shapeId="0" xr:uid="{68A3DC81-7950-4AD3-866D-6F7DC23FB58D}">
      <text>
        <t>[Threaded comment]
Your version of Excel allows you to read this threaded comment; however, any edits to it will get removed if the file is opened in a newer version of Excel. Learn more: https://go.microsoft.com/fwlink/?linkid=870924
Comment:
    @James Phillips take a look at the SI, Table S2 for the nanofilter LRVs. Note they compared running secondary effluent through an existing reuse system, or through nanofiltration. Note bugs as Total Bacteria, Total Live Bacteria, Total Dead Bacteria. There's also an interesting discussion about how their sampling procedure likely underestimates the nanofilter effectiveness, as well as a discussion of antibiotic resistant genes - I don't think we want to go there in great detail (beyond scope) but it is something to be aware of as we will likely get there in future contracts
Reply:
    Also I went ahead and downloaded this pdf and SI, in the UP folder</t>
      </text>
    </comment>
    <comment ref="A49" authorId="11" shapeId="0" xr:uid="{E59E012E-A0BF-4E9C-9682-FC2E9261B4EE}">
      <text>
        <t>[Threaded comment]
Your version of Excel allows you to read this threaded comment; however, any edits to it will get removed if the file is opened in a newer version of Excel. Learn more: https://go.microsoft.com/fwlink/?linkid=870924
Comment:
    @James Phillips just input sand filter and peat filter, Morgan will do CW. Note discussion of pH and virus for peat filter
Reply:
    The author names are funky on this, seems like they milked the content for multiple papers. PDF is titled Olson et al., 2005 (Axler is the second author) but google scholar thinks the citation has Axler as first author</t>
      </text>
    </comment>
    <comment ref="A56" authorId="12" shapeId="0" xr:uid="{DC8E16F1-FFC2-4FBA-92D5-732B995A67E2}">
      <text>
        <t>[Threaded comment]
Your version of Excel allows you to read this threaded comment; however, any edits to it will get removed if the file is opened in a newer version of Excel. Learn more: https://go.microsoft.com/fwlink/?linkid=870924
Comment:
    @James Phillips these are the same Minnesota systems as Axler/Olson et al., 2005, but with seeded salmonella. Ignore FC as I think we already have that from Axler/Olson (but may be worth checking)
Reply:
    @Sam Arden I think the Salmonella results from this paper are actually the same ones in Olson. It does look like the fecal coliform results are different so I put that there instead</t>
      </text>
    </comment>
    <comment ref="A58" authorId="13" shapeId="0" xr:uid="{2431CBA7-03CE-42C0-8D4E-EEA4C93AB301}">
      <text>
        <t>[Threaded comment]
Your version of Excel allows you to read this threaded comment; however, any edits to it will get removed if the file is opened in a newer version of Excel. Learn more: https://go.microsoft.com/fwlink/?linkid=870924
Comment:
    @James Phillips see if you have access to this one - if you do, see if there is sufficient design information for the processes that the study (MBR and AS). If yes, go ahead and review. Also, make sure to download a copy of the pdf for our records</t>
      </text>
    </comment>
    <comment ref="A61" authorId="14" shapeId="0" xr:uid="{2574ED20-2493-4A1A-8D12-64AFF54D6CF7}">
      <text>
        <t>[Threaded comment]
Your version of Excel allows you to read this threaded comment; however, any edits to it will get removed if the file is opened in a newer version of Excel. Learn more: https://go.microsoft.com/fwlink/?linkid=870924
Comment:
    @James Phillips @Morgan Anderson - James, pull this one into your list for the lagoon and UV components, see Table 3. Make sure to note UV dose and water transmittence. I think it may be interesting to compare UV performance when treating wetland/lagoon effluent vs more treated wastewater. Morgan is going to pull in the wetland components to her side of the house. PDF is in the resources folder.</t>
      </text>
    </comment>
    <comment ref="A63" authorId="15" shapeId="0" xr:uid="{95F6FDDA-3221-4203-BB81-6A3F54E7D687}">
      <text>
        <t>[Threaded comment]
Your version of Excel allows you to read this threaded comment; however, any edits to it will get removed if the file is opened in a newer version of Excel. Learn more: https://go.microsoft.com/fwlink/?linkid=870924
Comment:
    @James Phillips only review if they isolate the filtration unit, looking for cartridge filter or similar processes</t>
      </text>
    </comment>
    <comment ref="A66" authorId="16" shapeId="0" xr:uid="{4C1A54D2-4D08-4153-B72F-E2F98EB48546}">
      <text>
        <t>[Threaded comment]
Your version of Excel allows you to read this threaded comment; however, any edits to it will get removed if the file is opened in a newer version of Excel. Learn more: https://go.microsoft.com/fwlink/?linkid=870924
Comment:
    @James Phillips one more for you</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tc={D73CD33D-A389-46B9-BCFD-7681FCBDA405}</author>
    <author>tc={62C5DAB3-A3D2-4B9E-B2BF-52BB7744BBA2}</author>
    <author>tc={C8A94DA7-34AD-49EC-BE92-8C6E5750DF4D}</author>
    <author>tc={7C557AED-4293-47CF-BBD4-317D8104C0E2}</author>
    <author>tc={535E6670-5A24-480A-9C0F-12F3468E178F}</author>
    <author>tc={B98693F1-DC39-42EA-BD73-121C59C7AA7B}</author>
    <author>tc={A93EEBF3-2BB6-4F8F-80C5-009D1CF4119F}</author>
    <author>tc={9EB82C87-EFF8-4256-AC98-8712B1A2200B}</author>
    <author>tc={A5DE2454-CCE7-42D9-97F0-29A87165832D}</author>
    <author>tc={990AF5E8-8E53-4800-93C0-C4EC2637A3E4}</author>
    <author>tc={70FC24BF-C0DA-4804-B88F-D8B63C7F9C9A}</author>
    <author>tc={6D9432E5-E490-4499-8734-6BE63CA15329}</author>
    <author>tc={668AB2DF-183C-4F21-9984-DCCADE077C8E}</author>
    <author>tc={FEF6EDA0-D7CB-4028-BDA3-DADF5346E42D}</author>
    <author>tc={482790D7-B826-4E50-8EF7-1429A0E204A1}</author>
    <author>tc={3B4AD7BB-7D22-48C7-A828-9BEBAE812D38}</author>
    <author>tc={5514923E-FC0C-4C3C-9FF4-7DD6C93E0A41}</author>
    <author>tc={EA63EE8B-2F5D-4032-B79A-EAC176D8172F}</author>
    <author>tc={D6E47458-C18B-4B5E-8114-E2DA00F58FF4}</author>
    <author>tc={056B7607-F36F-466C-B865-DB3D167EDF86}</author>
    <author>tc={CBDEC317-6053-40DF-B56C-8873870DFDF3}</author>
    <author>tc={A06E4DFF-815B-400B-95FD-30373ACF1981}</author>
    <author>tc={1007872D-92D4-4818-A441-AFB68AAC8BA0}</author>
    <author>tc={83EC6D7A-B2B9-4BAE-BC16-266BD9896FA7}</author>
    <author>tc={C93BF71B-016F-4E2F-A166-8989CD46A111}</author>
    <author>tc={A323A168-D83E-4E1A-89C2-460286379FBC}</author>
    <author>tc={07A1762C-A39D-4D14-91FF-DA621B4CD76F}</author>
    <author>tc={FB2227B3-9B42-4D4F-9CB3-56CE6E5F093E}</author>
    <author>tc={8F37714B-95AF-4542-9505-7A70E03291F6}</author>
    <author>tc={D375037C-81AB-4CF9-81BD-07A9D617B728}</author>
    <author>tc={4E13D080-F37C-474C-87B7-5F27B0979D09}</author>
    <author>tc={66570C5E-FB38-4F34-81D7-7875B77A195E}</author>
    <author>tc={C57DCD95-DE8F-4571-9D8D-0427D188D229}</author>
    <author>tc={C464C495-AE6D-4C2E-BA66-AAE594E13AB8}</author>
    <author>tc={8829AEA2-8CBA-46ED-B61C-6D4BE2D7FFC7}</author>
    <author>tc={A5B3F1D7-D5DF-44E2-B9C3-BFE38A0BC0DF}</author>
    <author>tc={E1D5023F-E810-46E6-BC44-EFF52C1C8A5E}</author>
    <author>tc={2F76AB62-7E52-4896-B167-37A825321E30}</author>
  </authors>
  <commentList>
    <comment ref="J2" authorId="0" shapeId="0" xr:uid="{D73CD33D-A389-46B9-BCFD-7681FCBDA405}">
      <text>
        <t xml:space="preserve">[Threaded comment]
Your version of Excel allows you to read this threaded comment; however, any edits to it will get removed if the file is opened in a newer version of Excel. Learn more: https://go.microsoft.com/fwlink/?linkid=870924
Comment:
    Note other parameters - MLSS, HRT, membrane flux, permeability in Other columns. </t>
      </text>
    </comment>
    <comment ref="N2" authorId="1" shapeId="0" xr:uid="{62C5DAB3-A3D2-4B9E-B2BF-52BB7744BBA2}">
      <text>
        <t>[Threaded comment]
Your version of Excel allows you to read this threaded comment; however, any edits to it will get removed if the file is opened in a newer version of Excel. Learn more: https://go.microsoft.com/fwlink/?linkid=870924
Comment:
    Chemical type should be noted in Unit Process column</t>
      </text>
    </comment>
    <comment ref="AW2" authorId="2" shapeId="0" xr:uid="{C8A94DA7-34AD-49EC-BE92-8C6E5750DF4D}">
      <text>
        <t>[Threaded comment]
Your version of Excel allows you to read this threaded comment; however, any edits to it will get removed if the file is opened in a newer version of Excel. Learn more: https://go.microsoft.com/fwlink/?linkid=870924
Comment:
    Only populate if readily available or if particularly important for the unit process (e.g., turbidity for UV)</t>
      </text>
    </comment>
    <comment ref="I3" authorId="3" shapeId="0" xr:uid="{7C557AED-4293-47CF-BBD4-317D8104C0E2}">
      <text>
        <t>[Threaded comment]
Your version of Excel allows you to read this threaded comment; however, any edits to it will get removed if the file is opened in a newer version of Excel. Learn more: https://go.microsoft.com/fwlink/?linkid=870924
Comment:
    Lab, pilot or full</t>
      </text>
    </comment>
    <comment ref="J3" authorId="4" shapeId="0" xr:uid="{535E6670-5A24-480A-9C0F-12F3468E178F}">
      <text>
        <t>[Threaded comment]
Your version of Excel allows you to read this threaded comment; however, any edits to it will get removed if the file is opened in a newer version of Excel. Learn more: https://go.microsoft.com/fwlink/?linkid=870924
Comment:
    Nominal, maximum, absolute, etc.</t>
      </text>
    </comment>
    <comment ref="R3" authorId="5" shapeId="0" xr:uid="{B98693F1-DC39-42EA-BD73-121C59C7AA7B}">
      <text>
        <t>[Threaded comment]
Your version of Excel allows you to read this threaded comment; however, any edits to it will get removed if the file is opened in a newer version of Excel. Learn more: https://go.microsoft.com/fwlink/?linkid=870924
Comment:
    Enter X if we calculate CT from residual x time to note that we are estimating this value as opposed to taking a correct value that should be reported directly by the study</t>
      </text>
    </comment>
    <comment ref="T3" authorId="6" shapeId="0" xr:uid="{A93EEBF3-2BB6-4F8F-80C5-009D1CF4119F}">
      <text>
        <t>[Threaded comment]
Your version of Excel allows you to read this threaded comment; however, any edits to it will get removed if the file is opened in a newer version of Excel. Learn more: https://go.microsoft.com/fwlink/?linkid=870924
Comment:
    UV intensity incorporates UVT, and is measured as Dose x UVT / t</t>
      </text>
    </comment>
    <comment ref="AF3" authorId="7" shapeId="0" xr:uid="{9EB82C87-EFF8-4256-AC98-8712B1A2200B}">
      <text>
        <t>[Threaded comment]
Your version of Excel allows you to read this threaded comment; however, any edits to it will get removed if the file is opened in a newer version of Excel. Learn more: https://go.microsoft.com/fwlink/?linkid=870924
Comment:
    Only populate if the information is readily available.
e.g., requires pre-treatment for solids removal, requires influent TSS to be &lt; 10 mg/L.  If a quantitative requirement (e.g., TSS of 10 mg/L) is hard to identify that is OK, and we can just note qualitative requirements.</t>
      </text>
    </comment>
    <comment ref="BF3" authorId="8" shapeId="0" xr:uid="{A5DE2454-CCE7-42D9-97F0-29A87165832D}">
      <text>
        <t>[Threaded comment]
Your version of Excel allows you to read this threaded comment; however, any edits to it will get removed if the file is opened in a newer version of Excel. Learn more: https://go.microsoft.com/fwlink/?linkid=870924
Comment:
    Sometimes data are reported as an influent concentration and a % removal, in which case you can use this column to calculate the effluent concentration and thus the log removal. In most cases, this will be left blank.</t>
      </text>
    </comment>
    <comment ref="BK3" authorId="9" shapeId="0" xr:uid="{990AF5E8-8E53-4800-93C0-C4EC2637A3E4}">
      <text>
        <t>[Threaded comment]
Your version of Excel allows you to read this threaded comment; however, any edits to it will get removed if the file is opened in a newer version of Excel. Learn more: https://go.microsoft.com/fwlink/?linkid=870924
Comment:
    Table, figure or no/blank</t>
      </text>
    </comment>
    <comment ref="BR3" authorId="10" shapeId="0" xr:uid="{70FC24BF-C0DA-4804-B88F-D8B63C7F9C9A}">
      <text>
        <t xml:space="preserve">[Threaded comment]
Your version of Excel allows you to read this threaded comment; however, any edits to it will get removed if the file is opened in a newer version of Excel. Learn more: https://go.microsoft.com/fwlink/?linkid=870924
Comment:
    Use the following codes:
BD - for concentrations less than method detection limit
</t>
      </text>
    </comment>
    <comment ref="CF3" authorId="11" shapeId="0" xr:uid="{6D9432E5-E490-4499-8734-6BE63CA15329}">
      <text>
        <t xml:space="preserve">[Threaded comment]
Your version of Excel allows you to read this threaded comment; however, any edits to it will get removed if the file is opened in a newer version of Excel. Learn more: https://go.microsoft.com/fwlink/?linkid=870924
Comment:
    Note anything that is relevant here. For example, if the LR was particularly high or low and the study authors explained why, note that here. </t>
      </text>
    </comment>
    <comment ref="BM129" authorId="12" shapeId="0" xr:uid="{668AB2DF-183C-4F21-9984-DCCADE077C8E}">
      <text>
        <t>[Threaded comment]
Your version of Excel allows you to read this threaded comment; however, any edits to it will get removed if the file is opened in a newer version of Excel. Learn more: https://go.microsoft.com/fwlink/?linkid=870924
Comment:
    Currently not including non-detects. @James Phillips  let me know if I should include them</t>
      </text>
    </comment>
    <comment ref="BM144" authorId="13" shapeId="0" xr:uid="{FEF6EDA0-D7CB-4028-BDA3-DADF5346E42D}">
      <text>
        <t>[Threaded comment]
Your version of Excel allows you to read this threaded comment; however, any edits to it will get removed if the file is opened in a newer version of Excel. Learn more: https://go.microsoft.com/fwlink/?linkid=870924
Comment:
    @Emelyn Chiang 
Influent values are:
E coli 54, 31, 85
Clostridium 54, 23, 77
Coliphage 54, 23, 77
Outflow are:
E coli 71, 18, 89
Clos: 71, 14, 85, 
Coli: 71, 14, 85
See updated formula for preferred way of entering this information (average of the two values)
Reply:
    Thank you Linda, fixed this</t>
      </text>
    </comment>
    <comment ref="AC165" authorId="14" shapeId="0" xr:uid="{482790D7-B826-4E50-8EF7-1429A0E204A1}">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@James Phillips need design data. I see in the comments we may not have access to the right paper to get this info. If that is the case, can you start a list of papers we need access to and send out to #ERG at the end of this week?
Reply:
    No design data in this paper. Highlighted on left to delete if we can't get the paper from #ERG</t>
      </text>
    </comment>
    <comment ref="BN173" authorId="15" shapeId="0" xr:uid="{3B4AD7BB-7D22-48C7-A828-9BEBAE812D38}">
      <text>
        <t>[Threaded comment]
Your version of Excel allows you to read this threaded comment; however, any edits to it will get removed if the file is opened in a newer version of Excel. Learn more: https://go.microsoft.com/fwlink/?linkid=870924
Comment:
    @James Phillips could you take Sun et al? I think there is more information here to be extracted but I am not sure how to read all these graphs.</t>
      </text>
    </comment>
    <comment ref="AL178" authorId="16" shapeId="0" xr:uid="{5514923E-FC0C-4C3C-9FF4-7DD6C93E0A41}">
      <text>
        <t xml:space="preserve">[Threaded comment]
Your version of Excel allows you to read this threaded comment; however, any edits to it will get removed if the file is opened in a newer version of Excel. Learn more: https://go.microsoft.com/fwlink/?linkid=870924
Comment:
    @James Phillips add turbidity information
Reply:
    @Sam Arden From the paper: "Activated sludge and settling tank overflow with suspended solids of 2000 mg/l and 20 mg/1 were mixed with 104/ml poliovirus and remained in contact for 30 min prior to the experiment." I'm not sure how to report this--any thoughts? </t>
      </text>
    </comment>
    <comment ref="AD193" authorId="17" shapeId="0" xr:uid="{EA63EE8B-2F5D-4032-B79A-EAC176D8172F}">
      <text>
        <t xml:space="preserve">[Threaded comment]
Your version of Excel allows you to read this threaded comment; however, any edits to it will get removed if the file is opened in a newer version of Excel. Learn more: https://go.microsoft.com/fwlink/?linkid=870924
Comment:
    @James Phillips SRT, MLSS or HRT?
Reply:
    @Sam Arden Can't find any design values for the WWTPs. We can delete. </t>
      </text>
    </comment>
    <comment ref="AD195" authorId="18" shapeId="0" xr:uid="{D6E47458-C18B-4B5E-8114-E2DA00F58FF4}">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@James Phillips HRT? MLSS?</t>
      </text>
    </comment>
    <comment ref="AD197" authorId="19" shapeId="0" xr:uid="{056B7607-F36F-466C-B865-DB3D167EDF86}">
      <text>
        <t xml:space="preserve">[Threaded comment]
Your version of Excel allows you to read this threaded comment; however, any edits to it will get removed if the file is opened in a newer version of Excel. Learn more: https://go.microsoft.com/fwlink/?linkid=870924
Comment:
    @James Phillips SRT?
Reply:
    @Sam Arden No design data for AS. We can delete. </t>
      </text>
    </comment>
    <comment ref="AI197" authorId="20" shapeId="0" xr:uid="{CBDEC317-6053-40DF-B56C-8873870DFDF3}">
      <text>
        <t>[Threaded comment]
Your version of Excel allows you to read this threaded comment; however, any edits to it will get removed if the file is opened in a newer version of Excel. Learn more: https://go.microsoft.com/fwlink/?linkid=870924
Comment:
    cbod</t>
      </text>
    </comment>
    <comment ref="O211" authorId="21" shapeId="0" xr:uid="{A06E4DFF-815B-400B-95FD-30373ACF1981}">
      <text>
        <t>[Threaded comment]
Your version of Excel allows you to read this threaded comment; however, any edits to it will get removed if the file is opened in a newer version of Excel. Learn more: https://go.microsoft.com/fwlink/?linkid=870924
Comment:
    Average of residuals listed on page 2791</t>
      </text>
    </comment>
    <comment ref="AC232" authorId="22" shapeId="0" xr:uid="{1007872D-92D4-4818-A441-AFB68AAC8BA0}">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@James Phillips primary design value for ozone should be CT, or concentration multiplied by time. It is also helpful to have the two variables in the brief description. Move temperature over to the temperature column</t>
      </text>
    </comment>
    <comment ref="B246" authorId="23" shapeId="0" xr:uid="{83EC6D7A-B2B9-4BAE-BC16-266BD9896FA7}">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@James Phillips update dosage/design values following the first four recommendations</t>
      </text>
    </comment>
    <comment ref="B721" authorId="24" shapeId="0" xr:uid="{C93BF71B-016F-4E2F-A166-8989CD46A111}">
      <text>
        <t>[Threaded comment]
Your version of Excel allows you to read this threaded comment; however, any edits to it will get removed if the file is opened in a newer version of Excel. Learn more: https://go.microsoft.com/fwlink/?linkid=870924
Comment:
    From Arden &amp; Ma (2018)
Reply:
    @James Phillips I added the SI from this paper to the resources folder. It has a few additional microorganisms and influent properties detailed</t>
      </text>
    </comment>
    <comment ref="B753" authorId="25" shapeId="0" xr:uid="{A323A168-D83E-4E1A-89C2-460286379FBC}">
      <text>
        <t>[Threaded comment]
Your version of Excel allows you to read this threaded comment; however, any edits to it will get removed if the file is opened in a newer version of Excel. Learn more: https://go.microsoft.com/fwlink/?linkid=870924
Comment:
    From Arden &amp; Ma, 2018</t>
      </text>
    </comment>
    <comment ref="B756" authorId="26" shapeId="0" xr:uid="{07A1762C-A39D-4D14-91FF-DA621B4CD76F}">
      <text>
        <t>[Threaded comment]
Your version of Excel allows you to read this threaded comment; however, any edits to it will get removed if the file is opened in a newer version of Excel. Learn more: https://go.microsoft.com/fwlink/?linkid=870924
Comment:
    From Arden &amp; Ma, 2018</t>
      </text>
    </comment>
    <comment ref="B766" authorId="27" shapeId="0" xr:uid="{FB2227B3-9B42-4D4F-9CB3-56CE6E5F093E}">
      <text>
        <t>[Threaded comment]
Your version of Excel allows you to read this threaded comment; however, any edits to it will get removed if the file is opened in a newer version of Excel. Learn more: https://go.microsoft.com/fwlink/?linkid=870924
Comment:
    From Arden &amp; Ma, 2018</t>
      </text>
    </comment>
    <comment ref="B769" authorId="28" shapeId="0" xr:uid="{8F37714B-95AF-4542-9505-7A70E03291F6}">
      <text>
        <t>[Threaded comment]
Your version of Excel allows you to read this threaded comment; however, any edits to it will get removed if the file is opened in a newer version of Excel. Learn more: https://go.microsoft.com/fwlink/?linkid=870924
Comment:
    From Arden &amp; Ma, 2018</t>
      </text>
    </comment>
    <comment ref="B821" authorId="29" shapeId="0" xr:uid="{D375037C-81AB-4CF9-81BD-07A9D617B728}">
      <text>
        <t>[Threaded comment]
Your version of Excel allows you to read this threaded comment; however, any edits to it will get removed if the file is opened in a newer version of Excel. Learn more: https://go.microsoft.com/fwlink/?linkid=870924
Comment:
    From Arden &amp; Ma, 2018</t>
      </text>
    </comment>
    <comment ref="B829" authorId="30" shapeId="0" xr:uid="{4E13D080-F37C-474C-87B7-5F27B0979D09}">
      <text>
        <t>[Threaded comment]
Your version of Excel allows you to read this threaded comment; however, any edits to it will get removed if the file is opened in a newer version of Excel. Learn more: https://go.microsoft.com/fwlink/?linkid=870924
Comment:
    From Arden &amp; Ma, 2018</t>
      </text>
    </comment>
    <comment ref="B847" authorId="31" shapeId="0" xr:uid="{66570C5E-FB38-4F34-81D7-7875B77A195E}">
      <text>
        <t>[Threaded comment]
Your version of Excel allows you to read this threaded comment; however, any edits to it will get removed if the file is opened in a newer version of Excel. Learn more: https://go.microsoft.com/fwlink/?linkid=870924
Comment:
    From Arden &amp; Ma, 2018</t>
      </text>
    </comment>
    <comment ref="B851" authorId="32" shapeId="0" xr:uid="{C57DCD95-DE8F-4571-9D8D-0427D188D229}">
      <text>
        <t>[Threaded comment]
Your version of Excel allows you to read this threaded comment; however, any edits to it will get removed if the file is opened in a newer version of Excel. Learn more: https://go.microsoft.com/fwlink/?linkid=870924
Comment:
    From Arden &amp; Ma, 2018</t>
      </text>
    </comment>
    <comment ref="B972" authorId="33" shapeId="0" xr:uid="{C464C495-AE6D-4C2E-BA66-AAE594E13AB8}">
      <text>
        <t xml:space="preserve">[Threaded comment]
Your version of Excel allows you to read this threaded comment; however, any edits to it will get removed if the file is opened in a newer version of Excel. Learn more: https://go.microsoft.com/fwlink/?linkid=870924
Comment:
    @Sam Arden I wasn't able to re-review this one since I think all the LRVs are from the SI and I can't access it. Any thoughts on how to move forward? </t>
      </text>
    </comment>
    <comment ref="AO1032" authorId="34" shapeId="0" xr:uid="{8829AEA2-8CBA-46ED-B61C-6D4BE2D7FFC7}">
      <text>
        <t>[Threaded comment]
Your version of Excel allows you to read this threaded comment; however, any edits to it will get removed if the file is opened in a newer version of Excel. Learn more: https://go.microsoft.com/fwlink/?linkid=870924
Comment:
    254 nm UV absorbance</t>
      </text>
    </comment>
    <comment ref="AO1038" authorId="35" shapeId="0" xr:uid="{A5B3F1D7-D5DF-44E2-B9C3-BFE38A0BC0DF}">
      <text>
        <t>[Threaded comment]
Your version of Excel allows you to read this threaded comment; however, any edits to it will get removed if the file is opened in a newer version of Excel. Learn more: https://go.microsoft.com/fwlink/?linkid=870924
Comment:
    254 nm UV absorbance</t>
      </text>
    </comment>
    <comment ref="AO1044" authorId="36" shapeId="0" xr:uid="{E1D5023F-E810-46E6-BC44-EFF52C1C8A5E}">
      <text>
        <t>[Threaded comment]
Your version of Excel allows you to read this threaded comment; however, any edits to it will get removed if the file is opened in a newer version of Excel. Learn more: https://go.microsoft.com/fwlink/?linkid=870924
Comment:
    254 nm UV absorbance</t>
      </text>
    </comment>
    <comment ref="AO1050" authorId="37" shapeId="0" xr:uid="{2F76AB62-7E52-4896-B167-37A825321E30}">
      <text>
        <t>[Threaded comment]
Your version of Excel allows you to read this threaded comment; however, any edits to it will get removed if the file is opened in a newer version of Excel. Learn more: https://go.microsoft.com/fwlink/?linkid=870924
Comment:
    254 nm UV absorbance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tc={67322C2E-35EB-44B9-BC53-D99AC72311E6}</author>
    <author>tc={332C14F2-99DB-429B-9E6B-A8B370C26CF5}</author>
    <author>tc={B1E5A300-FAE5-4F80-8ABA-030D4FCDAD32}</author>
    <author>tc={C7261CA7-53CF-4A26-A693-1A5B49A5A770}</author>
    <author>tc={04216CBD-92F8-48D8-865C-869D66EE80E8}</author>
  </authors>
  <commentList>
    <comment ref="D2" authorId="0" shapeId="0" xr:uid="{67322C2E-35EB-44B9-BC53-D99AC72311E6}">
      <text>
        <t xml:space="preserve">[Threaded comment]
Your version of Excel allows you to read this threaded comment; however, any edits to it will get removed if the file is opened in a newer version of Excel. Learn more: https://go.microsoft.com/fwlink/?linkid=870924
Comment:
    Note other parameters - MLSS, HRT, membrane flux, permeability in Other columns. </t>
      </text>
    </comment>
    <comment ref="I2" authorId="1" shapeId="0" xr:uid="{332C14F2-99DB-429B-9E6B-A8B370C26CF5}">
      <text>
        <t>[Threaded comment]
Your version of Excel allows you to read this threaded comment; however, any edits to it will get removed if the file is opened in a newer version of Excel. Learn more: https://go.microsoft.com/fwlink/?linkid=870924
Comment:
    Chemical type should be noted in Unit Process column</t>
      </text>
    </comment>
    <comment ref="D3" authorId="2" shapeId="0" xr:uid="{B1E5A300-FAE5-4F80-8ABA-030D4FCDAD32}">
      <text>
        <t>[Threaded comment]
Your version of Excel allows you to read this threaded comment; however, any edits to it will get removed if the file is opened in a newer version of Excel. Learn more: https://go.microsoft.com/fwlink/?linkid=870924
Comment:
    Nominal, maximum, absolute, etc.</t>
      </text>
    </comment>
    <comment ref="AM3" authorId="3" shapeId="0" xr:uid="{C7261CA7-53CF-4A26-A693-1A5B49A5A770}">
      <text>
        <t>[Threaded comment]
Your version of Excel allows you to read this threaded comment; however, any edits to it will get removed if the file is opened in a newer version of Excel. Learn more: https://go.microsoft.com/fwlink/?linkid=870924
Comment:
    Only populate if the information is readily available.
e.g., requires pre-treatment for solids removal, requires influent TSS to be &lt; 10 mg/L.  If a quantitative requirement (e.g., TSS of 10 mg/L) is hard to identify that is OK, and we can just note qualitative requirements.</t>
      </text>
    </comment>
    <comment ref="AO3" authorId="4" shapeId="0" xr:uid="{04216CBD-92F8-48D8-865C-869D66EE80E8}">
      <text>
        <t>[Threaded comment]
Your version of Excel allows you to read this threaded comment; however, any edits to it will get removed if the file is opened in a newer version of Excel. Learn more: https://go.microsoft.com/fwlink/?linkid=870924
Comment:
    Note anything that is relevant here. For example, if the LR was particularly high or low and the study authors explained why, note that here. Alternatively, if this study provides a good discussion of important details, note that here so we can circle back.</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tc={6F175539-F301-4817-8373-CFCD7C72D73C}</author>
  </authors>
  <commentList>
    <comment ref="B5" authorId="0" shapeId="0" xr:uid="{6F175539-F301-4817-8373-CFCD7C72D73C}">
      <text>
        <t>[Threaded comment]
Your version of Excel allows you to read this threaded comment; however, any edits to it will get removed if the file is opened in a newer version of Excel. Learn more: https://go.microsoft.com/fwlink/?linkid=870924
Comment:
    Space for 3 rows, as there are generally not more sources than that for a given UP</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<sst xmlns="http://schemas.openxmlformats.org/spreadsheetml/2006/main" count="25430" uniqueCount="1299">
  <si>
    <t>Table of Contents</t>
  </si>
  <si>
    <t>LRVs</t>
  </si>
  <si>
    <t>Summary of unit process LRVs and relevant attributes</t>
  </si>
  <si>
    <t>LRCs</t>
  </si>
  <si>
    <t>Summary of unit process LRCs and relevant requirements</t>
  </si>
  <si>
    <t>Summary statistics for number of data points collected to date</t>
  </si>
  <si>
    <t>Chlorine</t>
  </si>
  <si>
    <t>Author and Year</t>
  </si>
  <si>
    <t>Title</t>
  </si>
  <si>
    <t>Abstract</t>
  </si>
  <si>
    <t>Review?</t>
  </si>
  <si>
    <t>Trace Organics Data? (Y/N)</t>
  </si>
  <si>
    <t>Cost Data? (Y/N)</t>
  </si>
  <si>
    <t>LCA Data? (Y/N)</t>
  </si>
  <si>
    <t>Accepted or Rejected?</t>
  </si>
  <si>
    <t>Reviewed By</t>
  </si>
  <si>
    <t>Researcher Notes</t>
  </si>
  <si>
    <t>Relevant Citations</t>
  </si>
  <si>
    <t>Arevalo eta l., 2009</t>
  </si>
  <si>
    <t>Wastewater reuse after treatment by tertiary ultrafiltration and a membrane bioreactor (MBR): a comparative study</t>
  </si>
  <si>
    <t>No</t>
  </si>
  <si>
    <t>Rejected</t>
  </si>
  <si>
    <t>JAP</t>
  </si>
  <si>
    <t>LRVs are not tabulated. There is effluent concentration data for FC, E. coli, and coliphages, but no influent data so LRVs cannot be determined</t>
  </si>
  <si>
    <t>Asano et al., 2007</t>
  </si>
  <si>
    <t>Water Reuse</t>
  </si>
  <si>
    <t>N/A</t>
  </si>
  <si>
    <t>Yes</t>
  </si>
  <si>
    <t>Textbook</t>
  </si>
  <si>
    <t>Baxter et al., 2007</t>
  </si>
  <si>
    <t>Inactivation of adenovirus types 2, 5, and 41 in drinking water by UV light, free chlorine, and monochloramine</t>
  </si>
  <si>
    <t>A bench-scale study was conducted to determine the inactivation of adenovirus (Ad) types 2, 5, and 41 by ultraviolet (UV) light, chlorine, and monochloramine. The motivation for this study was to determine whether UV disinfection followed by chlorine or monochloramine for a very short contact time (e.g., a minute) could satisfy regulatory requirements for four-log virus inactivation. In order to overcome the difficulty Ad 41 presents for enumeration of the virus in cell culture, a technique was used that combined immunofluorescent staining of viral antigen with traditional scoring of cytopathic effect. A UV dose of 40mJ/cm2 (millijoules per square centimeter) (applied using a collimated beam apparatus) achieved approximately one-log inactivation of adenovirus types 2, 5 and 41, confirming previous research. Ad 41 was found to be more UV resistant to UV light than Ad 2 or Ad 5 at UV doses &gt;70mJ/cm2 to a statistically significant degree (95% confidence); however, at lower UV doses there were no statistically significant differences. Experiments with Ad 5 and Ad 41 at 5°C and pH 8.5 showed that chlorine was very effective against Ad 5 and Ad 41, with a product of disinfectant concentration and contact time (CT) of 0.22mg min∕L providing four-log inactivation. Monochloramine was less effective against these adenoviruses, with a CT of 350mg min∕L required to achieve 2.5-log inactivation of Ad 5 and 41 at 5°C and pH 8.5.</t>
  </si>
  <si>
    <t xml:space="preserve">Lacks tabular LRVs, but could be worth coming back to </t>
  </si>
  <si>
    <t>Shin et al., 2001; Meng &amp; Gerba, 1996</t>
  </si>
  <si>
    <t>Blatchley et al., 2007.</t>
  </si>
  <si>
    <t>Effects of wastewater disinfection on waterborne bacteria and viruses</t>
  </si>
  <si>
    <t>Wastewater disinfection is practiced with the goal of reducing risks of human exposure to pathogenic microorganisms. In most circumstances, the efficacy of a wastewater disinfection process is regulated and monitored based on measurements of the responses of indicator bacteria. However, inactivation of indicator bacteria does not guarantee an acceptable degree of inactivation among other waterborne microorganisms (e.g., microbial pathogens). Undisinfected effluent samples from several municipal wastewater treatment facilities were collected for analysis. Facilities were selected to provide a broad spectrum of effluent quality, particularly as related to nitrogenous compounds. Samples were subjected to bench-scale chlorination and dechlorination and UV irradiation under conditions that allowed compliance with relevant discharge regulations and such that disinfectant exposures could be accurately quantified. Disinfected samples were subjected to a battery of assays to assess the immediate and long-term effects of wastewater disinfection on waterborne bacteria and viruses. In general, (viable) bacterial populations showed an immediate decline as a result of disinfectant exposure; however, incubation of disinfected samples under conditions that were designed to mimic the conditions in a receiving stream resulted in substantial recovery of the total bacterial community. The bacterial groups that are commonly used as indicators do not provide an accurate representation of the response of the bacterial community to disinfectant exposure and subsequent recovery in the environment. UV irradiation and chlorination/dechlorination both accomplished measurable inactivation of indigenous phage; however, the extent of inactivation was fairly modest under the conditions of disinfection used in this study. UV irradiation was consistently more effective as a virucide than chlorination/dechlorination under the conditions of application, based on measurements of virus (phage) diversity and concentration. Taken together, and when considered in conjunction with previously published research, the results of these experiments illustrate several important limitations of common disinfection processes as applied in the treatment of municipal wastewaters. In general, it is not clear that conventional disinfection processes, as commonly implemented, are effective for control of the risks of disease transmission, particularly those associated with viral pathogens. Microbial quality in receiving streams may not be substantially improved by the application of these disinfection processes; under some circumstances, an argument can be made that disinfection may actually yield a decrease in effluent and receiving water quality. Decisions regarding the need for effluent disinfection must account for site-specific characteristics, but it is not clear that disinfection of municipal wastewater effluents is necessary or beneficial for all facilities. When direct human contact or ingestion of municipal wastewater effluents is likely, disinfection may be necessary. Under these circumstances, UV irradiation appears to be superior to chlorination in terms of microbial quality and chemistry and toxicology. This advantage is particularly evident in effluents that contain appreciable quantities of ammonia-nitrogen or organic nitrogen.</t>
  </si>
  <si>
    <t xml:space="preserve">Looks like a good one for B/V comparison; cannot access </t>
  </si>
  <si>
    <t>Bounty et al., 2012</t>
  </si>
  <si>
    <t>Inactivation of adenovirus using low-dose UV/H2O2 advanced oxidation</t>
  </si>
  <si>
    <t>Adenovirus has consistently been observed to be the most resistant known pathogen to
disinfection by ultraviolet light. This has had an impact on regulations set by the United
States Environmental Protection Agency regarding the use of UV disinfection for virus
inactivation in groundwater and surface water. In this study, enhancement of UV inactivation
of adenovirus was evaluated when hydrogen peroxide was added to create an
advanced oxidation process (AOP). While 4 log reduction of adenovirus was determined to
require a UV dose (UV fluence) of about 200 mJ/cm2 from a low pressure (LP) UV source
(emitting at 253.7 nm), addition of 10 mg/L H2O2 achieved 4 log inactivation at a dose of
120 mJ/cm2. DNA damage was assessed using a novel nested PCR approach, and similar
levels of DNA damage between the two different treatments were noted, suggesting the
AOP enhancement in inactivation was not due to additional DNA damage. Hydroxyl
radicals produced in the advanced oxidation process are likely able to damage parts of the
virus not targeted by LPUV, such as attachment proteins, enhancing the UV-induced
inactivation. The AOP-enhanced inactivation potential was modeled in three natural
waters. This research sheds light on the inactivation mechanisms of viruses with ultraviolet
light and in the presence of hydroxyl radicals and provides a practical means to
enhance inactivation of this UV-resistant virus.</t>
  </si>
  <si>
    <t>N</t>
  </si>
  <si>
    <t>Accepted</t>
  </si>
  <si>
    <t>Evaluation of incorporating H2O2 to UV disinfection</t>
  </si>
  <si>
    <t>Branch et al., 2021a</t>
  </si>
  <si>
    <t>A statistical review of pathogen and indicator log removal values from membrane bioreactor literature</t>
  </si>
  <si>
    <t>In this study, a critical review, gathering all available log removal values (LRV) data reported for membrane bioreactors (MBRs) in recent literature was conducted. One of the key outcomes of this work is that the correlation of MBR operating parameters and LRV was not possible with available literature data, as a full set of operational data was rarely reported. Nevertheless, in excess of 500 virus, 600 bacteria, and 20 protozoa LRV data points were extracted from multiple sources, grouped according to microorganism type, and the LRV performance and variability summarized in the form of normal probability density functions (PDFs). As presented, these LRV PDFs are suitable to permit further probabilistic quantitative microbiological risk assessment activities. In this work, the LRV PDFs were used to propose target pathogens and microbial surrogates by selecting the microorganisms that were most conservatively removed by MBRs. In terms of protozoa, Cryptosporidium was the most conservatively removed pathogen and Clostridium perfringens was the most often reported microbial surrogate. Enterovirus displayed the most conservative overall removal in MBR and was selected as the target pathogen. From the data reported, Escherichia coli was selected as an appropriate microbial surrogate for demonstration of LRV of bacteria.</t>
  </si>
  <si>
    <t>Branch et al., 2021b</t>
  </si>
  <si>
    <t>Log removal values in membrane bioreactors: Correlation of surrogate monitoring and operational parameters</t>
  </si>
  <si>
    <t>Log removal values (LRV) for a range of pathogens in membrane bioreactors (MBRs) were aggregated for 180 sampling events across 11 municipal scale installations. Important correlations were established between LRV for biological (LRVBio) and physical (LRVMem) inactivation with reactor conditions (pH, temperature, solid and hydraulic retention times (SRT, HRT), and mixed liquor suspended solids (MLSS)), membrane properties (pore size and flux), operational variables and filtrate quality. LRVBio correlated positively and significantly between all microorganism indicators and dissolved organic carbon (DOC), becoming a suitable monitoring technique for biological removal. LRVMem correlated positively for protozoa indicators and bacteria consistent with size exclusion as a predominant removal mechanism. Strong correlations between LRV for protozoa, virus and bacteria indicators were established at lower flux, TMP and MLSS, higher pH and temperature and longer solids and hydraulic retention time. The implications of this study provide important guidance for the validation of MBRs producing safe and consistent recycled water.</t>
  </si>
  <si>
    <t>Chaudhry et al., 2015</t>
  </si>
  <si>
    <t>Mechanisms of Pathogenic Virus Removal in a Full-Scale Membrane Bioreactor</t>
  </si>
  <si>
    <t>Four pathogenic virus removal mechanisms were investigated in a full-scale membrane bioreactor (MBR; nominal pore size 0.04 μm): (i) attachment of virus to mixed liquor solids; (ii) virus retention by a just backwashed membrane; (iii) virus retention by the membrane cake layer; and (iv) inactivation. We quantified adenovirus, norovirus genogroup II (GII), and F+ coliphage in the influent wastewater, the solid and liquid fractions of the mixed liquor, return flow, and permeate using quantitative PCR (adenovirus and norovirus GII) and infectivity assays (F+ coliphage). Permeate samples were collected 4–5 days, 1 day, 3 h, and immediately after chlorine enhanced backwashes. The MBR achieved high log removals for adenovirus (3.9 to 5.5), norovirus GII (4.6 to 5.7), and F+ coliphage (5.4 to 7.1). The greatest contribution to total removal was provided by the backwashed membrane, followed by inactivation, the cake layer, and attachment to solids. Increases in turbidity and particle counts after backwashes indicated potential breakthrough of particles, but virus removal following backwashes was still high. This study demonstrates the ability of the MBR process to provide over 4 logs of removal for adenovirus and norovirus GII, even after a partial loss of the cake layer, and provides evidence for assigning virus disinfection credit to similar MBRs used to reclaim wastewater for reuse.</t>
  </si>
  <si>
    <t>da Silva et al., 2007</t>
  </si>
  <si>
    <t>Evaluation of removal of noroviruses during wastewater treatment, using real-time reverse transcription-PCR: different behaviors of genogroups I and II</t>
  </si>
  <si>
    <t>Davies et al., 2008</t>
  </si>
  <si>
    <t>Microbial challenge-testing of treatment processes for quantifying stormwater recycling risks and management</t>
  </si>
  <si>
    <t>JAP, SCA</t>
  </si>
  <si>
    <t>EPA, 2003</t>
  </si>
  <si>
    <t>Ultraviolet Disinfection Guidance Manual</t>
  </si>
  <si>
    <t>Could have good sources</t>
  </si>
  <si>
    <t>Francy et al., 2012</t>
  </si>
  <si>
    <t>Comparative effectiveness of membrane bioreactors, conventional secondary treatment, and chlorine and UV disinfection to remove microorganisms from municipal wastewaters</t>
  </si>
  <si>
    <t>Log removals of bacterial indicators, coliphage, and enteric viruses were studied in three membrane bioreactor (MBR) activated-sludge and two conventional secondary activated-sludge municipal wastewater treatment plants during three recreational seasons (May–Oct.) when disinfection of effluents is required. In total, 73 regular samples were collected from key locations throughout treatment processes: post-preliminary, post-MBR, post-secondary, post-tertiary, and post-disinfection (UV or chlorine). Out of 19 post-preliminary samples, adenovirus by quantitative polymerase chain reaction (qPCR) was detected in all 19, enterovirus by quantitative reverse transcription polymerase chain reaction (qRT-PCR) was detected in 15, and norovirus GI by qRT-PCR was detected in 11. Norovirus GII and Hepatitis A virus were not detected in any samples, and rotavirus was detected in one sample but could not be quantified. Although culturable viruses were found in 12 out of 19 post-preliminary samples, they were not detected in any post-secondary, post-MBR, post-ultraviolet, or post-chlorine samples. Median log removals for all organisms were higher for MBR secondary treatment (3.02 to &gt;6.73) than for conventional secondary (1.53–4.19) treatment. Ultraviolet disinfection after MBR treatment provided little additional log removal of any organism except for somatic coliphage (&gt;2.18), whereas ultraviolet or chlorine disinfection after conventional secondary treatment provided significant log removals (above the analytical variability) of all bacterial indicators (1.18–3.89) and somatic and F-specific coliphage (0.71 and &gt;2.98). Median log removals of adenovirus across disinfection were low in both MBR and conventional secondary plants (no removal detected and 0.24), and few removals of individual samples were near or above the analytical variability of 1.2 log genomic copies per liter. Based on qualitative examinations of plots showing reductions of organisms throughout treatment processes, somatic coliphage may best represent the removal of viruses across secondary treatment in both MBR and conventional secondary plants. F-specific coliphage and Escherichia coli may best represent the removal of viruses across the disinfection process in MBR facilities, but none of the indicators represented the removal of viruses across disinfection in conventional secondary plants.</t>
  </si>
  <si>
    <t>Supplemental materials is a spreadsheet--could be worth reviewing in more detail</t>
  </si>
  <si>
    <t>Fu et al., 2010</t>
  </si>
  <si>
    <t>Monitoring and evaluation of removal of pathogens at municipal wastewater treatment plants</t>
  </si>
  <si>
    <t xml:space="preserve">The concentrations and removal of Cryptosporidium, Giardia, and microbial indicators, including somatic coliphages and fecal coliforms were investigated through the wastewater treatment processes at three municipal wastewater treatment plants in Beijing, China. The experimental results showed that the concentrations of Cryptosporidium in untreated wastewater, primary treatment effluent, secondary treatment effluent, tertiary treatment effluent were 33–600, 67–333, 0–9 and 0–0.4 oocysts L−1, and that of Giardia were 130–3,600, 533–2,033, 0–32 and 0–2.1 cysts L−1, respectively. The reduction ratios of Cryptosporidium and Giardia by the primary treatment process were 0.12 log and 0.18 log, respectively. Oxidation ditch process had higher reduction efficiency to Cryptosporidium and Giardia than anaerobic-anoxic-oxic process and conventional activated sludge process, probably because of longer retention time and higher sludge concentration. Membrane ultrafiltration had a notably better efficiency to reduce microorganisms, especially Cryptosporidium and Giardia, than conventional flocculation sedimentation and sand filtration process, as the tertiary treatment. Comparing with total coliforms, fecal coliforms and heterotrophic bacteria, concentration of somatic coliphages was correlated better with that of Cryptosporidium and Giardia in untreated wastewater and secondary treatment effluent.
</t>
  </si>
  <si>
    <t>Not accessible</t>
  </si>
  <si>
    <t>Gerba et al., 2002</t>
  </si>
  <si>
    <t>Comparative inactivation of enteroviruses and adenovirus 2 by UV light</t>
  </si>
  <si>
    <t>The doses of UV irradiation necessary to inactivate selected enteric viruses on the U.S. Environmental Protection Agency Contaminant Candidate List were determined. Three-log reductions of echovirus 1, echovirus 11, coxsackievirus B3, coxsackievirus B5, poliovirus 1, and human adenovirus type 2 were effected by doses of 25, 20.5, 24.5, 27, 23, and 119 mW/cm2, respectively. Human adenovirus type 2 is the most UV light-resistant enteric virus reported to date.</t>
  </si>
  <si>
    <t>Meng &amp; Gerba, 1996</t>
  </si>
  <si>
    <t>Gnirss and Dittrich, 2000</t>
  </si>
  <si>
    <t>Microfiltration of Municipal Wastewater for Disinfection and Advanced Phosphorus Removal: Results from Trials with Different Small-Scale Pilot Plants</t>
  </si>
  <si>
    <t>LRVs are not tabulated and no descriptions in text. Good data in the figures, but not precise enough to record in LRV tab</t>
  </si>
  <si>
    <t>Gomez et al., 2006</t>
  </si>
  <si>
    <t>Urban wastewater disinfection by filtration technologies</t>
  </si>
  <si>
    <t>Haramoto et al., 2007</t>
  </si>
  <si>
    <t>Quantitative analysis of human enteric adenovirusesin aquatic environments</t>
  </si>
  <si>
    <t>Harrington et al., 2001</t>
  </si>
  <si>
    <t>Removal of emerging waterborne pathogens</t>
  </si>
  <si>
    <t>Hirata and Hashimoto, 1998</t>
  </si>
  <si>
    <t>Experimental assessment of the efficacy of microfiltration and ultrafiltration for Cryptosporidium removal</t>
  </si>
  <si>
    <t>In order to evaluate the efficacy of microfiltration and ultrafiltration for Cryptosporidium oocyst removal, a bench-scale experiment was carried out using two 0.2m2 modules, MF (nominal pore size 0.25μm) and UF (nominal cut-off MW 13,000 daltons) in cross-flow mode at an oocyst level of 106/L. Both of the membranes eliminated the oocysts from the influents with removal efficiency estimated to be &gt;7 log10. As for the MF, an additional experiment was conducted at a much higher oocyst level up to 108 oocysts/L in both cross-flow and dead-end modes and which achieved &gt;7 log10 removal, although some oocysts appeared in the filtrate in both modes. Based on these results, microfiltration and ultrafiltration are conclusively considered to be excellent processes for drinking water treatment as a single process that produces safe (an annual risk 10−4) water from highly polluted source waters.</t>
  </si>
  <si>
    <t>Hu et al., 2003</t>
  </si>
  <si>
    <t>Removal of MS2 bacteriophage using membrane technologies</t>
  </si>
  <si>
    <t>Removals of MS2 bacteriophage virus using different membrane materials under different operating pressures were investigated. The results obtained in this study suggested that a better log removal in terms of MS2 bacteriophage virus could be achieved using Polyamide RO membrane under the optimum operating pressure of 100 psi. It is further noted that variable MS2 influent concentration levels resulted in corresponding variable log removals of the bacteriophages by the Polyamide RO membrane. The presence of MS2 bacteriophage virus in the effluent could possibly be due to leakage of bacteriophages through the membranes structure. Investigations using SEM and AFM showed that there were gaps or pores present in the membrane structure which were sufficiently large for the MS2 viruses to pass through.</t>
  </si>
  <si>
    <t>Ishida et al., 2008</t>
  </si>
  <si>
    <t>Ozone disinfection with the HiPOX reactor: streamlining an old technology for wastewater reuse</t>
  </si>
  <si>
    <t>Although ozone disinfection is a well established technology for drinking water treatment, ozone disinfection mechanisms in wastewater are not well understood such that, historically, ozone wastewater disinfection has not been a feasible technology to implement. The HiPOx system is an ozone-based pressurized in-vessel system that can be used either as an advanced oxidation reactor or as a highly efficient ozone dissolution system. The pilot-scale HiPOx system was temporarily installed at the Dublin San Ramon Services District (DSRSD) Wastewater Treatment Plant in Dublin, California. Detailed bioassay testing was conducted on the pilot reactor between October and December 2007. Tests on benchtop reactors were performed in June and August 2007. Pilot tests on the HiPOx reactor located at DSRSD showed that 6.5 log removal of MS2 coliphage was observed at conservative transferred ozone doses of 5 mg/L (contact time of 93 seconds) in microfiltered water, and 7 mg/L (contact time of 50 seconds) in media filtered water. In media filtered water, minimum CT values of 1.0 mg-min/L resulted in non detect total coliform.</t>
  </si>
  <si>
    <t>Jacangelo et al., 2005</t>
  </si>
  <si>
    <t>Advances in the use of low-pressure, hollow fiber membranes for the disinfection of water</t>
  </si>
  <si>
    <t>Low-pressure membranes are often used for disinfection purposes. Using a simple bench-scale testing unit, several membranes were evaluated for their capability to remove microorganisms under specific conditions. Five hollow fiber modified polysulfone membranes ranging in molecular weight cutoff (MWCO) from 10,000 to 300,000 daltons and a 0.2 μm nominal pore size membrane were also evaluated. The 10,000 MWCO membrane removed less virus than the two 100,000 MWCO or the 300,000 MWCO membranes. The data from this study suggests that MWCO and specific flux may not, in all cases, be a good predictor of virus removal.</t>
  </si>
  <si>
    <t>Jordan et al., 2008</t>
  </si>
  <si>
    <t>Effective removal of microbial contamination from harvested rainwater using a simple point of use filtration and UV-disinfection device</t>
  </si>
  <si>
    <t>Kachelesky and Masterson, 1995</t>
  </si>
  <si>
    <t>Membrane Filtration of Sewage Treatment Plant Effluent</t>
  </si>
  <si>
    <t>Conference proceeding--not accessible</t>
  </si>
  <si>
    <t>Katz et al., 2017</t>
  </si>
  <si>
    <t>Giving credit where credit is due–MBR for potable water reuse</t>
  </si>
  <si>
    <t>Points to a number of other potentially helpful MBR studies</t>
  </si>
  <si>
    <t>Keegan et al., 2012</t>
  </si>
  <si>
    <t>Chlor(am)ine disinfection of human pathogenic viruses in recycled waters</t>
  </si>
  <si>
    <t>Cites a lot of good articles--could be worth coming back to</t>
  </si>
  <si>
    <t>Liu et al., 1971; Engelbrecht et al., 1980; Black et al., 2009; Sobsey et al., 1988; Payment et al., 1985; Sobsey et al., 1991; Blatchley et al., 2005; Cromeans et al., 2010; Gerba et al., 2003; Grabow et al., 1983; Jensen et al., 1980; MacDonald et al., 1998; Morsy et al., 2007</t>
  </si>
  <si>
    <t>Koivunen and Heinonen-Tanksi, 2005</t>
  </si>
  <si>
    <t>Inactivation of enteric microorganisms with chemical disinfectants, UV irradiation and combined chemical/UV treatments</t>
  </si>
  <si>
    <t>The relative disinfection efficiencies of peracetic acid (PAA), hydrogen peroxide (H2O2) and sodium hypochlorite (NaOCl) against Escherichia coli, Enterococcus faecalis, Salmonella enteritidis and coliphage MS2 virus were studied in laboratory-scale experiments. This study also evaluated the efficiency of combined PAA/ultraviolet irradiation (UV) and H2O2/UV treatments to determine if the microbial inactivation was synergistic. Microbial cultures were added into a synthetic wastewater-like test medium and treated by chemical disinfectants with a 10 min contact time, UV irradiation or the combination of chemical and UV treatments. A peracetic acid dose of 3 mg/l resulted in approximately 2–3 log enteric bacterial reductions, whereas 7–15 mg/l PAA was needed to achieve 1–1.5 log coliphage MS2 reductions. Doses of 3–150 mg/l hydrogen peroxide achieved below 0.2 log microbial reductions. Sodium hypochlorite treatments caused 0.3–1 log microbial reductions at an 18 mg/l chlorine dose, while 2.6 log reductions of E. faecalis were achieved at a 12 mg/l chlorine dose. The results indicate that PAA could represent a good alternative to chlorine compounds in disinfection procedures, especially in wastewaters containing easily oxidizable organic matter. Hydrogen peroxide is not an efficient disinfectant against enteric microorganisms in wastewaters. The combined PAA/UV disinfection showed increased disinfection efficiency and synergistic benefits with all the enteric bacteria tested but lower synergies for the coliphage MS2. This suggests that this method could improve the efficiency and reliability of disinfection in wastewater treatment plants. The combined H2O2/UV disinfection only slightly influenced the microbial reductions compared to UV treatments and showed some antagonism and no synergies.</t>
  </si>
  <si>
    <t>PAA and H2O2 w/ UV</t>
  </si>
  <si>
    <t>Koivunen et al., 2001</t>
  </si>
  <si>
    <t>Determination of Salmonellae from municipal wastewaters</t>
  </si>
  <si>
    <t xml:space="preserve">This study compared the efficiency of culture methods for salmonellae detection in wastewaters collected from three Finnish municipal treatment plants and from one laboratory-scale plant. The performance of one-step enrichment in Preuss tetrathionate broth was better than that of two-step enrichment (buffered peptone water pre-enrichment (BPW) and selective enrichment in Rappaport-Vassiliadis (RV) medium. The best combinations for Salmonella isolation were xylose-lysine-deoxycholate (XLD) and Rambach (RB) agars after Preuss enrichment and did not differ when brilliant green-magnesium chloride (BM) or brilliant green phenol red (BP) agars were used. The two-step enrichment inhibited the growth of both salmonellae and interfering accompanying flora. Salmonella-positive plates were generally easier to read when inoculated from RV than from Preuss medium because of less growth of competing flora. XLD and BM agars supported growth of salmonellae and inhibited growth of competing flora better than BP and Rambach agars. XLD and BM agars gave the highest numbers of salmonellae isolations but XLD and Rambach agars gave the best differentiation. Salmonella levels were &lt;3-&gt;1100 MPN/100 mL.
</t>
  </si>
  <si>
    <t>Korich et al., 1990</t>
  </si>
  <si>
    <t>Effects of ozone, chlorine dioxide, chlorine, and monochloramine on Cryptosporidium parvum oocyst viability</t>
  </si>
  <si>
    <t>Purified Cryptosporidium parvum oocysts were exposed to ozone, chlorine dioxide, chlorine, and monochloramine. Excystation and mouse infectivity were comparatively evaluated to assess oocyst viability. Ozone and chlorine dioxide more effectively inactivated oocysts than chlorine and monochloramine did. Greater than 90% inactivation as measured by infectivity was achieved by treating oocysts with 1 ppm of ozone (1 mg/liter) for 5 min. Exposure to 1.3 ppm of chlorine dioxide yielded 90% inactivation after 1 h, while 80 ppm of chlorine and 80 ppm of monochloramine required approximately 90 min for 90% inactivation. The data indicate that C. parvum oocysts are 30 times more resistant to ozone and 14 times more resistant to chlorine dioxide than Giardia cysts exposed to these disinfectants under the same conditions. With the possible exception of ozone, the use of disinfectants alone should not be expected to inactivate C. parvum oocysts in drinking water.</t>
  </si>
  <si>
    <t>Most LRVs are "estimates" and are therefore not entirely precise</t>
  </si>
  <si>
    <t>Kothari et al., 2020</t>
  </si>
  <si>
    <t>Building-Scale Potable Water Reuse Demonstration Project</t>
  </si>
  <si>
    <t>There are limited examples of small-scale, decentralized potable reuse, though the potential benefits and added flexibility of small-scale reuse are substantial. This 16-month demonstration project showed that building-scale wastewater can be successfully treated to potable water reuse standards, but uncovered specific challenges and opportunities facing small-scale systems. This research adds to the growing body of literature, including the use of Pepper Mild Mottle Virus to indicate virus removal through a low-pressure membrane, and the demonstrated challenges associated with using online UV-visible spectrometry for highly purified water. Published in 2020.</t>
  </si>
  <si>
    <t>Kruithof et al., 2001.</t>
  </si>
  <si>
    <t>Development of a membrane integrity monitoring strategy for the UF/RO Heemskerk drinking water treatment plant</t>
  </si>
  <si>
    <t>At the Heemskerk water treatment plant of N.V. PWN Water Supply Company North Holland the first full scale integrated membrane system in the Netherlands is realized. The 20 Mm3/year (15 MGD) ultrafiltration (UF)/reverse osmosis (RO) plant servicing IJssel Lake water has been in operation since the second half of 1999. Disinfection is a major objective of the direct surface water treatment plant without chemical disinfection. After UF indicator organisms such as E. coli and Clostridia spores were absent. Integer UF membranes removed MS-2 phage spikes completely (&lt;5.4 log), severely compromised membranes removed 2.7 log only. RO showed a high although incomplete removal of MS-2 phages (up to 4.8 log). Therefore integrity monitoring is a critical issue. Before installation, vacuum testing was applied with a criterion of 10 kPa/min. Many standard modules failed to pass the test. During operation UF is monitored by 1 μm particle counting with 0.05 μm particle counting as a quality control. A 3 log removal can be established. At this moment for RO conductivity measurement is applied enabling a 2 log removal monitoring. Short term monitoring of conductivity will be replaced by sulfate, increasing the monitoring range by 1 log unit. The total monitoring range of 5-6 log units easily satisfies the maximum disinfection requirement for the membrane steps for viruses of 3.6 log. To determine a wider range of disinfection requirements PWN together with Norit Membrane Technology developed the Spiked Integrity Monitoring (SIM®) System. Spiking with 14000 PAC particles/ml combined with 1 μm particle counting increased the potential for log removal monitoring of UF to 5.8 log units. Additionally PAC particle spiking increased the potential to detect UF fiber compromising. During the first 200 days of full scale operation, system performance is excellent. Membrane integrity control is very satisfactory and SIM®-System integrity control has proved to be a valid technique to establish a broader range of required inactivation capacities.</t>
  </si>
  <si>
    <t>Kuo et al., 2010</t>
  </si>
  <si>
    <t>Assessment of human adenovirus removal in a full-scale membrane bioreactor treating municipal wastewater</t>
  </si>
  <si>
    <t>Human adenoviruses (HAdVs) in wastewater samples taken from four different treatment stages of a full-scale municipal wastewater treatment plant (i.e., incoming raw sewage, primary sedimentation effluent, membrane bioreactor (MBR) influent, and MBR effluent) were quantified by real-time PCR assays to further estimate removal efficiency of the HAdVs. Based on hexon gene sequence comparisons, HAdV species A, C, and F were consistently found in the wastewater samples. In general, all three identified HAdV species were detected in most of the wastewater samples using the real-time PCR assays. Overall HAdV concentrations were rather stable over the entire 8-month study period (January–August, 2008) (approximately 106–107 viral particles/L of wastewater for the raw sewage and primary effluent; 108–109 viral particles/L for the MBR influent; and, 103–104 viral particles/L for the MBR effluent). No significant seasonal differences were noticed for the HAdV abundances. Removal efficiencies of the viral particles in the full-scale MBR process were assessed and showed an average HAdV removal of 5.0 ± 0.6 logs over the study period. The removal efficiencies for F species (average log removal of 6.5 ± 1.3 logs) were typically higher (p-value &lt;0.05) than those of the other two species (average of 4.1 ± 0.9 and 4.6 ± 0.5 logs for species A and C, respectively). These results demonstrate that the full-scale MBR system efficiently removed most HAdV from the wastewater leaving about 103 viral particles/L in the MBR effluent.</t>
  </si>
  <si>
    <t>Ueda and Horan, 2000; Hu et al., 2003; Ottoson et al., 2006a; Zheng and Liu, 2006; Zhang and Farahbakhsh, 2007; Oota et al., 2005; da Silva et al. (2007); Sedmak et al., 2005; Bofill-Mas et al., 2006; Haramoto et al., 2007</t>
  </si>
  <si>
    <t>LeChavallier and Au (2004)</t>
  </si>
  <si>
    <t>Water Treatment and Pathogen Control</t>
  </si>
  <si>
    <t>Cites a lot of good studies for SSF, MF, UF, and NF/RO, most studies are older though (before 2000); ozone</t>
  </si>
  <si>
    <t>Galvis et al., 1993 (roughing filter); Bernhardt, 1995 (storage); Kors &amp; Bosch, 1995 (storage); Ketelaars et al., 1995 (storage); van Breemen &amp; Waals, 1998 (storage); Ellis, 1985 (SSF); Bellamy et al., 1985 (SSF); Tanner &amp; Ongerth, 1990 (SSF); Parker et al., 1999 (MF); Karimi et al., 1999 (MF); Jacangelo et al., 1995 (MF/UF); Jacangelo et al., 1991 (UF); Adham et al., 1998 (RO); Owen et al., 1999 (NF); Lovins et al., 1999 (NF); Gullick et al., 2000 (NF)</t>
  </si>
  <si>
    <t>Lee and Shin, 2011</t>
  </si>
  <si>
    <t>Inactivation of human adenovirus by sequential disinfection with an alternative UV technology and free chlorine</t>
  </si>
  <si>
    <t>There has been growing concern over human exposure to adenoviruses through drinking water due to the extreme resistance of human adenoviruses to the traditional UV technology (low-pressure (LP) UV). As an effort to develop an effective treatment strategy against human adenoviruses in drinking water, we determined the effectiveness of sequential disinfection with an alternative UV technology (medium-pressure (MP) UV) and free chlorine. Human adenovirus 2 (Ad2) was irradiated with a low dose of MP UV irradiation (10 mJ/cm2) through UV collimated apparatus and then exposed to a low dose of free chlorine (0.17 mg/L) at pH 8 and 5°C using a bench-scale chemical disinfection system. A significant inactivation (e.g. 4 log10) of Ad2 was achieved with the low doses of MP UV and free chlorine within a very short contact time (∼1.5 min) although there was no apparent synergistic effect on Ad2 between MP UV and free chlorine. Overall, it is likely that the sequential disinfection with UV irradiation and free chlorine should control the contamination of drinking water by human adenoviruses within practical doses of UV and free chlorine typically used in drinking water treatment processes.</t>
  </si>
  <si>
    <t>No tabulated LRVs--does contain trendline equations from empirical data to calculate LRVs from Ct of chlorine</t>
  </si>
  <si>
    <t>Linden et al., 2012</t>
  </si>
  <si>
    <t>Study of Innovative Treatments for Reclaimed Water</t>
  </si>
  <si>
    <t>Y</t>
  </si>
  <si>
    <t>There is a lot of LRV data in the figures, but not tabulated. Could reach out to Linden about obtaining raw data from the study. Cites several other studies with LRV data--could be very useful; Chapter 5 and Appendix E could be particularly useful</t>
  </si>
  <si>
    <t>Several</t>
  </si>
  <si>
    <t>Locas et al., 2010</t>
  </si>
  <si>
    <t>Removal of human enteric viruses and indicator microorganisms from domestic wastewater by aerated lagoons</t>
  </si>
  <si>
    <t>Aerated lagoons offer a low-cost and simple approach to treating domestic wastewater in small municipalities. The objective of the current study was to evaluate, for each cell in the lagoons, the removal of indicator microorganisms and human enteric viruses under warm (summer) and cold (early spring) conditions. The two sites are located in southwest Quebec, Canada. Samples were assayed for thermotolerant coliforms, enterococci, Clostridium perfringens, somatic and male-specific coliphages, and culturable human enteric viruses (HEV). The results show higher removal under warm ambient conditions for all microorganisms. Thermotolerant coliforms and enterococci were removed to a greater extent than C. perfringens and HEV. HEV removal was only observed in warm ambient conditions. The removal of coliphages was different from the observed removal of HEV. The use of coliphages as surrogates for HEV has been proposed, but this does not seem appropriate for aerated lagoons, as the removal of coliphages overestimates the removal of HEV. Given the low observed removal of HEV during this study, the effluents remain a significant source of pathogens that can affect drinking water treatment plants drawing their raw water from receiving streams. Ultraviolet disinfection of treated wastewater effluent is a possible solution.</t>
  </si>
  <si>
    <t>Lv et al., 2006</t>
  </si>
  <si>
    <t>Virus removal performance and mechanism of a submerged membrane bioreactor</t>
  </si>
  <si>
    <t>Maciel et al., 2021</t>
  </si>
  <si>
    <t>Household water purification system comprising cartridge filtration, UVC disinfection and chlorination to treat turbid raw water</t>
  </si>
  <si>
    <t xml:space="preserve">Madaeni et al., 1995. </t>
  </si>
  <si>
    <t>Virus removal from water and wastewater using membranes</t>
  </si>
  <si>
    <t>Membranes are finding increasing application in disinfection processes for raw water and municipal effluent reuse. The efficiency of virus removal is vitally important if membranes are to become widespread in these applications. In particular the ability of microfiltration (MF) to adequately retain viruses is of interest.
This paper describes experimental studies of poliovirus transmission through 0.2 μm microfiltration (MF) and 30 kD cut-off ultrafiltration (UF) membranes. Transmission was measured for both dead end and stirred conditions and for transmembrane pressure values of 25, 50, 100 and 200 kPa. Feed solutions containing virus only, virus in the presence of biomass (E. coli) and virus in the presence of turbidity were used. It was found that UF membranes give complete rejection of virus and that MF membranes gave significant removals under appropriate conditions.</t>
  </si>
  <si>
    <t>Madsen, 2014</t>
  </si>
  <si>
    <t>Chapter 6 - Membrane Filtration in Water Treatment – Removal of Micropollutants</t>
  </si>
  <si>
    <t>Not accessible; textbook</t>
  </si>
  <si>
    <t>Mara and Horan, 2003</t>
  </si>
  <si>
    <t>Handbook of Water and Wastewater Microbiology</t>
  </si>
  <si>
    <t>JAP,KLM</t>
  </si>
  <si>
    <t>Textbook, was rejected, accepted after 2nd review</t>
  </si>
  <si>
    <t>Nappier et al., 2018</t>
  </si>
  <si>
    <t>Potable Reuse: What are the Microbiological Risks?</t>
  </si>
  <si>
    <t>Review</t>
  </si>
  <si>
    <t>SCA</t>
  </si>
  <si>
    <t>Nasser, 2016</t>
  </si>
  <si>
    <t>Removal of Cryptosporidium by wastewater treatment processes: a review</t>
  </si>
  <si>
    <t>Cryptosporidium is a protozoan parasite that infects humans and various animal species. The environmental stability and the low infectious dose of Cryptosporidium facilitate its transmission by water and food. Discharge of untreated wastewater may result in waterborne or foodborne Cryptosporidium outbreaks, therefore a suitable treatment may prevent its dissemination. Most studies on the prevalence of Cryptosporidium oocysts in wastewater have reported a concentration range between 10 and 200 oocysts/L and a prevalence of 6 to 100%. Activated sludge has been found to be ineffective for the removal of Cryptosporidium oocysts. Stabilization ponds and constructed wetlands are efficient for the reduction of Cryptosporidium from wastewater, especially when the retention time is longer than 20 days at suitable sunlight and temperature. High rate filtration and chlorine disinfection are inefficient for the reduction of Cryptosporidium from effluents, whereas ultrafiltration and UV irradiation were found to be very efficient for the reduction of Cryptosporidium oocysts. Adequate tertiary treatment may result in high quality effluent with low risk of Cryptosporidium for unrestricted irrigation and other non-potable applications.</t>
  </si>
  <si>
    <t>No empirical pathogen measurements; does contain good sources--could be worth circling back to; suggests Cryptosporidium inactivation by free chlorine is &lt;1 log even at super high dosages (800-900 mg-min/L</t>
  </si>
  <si>
    <t>Lim et al., 2007; Cheng et al., 2009; Ottoson et al., 2006</t>
  </si>
  <si>
    <t>National Research Council, 2012</t>
  </si>
  <si>
    <t>Water Reuse: Expanding the Nation's Water Supply Through Reuse of Municipal Wastewater</t>
  </si>
  <si>
    <t>Doesnt appear to be publicly available - I had a copy in old files, it is in the Resources folder; does not have empirical LRVs, it does cite severdal good articles though so it could be worth coming back to</t>
  </si>
  <si>
    <t>NHMRC, 2008</t>
  </si>
  <si>
    <t>AUSTRALIAN GUIDELINES 22 FOR WATER RECYCLING: MANAGING HEALTH AND ENVIRONMENTAL RISKS (PHASE 2)</t>
  </si>
  <si>
    <t>Doesn't contain any original data--just summarizes the literature</t>
  </si>
  <si>
    <t>NWRI, 2021</t>
  </si>
  <si>
    <t>On-Site Treatment and Reuse of Nonpotable Water</t>
  </si>
  <si>
    <t>Oliveira et al., 2022</t>
  </si>
  <si>
    <t>Nanofiltration as an Efficient Tertiary Wastewater Treatment:
Elimination of Total Bacteria and Antibiotic Resistance Genes
from the Discharged Effluent of a Full-Scale Wastewater
Treatment Plant</t>
  </si>
  <si>
    <t>Olson et al., 2005</t>
  </si>
  <si>
    <t>Seasonal virus removal by alternative onsite wastewater treatment systems</t>
  </si>
  <si>
    <t>Oota et al., 2005</t>
  </si>
  <si>
    <t>Evaluation of MBR effluent characteristics for reuse purposes</t>
  </si>
  <si>
    <t>Ottoson et al., 2006a</t>
  </si>
  <si>
    <t>Removal of viruses, parasitic protozoa and microbial indicators in conventional and membrane processes in a wastewater pilot plant</t>
  </si>
  <si>
    <t>The aim of this study was to investigate variations in the occurrence and removal of enterovirus and norovirus genomes, Giardia cysts, Cryptosporidium oocysts and the most commonly used faecal indicators in a Swedish wastewater pilot plant. Paired samples were taken from the inlet and outlet of each treatment line: tertiary filtration, membrane bioreactor (MBR) and upflow anaerobic sludge blankets (UASB). (Oo)cysts and indicators were enumerated using standard methods and viruses using RT-PCR. Giardia cysts and enteroviruses were constantly detected, mean numbers 103.11 cysts and 104.0 PCR units L−1, respectively. Oocysts were found in 5/19 samples, mean number 5 L−1. Noroviruses were found in 6/7 influent samples, with an average titre of 103.28 L−1, during winter, but only in 2/15 in the rest of the year (mean 200 L−1). MBR treatment removed indicators more efficiently than did the other two lines, with 5 log removal of E. coli. Human virus genome removal did not differ between the MBR and tertiary treatment line. Microorganism removal in UASB was significantly lower for all the organisms studied. E. coli, enterococci and Cl. perfringens removal was correlated () with enterovirus genome removal, with R-values around 0.4. However, values for removal of indicators were more strongly correlated to each other. Removal of viruses based on enumeration using RT-PCR probably underestimates infectious virion removal.</t>
  </si>
  <si>
    <t>Ottoson et al., 2006b</t>
  </si>
  <si>
    <t>Removal of noro- and enteroviruses, Giardia cysts, Cryptosporidium oocysts, and fecal indicators at four secondary treatment plants in Sweden</t>
  </si>
  <si>
    <t>The aim of this study was to investigate variation in the occurrence and removal of enteroviruses, noroviruses, Giardia cysts, Cryptosporidium oocysts, and the most commonly used fecal indicators in four Swedish secondary wastewater treatment plants (WWTPs). Paired samples were taken from the inlet and outlet of each WWTP. (Oo)cysts and indicators were enumerated with standard methods and viruses with a reverse transcriptase polymerase chain reaction. Giardia cysts and enteroviruses were constantly detected (mean numbers were 10(3.31) cysts and 10(4.44) polymerase chain reaction (PCR) units L(-1), respectively). Oocysts were found in 5 out of 19 samples (mean number was 20 L(-1)). Noroviruses were found between November and February, with an average titer of 10(3.29( L(-1). Mean cyst removal was 2.6 log, while noroviruses and enteroviruses were removed by 0.9 and 1.3 log, respectively. There was no correlation between the removals of pathogens and indicators (p &gt; 0.05). Coliphage removal resembled human viral removal better than did F-specific phage.</t>
  </si>
  <si>
    <t>Pecson et al., 2017</t>
  </si>
  <si>
    <t>Reliability of pathogen control in direct potable reuse: Performance evaluation and QMRA of a full-scale 1 MGD advanced treatemtn train.</t>
  </si>
  <si>
    <t>To safely progress toward direct potable reuse (DPR), it is essential to ensure that DPR systems can provide public health protection equivalent to or greater than that of conventional drinking water sources. This study collected data over a one-year period from a full-scale DPR demonstration facility, and used both performance distribution functions (PDFs) and quantitative microbial risk assessment (QMRA) to define and evaluate the reliability of the advanced water treatment facility (AWTF). The AWTF's ability to control enterovirus, Giardia, and Cryptosporidium was characterized using online monitoring of surrogates in a treatment train consisting of ozone, biological activated carbon, microfiltration, reverse osmosis, and ultraviolet light with an advanced oxidation process. This process train was selected to improve reliability by providing redundancy, defined as the provision of treatment beyond the minimum needed to meet regulatory requirements. The PDFs demonstrated treatment that consistently exceeded the 12/10/10-log thresholds for virus, Giardia, and Cryptosporidium, as currently required for potable reuse in California (via groundwater recharge and surface water augmentation). Because no critical process failures impacted pathogen removal performance during the yearlong testing, hypothetical failures were incorporated into the analysis to understand the benefit of treatment redundancy on performance. Each unit process was modeled with a single failure per year lasting four different failure durations: 15 min, 60 min, 8 h, and 24 h. QMRA was used to quantify the impact of failures on pathogen risk. The median annual risk of infection for Cryptosporidium was 4.9 × 10−11 in the absence of failures, and reached a maximum of 1.1 × 10−5 assuming one 24-h failure per process per year. With the inclusion of free chlorine disinfection as part of the treatment process, enterovirus had a median annual infection risk of 1.5 × 10−14 (no failures) and a maximum annual value of 2.1 × 10−5 (assuming one 24-h failure per year). Even with conservative failure assumptions, pathogen risk from this treatment train remains below the risk targets for both the U.S. (10−4 infections/person/year) and the WHO (approximately 10−3 infections/person/year, equivalent to 10−6 DALY/person/year), demonstrating the value of a failure prevention strategy based on treatment redundancy.</t>
  </si>
  <si>
    <t>No pathogen measurements; calculated LRVs through equations relating LRV to effluent water quality parameters and design factors</t>
  </si>
  <si>
    <t>Petterson et al., 2016</t>
  </si>
  <si>
    <t>Evaluation of three full-scale stormwater treatment systems with respect to water yield, pathogen removal efficacy and human health risk from faecal pathogens</t>
  </si>
  <si>
    <t>In this study, three full-scale, operational stormwater harvesting systems located in Melbourne, Australia were evaluated with respect to water yields; pathogen removal performance by analysis of native surrogate data (Escherichia coli, somatic coliphages and Clostridium perfringens); and potential human health risk associated with exposures to faecal pathogens using Quantitative Microbial Risk Assessment (QMRA). The water yield assessment confirmed variation between design and measured yields. Faecal contamination of urban stormwater was site specific and variable. Different treatment removal performance was observed between each of the microbial surrogates and varied between event and baseline conditions, with negligible removal of viruses during event conditions. Open storages that provide a habitat for waterfowl may lead to elevated risk due to the potential for zoonotic transmission. Nevertheless, in the Australian urban setting studied, the potential for human faecal contamination of the separated stormwater system was a critical driver of risk. If the integrity of the sewerage
system can be ensured, then predicted health risks are dramatically reduced.</t>
  </si>
  <si>
    <t>Pouillot et al., 2015</t>
  </si>
  <si>
    <t>Meta-Analysis of the Reduction of Norovirus and MSC in WWTP</t>
  </si>
  <si>
    <t>da Silva et al., 2007; Flannery et al., 2012; Francy et al., 2012; Fumian et al., 2013; Katayama et al., 2008; Nordgren et al., 2009; Sima et al., 2011; Simmons et al., 2011; Tian et a., 2012; Ottoson et al., 2006</t>
  </si>
  <si>
    <t>Pundsack et al., 2001</t>
  </si>
  <si>
    <t>Seasonal Pathogen Removal by Alternative On-Site Wastewater Treatment Systems</t>
  </si>
  <si>
    <t>Qui et al., 2015</t>
  </si>
  <si>
    <t>Assessment of human virus removal during municipal wastewater treatment in Edmonton, Canada</t>
  </si>
  <si>
    <t>Aims: To assess the removal of viruses through the multiple steps of wastewater treatment in a full-scale municipal wastewater treatment plant in Alberta, Canada.
Methods and results: Samples were collected after each of the five treatment steps for a period of 16 months. The amount of viruses and their infectivity were analysed using real-time quantitative PCR (qPCR) and integrated viral cell culture (ICC), respectively. Bacterial indicator Escherichia coli was also tested using membrane filtration. Seven viruses including Norovirus (NoV), Rotavirus (RV), Sapovirus (SaV), Astrovirus (AsV), Adenovirus (AdV), Enterovirus (EV) and JC virus (JCV) were detected in 16 primary effluents in which infectious viruses were present. Different treatment steps showed various efficiencies in virus removal, with membrane ultrafiltration as the most effective at 4·6-7·0 log reduction.
Conclusions: We observed high prevalence of viruses in raw wastewater and different viral reduction after various treatment steps. The discharge of treated wastewater with infectious viruses represents potential risks to human, animal and environmental health.
Significance and impact of the study: This study provides a comprehensive assessment of the removal of NoV, RV, SaV, AsV, AdV, EV, JCV and Reovirus from wastewater by current procedures of municipal wastewater treatment and discusses the applicability of various viruses as viral indicators for water quality.</t>
  </si>
  <si>
    <t>Rachmadi et al., 2021</t>
  </si>
  <si>
    <t>Enteric virus in reclaimed water from treatment plants with different multi-barrier strategies: Trade-off assessment in treatment extent and risks</t>
  </si>
  <si>
    <t>Reclaimed water is an alternative water resource to mitigate water scarcity. To promote safe reuse, this paper aims to monitor the enteric virus concentration in the reclaimed water generated by two sewage treatment plants (STP) with different multibarrier technologies, and to assess if stringent treatment extent is required in a low-resource setting to achieve minimal viral risks arising from non-potable reuse. Through a 9-month surveillance, it was observed that a higher diversity and abundance of enteric DNA and RNA viruses were detected in treated wastewater generated from conventional activated sludge (i.e., site B) compared to that from membrane bioreactor-based STP (i.e., site A). To exemplify, enteric RNA viruses were detected in up to 1.13, 4.1, 4.9, 4.5, and 4.5 log10 copies/L for Aichi virus (AiV), rotavirus (RV), enterovirus (EV), norovirus GI and GII (NoV GII, GII) respectively, at site B. For enteric DNA virus, up to 4.3 and 5.35 log10 copies/L of adenovirus (AdV) and polyoma BK virus (BKV) were also found in site B. This is in contrast to the absence of AiV, RV and NoV detected in samples from site A. However, when translated to risks outcome from NoV GII, it was noted that recreational users at both sites A and B are exposed to acceptable disease burden (&lt;10−4 DALYpppy). Occupational workers at site B faced burden risk of 2.01 × 10−4 to 3.85 × 10−4 DALYpppy, which is slightly higher than the acceptable 10−4 DALYpppy but such level of risks can be reduced by minimizing exposure frequency and/or adoption of best management practices. Findings from this study suggest that additional implementation of treatment barriers that incur higher capital investment or energy costs in low resource countries may not be mandatory to mitigate risks arising from enteric viruses for non-potable reuse purposes studied here.</t>
  </si>
  <si>
    <t xml:space="preserve">No tabulated LRVs or recorded LRVs </t>
  </si>
  <si>
    <t>Rose et al., 1996</t>
  </si>
  <si>
    <t>Removal of pathogenic and indicator microorganisms by a full-scale water reclamation facility</t>
  </si>
  <si>
    <t>Monitoring data and dose-response models were used to evaluate risks associated with viruses and protozoa at a full-scale reclamation facility. Indigenous indicator and pathogenic microorganisms were monitored at different stages of treatment for 1 yr at a full-scale water reclamation facility that produced reclaimed water for residential irrigation. The combination of biological treatment, sand filtration, and chlorination employed at the plant reduced total and fecal coliforms by &gt; 7 log10 and coliphages and enteroviruses by &gt; 5 log10. Protozoa (Cryptosporidium and Giardia spp.) were reduced by &gt; 3 log10. Viruses and protozoa were detected in the reclaimed water at levels between 0.01 and 5 per 100 l. The addition of large numbers of bacteriophage as a tracer permitted an assessment of inactivation and/or removal by the filtration and chlorination units, which were shown to provide 1.6 and 1.5 log10 reductions, respectively. Analysis of the risk associated with exposure to the reclaimed water shows that the probability of infection following a single exposure to 100 ml of the water was between 10−6 (1 in a million) and 10−8 (1 in 100 million) for landscape irrigation. In general, anaerobic treatment of residual solids produced during the wastewater treatment process reduced the levels of indicator and pathogenic microorganisms by approximately 1 log10. The levels of viruses detected in the final residual would not meet acceptable levels for land application for class A residuals according to EPA regulations.</t>
  </si>
  <si>
    <t>Rose et al., 2004</t>
  </si>
  <si>
    <t>Reduction of pathogens, indicator bacteria, and alternative indicators by wastewater treatment and reclamation processes</t>
  </si>
  <si>
    <t xml:space="preserve">The need for alternative sources of water, especially for non-potable purposes, has been met in many states in the US and throughout the world through the use of reclaimed wastewater. Wastewater contains a wide variety of microbial pathogens that may pose a risk to human health if not properly controlled; however, there are currently no national standards for microorganisms or consistent treatment requirements in the US with regards to reclaimed water. Besides the routine monitoring for TC and FC bacteria that has been used for assessing water quality, several types of alternative microorganisms have been suggested as indicators of water quality, fecal pollution, and public health risks. These include enterococci, Clostridium perfringens, and coliphage among others. This project evaluated the removal of both indicators (TC and FC, enterococci, C. perfringens and coliphage) and pathogens (enteroviruses, Giardia spp. and Cryptosporidium spp.) at 3 water reclamation facilities with varying treatment designs and operations. The facilities evaluated range in size from 20 to 44 million Liters per day capacity, with both shallow and deep bed sand/anthracite filters. Differences also existed in the disinfection processes for the 3 reclamation plants. The TC and FC showed a 5 to 7 log reduction throughout the treatment processes with no detectable levels in the final effluent. However, even though the alternative indicators (enterococci, C. perfringens and coliphage) showed reductions that varied from 2 to 6 logs, some levels of these indicators were consistently detected in 2 of the 3 facilities in the final reclaimed effluent. Both Cryptosporidium spp. and Giardia spp. were detected in the final effluent in all 3 facilities, even when no indicators were present. Virus detection was seasonal, and associated with cooler temperatures and less disinfection. The results of this study indicate that differences in filter design, operations, and disinfection approaches were responsible for differences in inter and intra facility water quality variability.
</t>
  </si>
  <si>
    <t>Not accessible originally, but found PDF online</t>
  </si>
  <si>
    <t>Russo, et al., 2019</t>
  </si>
  <si>
    <t>Constructed wetlands combined with disinfection systems for removal of urban wastewater contaminants</t>
  </si>
  <si>
    <t>The removal efficiency of an urban wastewater treatment plant (WWTP) to obtain an effluent suitable for agriculture reusewas evaluated in a one-year period, taking into account the Italianwastewater limits and the recent European proposal for the minimum requirements water quality for agricultural irrigation. The secondary effluent ofWWTP was treated by three full-scale horizontal sub-surface flow (H-SSF) constructed wetlands (CWs), working in parallel, planted with different macrophytes species, and combinedwith a UV device and a lagooning system running in series. The H-SSF CW system effectively reduced physico-chemical pollutants and its efficiency was steady over the investigation period, while, Escherichia coli densities always exceed the Italian limits required for wastewater reuse in agriculture. The UV system significantly reduced the microbiological indicators, eliminating E. coli, in compliance with the Italian regulation, and somatic coliphages, although a variable efficacy against total coliforms and enterococci, especially in winter season, was achieved. Although the lagooning unit provides a high removal of the main microbial groups, it did not reduce physico-chemical parameters. Even if the overall performance target,
for the whole treatment chain, met the recent log10 reduction (≥5.0), required by the European Commission, the persistence of enterococci, especially inwinter season, poses a matter of concern for public health, for the potential risk to serve as a genetic reservoir of transferable antibiotic-resistance.</t>
  </si>
  <si>
    <t>Sadr Ghayeni et al., 1999</t>
  </si>
  <si>
    <t>Bacterial passage through microfiltration membranes in wastewater applications</t>
  </si>
  <si>
    <t>Two polyvinylidenefluoride microfiltration membranes (GVHP and GVWP: Millipore, Bedford, MA) with a nominal pore size of 0.22 μm were challenged with mixed microbial cultures present in Milli-Q™ water and in secondary effluent, and with a Gram-negative model bacterium, SW8, to investigate bacterial passage. Total bacterial counts measured microscopically using the DNA fluorochrome DAPI revealed that the small bacteria in Milli-Q™ water passed MF membranes totally. The model bacterium, SW8 and bacteria from secondary effluent were mostly retained with log reduction values (LRV) of 4 and 3.5, respectively. Transmembrane pressure did not influence the levels of bacterial passage significantly. Pore size effects were investigated with track-etched membranes (Poretics™: Osmonics, Minnetonka MN) with nominal pore sizes of 0.2, 0.1 and 0.05 μm. The LRV of 0.2 μm membranes for SW8 and secondary effluent cells was 3 and 1.5, respectively (total counts). Both membranes with pore sizes smaller than 0.2 μm acted similarly, they still transmitted secondary effluent cells with LRV 2 log higher than 0.2 μm membranes, but for SW8 only 50% higher. In contrast to total count results, removal of bacteria was 100% with all membranes when assessed by cultureable counts, i.e. numbers of bacterial colonies recovered on R2A agar plates. Transmitted bacteria failed to grow on standard basal microbiology media most probably because they were injured during passage through the membranes to the extent that recovery in laboratory media did not occur. However, tests with CTC, an indicator of cell viability, indicated that approximately half of the cells of SW8 which passed the membranes had what appeared to be functional electron transfer chains in their membranes. All membranes had a pore size distribution which included pores larger than the nominal value. Field emission scanning electron microscopy (FESEM) provided evidence for entrapment of bacteria within the membrane matrix.</t>
  </si>
  <si>
    <t>Schang et al., 2021</t>
  </si>
  <si>
    <t>Rainwater for residential hot water supply: Managing microbial risks</t>
  </si>
  <si>
    <t>Sedmak et al., 2005</t>
  </si>
  <si>
    <t>Nine-year study of the occurrence of culturable viruses in source water for two drinking water treatment plants and the influent and effluent of a wastewater treatment plant in Milwaukee, Wisconsin (August 1994 through July 2003)</t>
  </si>
  <si>
    <t>Seeger et al., 2016</t>
  </si>
  <si>
    <t>Removal of pathogen indicators from secondary effluent using slow sand filtration: Optimization approaches</t>
  </si>
  <si>
    <t>In many arid regions, the reuse of wastewater is an economic option for crop irrigation. To avoid health risks for consumers, pathogens must be eliminated prior to application. Slow sand filtration (SSF) represents an effective low-tech treatment technology for pathogen removal from water. To further improve the time-space yield of SSF, innovative filter configurations were investigated regarding the removal of the pathogen indicators Escherichia coli, enterococci, Clostridium perfringens spores, somatic and F-specific RNA coliphages as well as heterotrophic bacteria. A standard filter (N), a recirculating filter (R), a static cascade (N + N) and a rotating cascade (C) were tested at high and low hydraulic loading rates, two recirculation rates and two rotation frequencies. Results showed that only C and N + N concurrently complied with European standards for E. coli and enterococci, achieving mean log removal of 2.7-4.7 and 2.1-2.4, respectively. The best performance was reached by C with weekly rotation; N + N may be a promising, technically simpler alternative. The crucial role of biological removal mechanisms for E. coli and enterococci elimination was indicated by (i) the increased efficiency of the standard SSF N after 1½ years of operation and (ii) the positive impact of several Schmutzdecke layers. C. perfringens spore removal performance was good for all SSFs. Considerable sorption of spores was indicated by decreased efficiency in N and C at long operation times. Somatic coliphages were reduced to concentrations close to the detection limit, while F-specific RNA coliphage removal was ∼1.1 log. Removal of heterotrophic bacteria was generally limited.</t>
  </si>
  <si>
    <t>LRVs are not tabulated, but certain ones are cited in text and are recorded. LRVs are reported in figures, but no clear numerical values were determined</t>
  </si>
  <si>
    <t>Selas et al., 2003</t>
  </si>
  <si>
    <t>Wastewater reuse in on-site wastewater treatment: bacteria and virus movement in unsaturated flow through sand filter.</t>
  </si>
  <si>
    <t>Sharvelle et al., 2017</t>
  </si>
  <si>
    <t>Risk-Based Framework for the Development of Public Health Guidance for Decentralized Non-Potable Water Systems</t>
  </si>
  <si>
    <t>Sigmon et al., 2015</t>
  </si>
  <si>
    <t>Establishing surrogate–virus relationships for ozone disinfection of wastewater</t>
  </si>
  <si>
    <t>Safe reuse of wastewater requires high levels of pathogen inactivation. Ozone is a very effective disinfectant for viruses and has distinct benefits over other forms of disinfectants, in that it increases the clarity of water and can oxidize some chemical contaminants in water. However, because of the combination of high ozone demand of most wastewaters and rapid reaction with viruses, determination of ozone dose in wastewater and recycled water treatment is not well defined. While various surrogates are used as indicator organisms for human pathogenic viruses in water reuse practice, much less is known about the relationship between surrogates and human pathogenic viruses for ozone disinfection in wastewater. In this study, the ozone inactivation dose response of several surrogates (Escherichia coli, coliphage T1, T4, PRD-1, ΦX174, and MS2) and human pathogenic viruses (poliovirus 1, echovirus 11, coxsackievirus B5, and adenovirus 2) were compared for the first time in secondary effluent wastewater. A unique reduction equivalent dose method was proposed to compare the inactivation of the microorganisms studied across waters with varying ozone demand. Inactivation of all viruses and surrogates studied was greater than 4 log at ozone Ct levels of less than 1 (mg/L)-min. E. coli and PRD-1 were identified as conservative surrogates for indicating inactivation of human pathogenic viruses in ozone disinfection of wastewater, providing a tool for practitioners and regulators to confidently accept ozonation systems for virus inactivation in wastewater reuse.</t>
  </si>
  <si>
    <t>Simmons and Xagoraraki, 2011</t>
  </si>
  <si>
    <t>Release of infectious human enteric viruses by full-scale wastewater utilities</t>
  </si>
  <si>
    <t>In the United States, infectious human enteric viruses are introduced daily into the environment through the discharge of treated water and the digested sludge (biosolids). In this study, a total of 30 wastewater and 6 biosolids samples were analyzed over five months (May–September 2008–2009) from five full-scale wastewater treatment plants (WWTPs) in Michigan using real-time PCR and cell culture assays. Samples were collected from four different locations at each WWTP (influent, pre-disinfection, post-disinfection and biosolids) using the 1MDS electropositive cartridge filter. Adenovirus (HAdV), enterovirus (EV) and norovirus genogroup II (NoV GGII) were detected in 100%, 67% and 10%, respectively of the wastewater samples using real-time PCR. Cytopathic effect (CPE) was present in 100% of the cell culture samples for influent, pre- and post-disinfection and biosolids with an average log concentration of 4.1 (2.9–4.7, range) 1.1 (0.0–2.3, range) and 0.5 (0.0–1.6, range) MPN/100 L and 2.1 (0.5–4.1) viruses/g, respectively. A significant log reduction in infectious viruses throughout the wastewater treatment process was observed at an average 4.2 (1.9–5.0, range) log units. A significant difference (p-value &lt;0.05) was observed using real-time PCR data for HAdV but not for EV (p-value &gt;0.05) removal in MBR as compared to conventional treatment. MBR treatment was able to achieve an additional 2 and 0.5 log reduction of HAdV and EV, respectively. This study has demonstrated the release of infectious enteric viruses in the final effluent and biosolids of wastewater treatment into the environment.</t>
  </si>
  <si>
    <t>Soller et al., 2017</t>
  </si>
  <si>
    <t>Evaluation of microbial risks associated with direct potable reuse.</t>
  </si>
  <si>
    <t xml:space="preserve">Understanding pathogen risks is a critically important consideration in the design of water treatment, particularly for potable reuse projects. As an extension to our published microbial risk assessment methodology to estimate infection risks associated with Direct Potable Reuse (DPR) treatment train unit process combinations, herein, we (1) provide an updated compilation of pathogen density data in raw wastewater and dose-response models; (2) conduct a series of sensitivity analyses to consider potential risk implications using updated data; (3) evaluate the risks associated with log credit allocations in the United States; and (4) identify reference pathogen reductions needed to consistently meet currently applied benchmark risk levels. Sensitivity analyses illustrated changes in cumulative annual risks estimates, the significance of which depends on the pathogen group driving the risk for a given treatment train. For example, updates to norovirus (NoV) raw wastewater values and use of a NoV dose-response approach, capturing the full range of uncertainty, increased risks associated with one of the treatment trains evaluated, but not the other. Additionally, compared to traditional log-credit allocation approaches, our results indicate that the risk methodology provides more nuanced information about how consistently public health benchmarks are achieved. Our results indicate that viruses need to be reduced by 14 logs or more to consistently achieve currently applied benchmark levels of protection associated with DPR. The refined methodology, updated model inputs, and log credit allocation comparisons will be useful to regulators considering DPR projects and design engineers as they consider which unit treatment processes should be employed for particular projects.
</t>
  </si>
  <si>
    <t>No direct pathogen measurements</t>
  </si>
  <si>
    <t>Soller et al., 2018</t>
  </si>
  <si>
    <t>Direct potable reuse microbial risk assessment methodology: Sensitivity analysis and application to state log credit allocations</t>
  </si>
  <si>
    <t>This work evaluates the potential microbial risks associated with various direct potable reuse (DPR) treatment train combinations for recycled water. The assessment methodology leverages readily available peer-reviewed pathogen density and treatment process removal data and extends a previously published statistical approach. The results illustrate clear quantitative human health-based advantages for DPR projects in which product water is introduced into the raw water supply upstream of a conventional drinking water treatment facility, compared to those in which product water is introduced directly into a potable water supply distribution system. The results also indicate that a single day can drive annual risks, highlighting the need for robust and reliable on-line monitoring of unit treatment processes within DPR facilities. The methodology is adaptable to other DPR treatment trains and could be iteratively refined as additional data become available. This work will be useful to federal and state regulators considering DPR as source water, state and local decision makers as they consider whether to permit a particular DPR project, and design engineers as they consider which unit treatment processes should be employed for particular projects.</t>
  </si>
  <si>
    <t xml:space="preserve">No pathogen measurements; only focuses on risk assessment/levels and only references log removal credits, not value </t>
  </si>
  <si>
    <t>Stefanakis, et al., 2018</t>
  </si>
  <si>
    <t>Presence of bacteria and bacteriophages in full-scale trickling filters and an aerated constructed wetland</t>
  </si>
  <si>
    <t>Aerated Constructed Wetlands are a state-of-the-art design that provides a different physical and chemical environment (compared to traditional passive wetland designs) for the wastewater treatment processes and, thus, may have different pathogen removal characteristics. In order to establish the fate of bacterial and viral indicators, a field study was carried out at a Sewage Treatment Works (STW) in the UK for a 5-
month period. The STW consists of primary and secondary sedimentation and trickling filters (TF) as the biological stage. A large pilot aerated Vertical Flow Constructed Wetland (AVFCW) was constructed at the STW as tertiary stage receiving ¼ of the total flow rate. Effluent quality of the AVFCW complied with national and international standards for environmental discharge and reuse. For the first time, two sets of bacterial (Faecal coliforms, E.coli and intestinal enterococci) and viral indicators (Somatic coliphages, F-RNA specific bacteriophages and humanspecific B. fragilis GB124 phages) were simultaneously investigated in an AVFCW. High elimination rates were detected (up to 3.7 and 2.2 log reduction for bacteria indicators an phages, respectively) and strong correlations between the two sets were found. The superior efficiency of the aerated Constructed Wetlands in microbiological contamination removal compared to passive wetland systems was established for the first time, which may have implications for process selection for wastewater reuse. This field study therefore provides new evidence on the fate of bacteriophages and a first indication of their potential use for performance evaluation in TF and aerated Constructed Wetlands.</t>
  </si>
  <si>
    <t>Sun et al., 2016</t>
  </si>
  <si>
    <t>Inactivation of Escherichia coli, Bacteriophage MS2, and Bacillus Spores under UV/H2O2 and UV/Peroxydisulfate Advanced Disinfection Conditions</t>
  </si>
  <si>
    <t xml:space="preserve">Ultraviolet light (UV) combined with peroxy chemicals, such as H2O2 and peroxydisulfate (PDS), have been considered potentially highly effective disinfection processes. This study investigated the inactivation of Escherichia coli, bacteriophage MS2, and Bacillus subtilis spores as surrogates for pathogens under UV/H2O2 and UV/PDS conditions, with the aim to provide further understanding of UV-based advanced disinfection processes (ADPs). Results showed that one additional log of inactivation of E. coli was achieved with 0.3 mM H2O2 or PDS at 5.2 × 10–5 Einstein·L–1 photo fluence (at 254 nm) compared with UV irradiation alone. Addition of H2O2 and PDS greatly enhanced the inactivation rate of MS2 by around 15 folds and 3 folds, respectively, whereas the inactivation of B. subtilis spores was slightly enhanced. Reactive species responsible for the inactivation were identified to be •OH, SO4·–, and CO3·– based on manipulation of solution conditions. The CT value of each reactive species was calculated with respect to each microbial surrogate, which showed that the disinfection efficacy ranked as •OH &gt; SO4·– &gt; CO3·– ≫ O2·–/HO2·. A comprehensive dynamic model was developed and successfully predicted the inactivation of the microbial surrogates in surface water and wastewater matrices. The concepts of UV-efficiency and EE/O were employed to provide a cost-effective evaluation for UV-based ADPs. Overall, the present study suggests that it will be beneficial to upgrade UV disinfection to UV/H2O2 ADP for the inactivation of viral pathogens.
</t>
  </si>
  <si>
    <t>Tanner et al., 2004.</t>
  </si>
  <si>
    <t>Evaluation of eloctrochemically generated ozone for the disinfection of water and wastewater</t>
  </si>
  <si>
    <t>Effective wastewater treatment is critical to public health and well-being. This is especially true in developing countries, where disinfection of wastewater is frequently inadequate. People who live in these areas may benefit from wastewater disinfection using ozone. This study evaluated the ability of a new electrochemical process of ozone generation, which produced ozone continuously at high pressure and concentration by the electrolysis of water, to disinfect tap water and secondarily treated wastewater. Inactivation of Klebsiella terrigena, Escherichia coli, MS2 bacteriophage and poliovirus 1 was evaluated first in reverse osmosis (RO) treated water. Inactivation of K. terrigena (6-log), E. coli (6-log), MS2 (6-log) and poliovirus 1 (&gt;3-log) was observed after 1 min of ozonation in a 1 L batch reactor. Experiments were then performed to assess the microbiological impact of disinfection using ozone on secondarily treated municipal wastewater. The effect of ozonation on wastewater was determined for total and faecal coliforms, bacteriophages and heterotrophic plate count (HPC) bacteria. Electrochemical ozone generators provided an effective, rapid and low-cost method of wastewater disinfection. Based on the results of this research, electrochemically generated ozone would be well suited to remote, small-scale, disinfection operations and may provide a feasible means of wastewater disinfection in developing countries.</t>
  </si>
  <si>
    <t>Taran-Benshoshan et al., 2015</t>
  </si>
  <si>
    <t>Cryptosporidium and Giardia removal by secondary and tertiary wastewater treatment</t>
  </si>
  <si>
    <t>Wastewater disposal may be a source of environmental contamination by Cryptosporidium and Giardia. This study was conducted to evaluate the prevalence of Cryptosporidium oocysts and Giardia cysts in raw and treated wastewater effluents. A prevalence of 100% was demonstrated for Giardia cysts in raw wastewater, at a concentration range of 10 to 12,225 cysts L(-1), whereas the concentration of Cryptosporidium oocysts in raw wastewater was 4 to 125 oocysts L(-1). The removal of Giardia cysts by secondary and tertiary treatment processes was greater than those observed for Cryptosporidium oocysts and turbidity. Cryptosporidium and Giardia were present in 68.5% and 76% of the tertiary effluent samples, respectively, at an average concentration of 0.93 cysts L(-1) and 9.94 oocysts L(-1). A higher detection limit of Cryptosporidium oocysts in wastewater was observed for nested PCR as compared to immune fluorescent assay (IFA). C. hominis was found to be the dominant genotype in wastewater effluents followed by C. parvum and C. andersoni or C. muris. Giardia was more prevalent than Cryptosporidium in the studied community and treatment processes were more efficient for the removal of Giardia than Cryptosporidium. Zoonotic genotypes of Cryptosporidium were also present in the human community. To assess the public health significance of Cryptosporidium oocysts present in tertiary effluent, viability (infectivity) needs to be assessed.</t>
  </si>
  <si>
    <t>Tchobanoglous et al., 2014</t>
  </si>
  <si>
    <t>Wastewater Engineering: Treatment and Resource Recovery</t>
  </si>
  <si>
    <t>Thurston-Enriquez et al., 2003</t>
  </si>
  <si>
    <t>Chlorine inactivation of adenovirus type 40 and feline calcivirus</t>
  </si>
  <si>
    <t>Ct values, the concentration of free chlorine multiplied by time of contact with virus, were determined for free-chlorine inactivation experiments carried out with chloroform-extracted (dispersed) and non-chloroform-extracted (aggregated) feline calicivirus (FCV), adenovirus type 40 (AD40), and polio virus type 1 (PV-1). Experiments were carried out with high and low pH and temperature conditions. Ct values were calculated directly from bench-scale free-chlorine inactivation experiments and from application of the efficiency factor Hom model. For each experimental condition, Ct values were higher at pH 8 than at pH 6, higher at 5°C than at 15°C, and higher for dispersed AD40 (dAD40) than for dispersed FCV (dFCV). dFCV and dAD40 were more sensitive to free chlorine than dispersed PV-1 (dPV-1). Cts for 2 log inactivation of aggregated FCV (aFCV) and aggregated PV-1 (aPV-1) were 31.0 and 2.8 orders of magnitude higher than those calculated from experiments carried out with dispersed virus. Cts for 2 log inactivation of dFCV and dAD40 in treated groundwater at 15°C were 1.2 and 13.7 times greater than in buffered-demand-free (BDF) water experiments at 5°C. Ct values listed in the U.S. Environmental Protection Agency (EPA) Guidance Manual were close to, or lower than, Ct values generated for experiments conducted with dispersed and aggregated viruses suspended in BDF water and for dispersed viruses suspended in treated groundwater. Since the state of viruses in water is most likely to be aggregated and associated with organic or inorganic matter, reevaluation of the EPA Guidance Manual Ct values is necessary, since they would not be useful for ensuring inactivation of viruses in these states. Under the tested conditions, dAD40, dFCV, aFCV, dPV-1, and aPV-1 particles would be inactivated by commonly used free chlorine concentrations (1 mg/liter) and contact times (60 to 237 min) applied for drinking water treatment in the United States.</t>
  </si>
  <si>
    <t>Time dependent LRVs without Ct characterization</t>
  </si>
  <si>
    <t>Tran et al., 2020</t>
  </si>
  <si>
    <t>On-site rainwater harvesting and treatment for drinking water supply: assessment of cost and technical issues</t>
  </si>
  <si>
    <t>Do not isolate removals by unit process</t>
  </si>
  <si>
    <t>U.S. EPA, 2005</t>
  </si>
  <si>
    <t>Membrane Filtration Guidance Manual</t>
  </si>
  <si>
    <t>U.S. EPA, 2006</t>
  </si>
  <si>
    <t>Ultraviolet Disinfection Guidance Manual for the Final Long Term 2 Enhanced Surface Water Treatment Rule;</t>
  </si>
  <si>
    <t>Ueda &amp; Horan, 2000</t>
  </si>
  <si>
    <t>Fate of indigenous bacteriophage in a membrane bioreactor</t>
  </si>
  <si>
    <t>Indigenous bacteriophage was isolated from a conventional sewage treatment plant treating a largely domestic wastewater. The isolated phage was T-even-like with a mean size of 200 nm and was used to indicate the viral removal efficiency achieved in a bench-scale membrane bioreactor (MBR). The MBR incorporated three flat microfiltration membrane modules which were polyethylene with a pore size of 0.4 μm. When treating settled domestic sewage, the MBR achieved an overall removal rate of phage of 2.3–5.9 log across the treatment process. The membrane alone demonstrated a poor phage removal efficiency, but removal efficiency increased as the filtration resistance was increased. It was proposed therefore, that the biofilm accumulating on the surface of the membrane made a major contribution to phage removal. The MBR demonstrated an almost complete removal of faecal coliforms and faecal streptococci (up to 7 log). By comparison a full-scale treatment plant treating the same settled sewage and incorporating tertiary treatment, achieved only up to 2 log removal of the same excreted phage and bacteria.</t>
  </si>
  <si>
    <t>Wickramanayake et al., 1985</t>
  </si>
  <si>
    <t>Effect of ozone and storage temperature on Giardia cysts</t>
  </si>
  <si>
    <t>The effects of ozone and storage temperature on the survival of Giardia lamb Ha cysts, the cause of human giardiasis, and Giardia muris, a parasite of mice, were compared. The viabilities of the cysts were similar over a period of 25 days of storage in the range of -6° to 37°C; the optimum temperature for their long-term survival was determined to be about 5°C. Ozone was extremely effective for inactivating cysts of both Giardia species, with G. tnuris being consistently more resistant than G. lamb Ha at pH 7 and 5°C and 25°C.</t>
  </si>
  <si>
    <t>Winward et al., 2008.</t>
  </si>
  <si>
    <t>A study of the microbial quality of grey water and an
evaluation of treatment technologies for reuse</t>
  </si>
  <si>
    <t>The reuse of grey water for non-potable water applications is a potential solution for waterdeprived
regions worldwide. Adequate treatment of grey water prior to reuse is important
to reduce the risks of pathogen transmission and to improve the efficacy of subsequent
disinfection. This study investigated the presence of common pathogens in grey water and
compared the pathogen removal performance of leading contender treatment technologies.
The opportunistic pathogens Pseudomonas aeruginosa and Staphylococcus aureus were
detected in the greywater tested. Three configurations of constructedwetland, amembrane
bioreactor (MBR), and a membrane chemical reactor (MCR) were evaluated for indicator bacteria
(total coliforms, Escherichia coli, Enterococci, Clostridia, and heterotrophs) removal over
a period of 2 years under conditions of low and high strength grey water influent. Total
coliforms were found to be good indicators for P. aeruginosa, showing strong and significant
Spearman’s rank correlations in the influent grey water (rs = 0.77, P = 0.005) and treated
effluents (rs = 0.81, P≤0.001). The MBR provided the highest quality treated effluent and was
the most robust treatment technology, remaining unaffected by an increase in influent grey
water strength. Of the three constructedwetlands, the VFRBwas the most reliable performer
under low and high strength influent conditions, indicating aerobic unsaturated wetland to
be the most suitable form of the technology for pathogen removal.</t>
  </si>
  <si>
    <t>Zhang &amp; Farahbakhsh, 2007</t>
  </si>
  <si>
    <t>Removal of native coliphages and coliform bacteria from municipal wastewater by various wastewater treatment processes: implications to water reuse</t>
  </si>
  <si>
    <t>Zheng &amp; Liu, 2006</t>
  </si>
  <si>
    <t>Mechanism investigation of virus removal in a membrane bioreactor</t>
  </si>
  <si>
    <t>Zheng &amp; Liu, 2007</t>
  </si>
  <si>
    <t>Virus rejection with two model human enteric viruses in membrane bioreactor system</t>
  </si>
  <si>
    <t>A membrane bioreactor (MBR) with gravity drain was tested for virus rejection with two coliphages, T4 and f2, which were used as surrogates for human enteric viruses. Virus rejection was investigated by PVDF and PP membrane modules, with the pore sizes of 0.22 and 0.1 μm, respectively. In tap water system, 2.1 lg rejection of coliphage T4 could be achieved by PVDF membrane compared with complete rejection by PP membrane, while for coliphage f2 with smaller diameter, 0.3–0.5 lg rejection of the influent virus was removed by the two membranes. In domestic wastewater system, cake layer and gel layer on the membrane surface changed the cut-off size of the membrane so that there was no significant difference between PP and PVDF for each coliphage. The removal ratios of coliphage T4 and f2 in the MBR were more than 5.5 and 3.0 lg, respectively. Compared with 5.5 lg removal for virus T4 in the MBR system, only 2.1 lg (96.8%–99.9%) removal rate was observed in the conventional activated sludge system with the influent virus concentration fluctuating from 1830 to 57000 PFU/mL. Only 0.8%–22% virus removal was the effect of adsorption to activated sludge, which showed a decreasing tendency with the retention time, while 75%–98% was the effect of virus inactivation by microbial activity. It indicated that the major mechanism of virus removal was not the transfer of viruses from the water phase to the sludge phase but inactivation in the biological treatment process.</t>
  </si>
  <si>
    <t>Bohrerova et al.,2008</t>
  </si>
  <si>
    <t>Comparative disinfection efficiency of pulsed and
continuous-wave UV irradiation technologies</t>
  </si>
  <si>
    <t>Pulsed UV (PUV) is a novel UV irradiation system that is a non-mercury lamp-based
alternative to currently used continuous-wave systems for water disinfection. PUV
polychromatic irradiation disinfection efficiency was compared to that from continuouswave
monochromatic low-pressure (LP) and polychromatic medium-pressure (MP) UV
systems, using two types of actinometry (ferrioxalate and iodide–iodate) and an absolute
spectral emission method for fluence measurement. All three methods were in good
agreement. Once accurate and reliable methods for fluence measurement were established,
the inactivation of Escherichia coli and pathogen surrogates phage T4 and T7 were
investigated under each technology. Inactivation was significantly faster using PUV
irradiation compared to LP or MP UV lamps at equivalent fluence levels. A significant
fraction of the enhanced PUV inactivation efficiency was due to wavelengths greater
than 295 nm.</t>
  </si>
  <si>
    <t>KLM</t>
  </si>
  <si>
    <t>Collivignarelli et al., 2017</t>
  </si>
  <si>
    <t>Overview of the Main Disinfection Processes for Wastewater and DrinkingWater Treatment Plants</t>
  </si>
  <si>
    <t>The use of water disinfection as a public health measure reduces the spread of diseases.
Various disinfection technologies can be used to meet the pathogen inactivation demand in water.
This work is an overview of the main disinfection technologies of wastewater and drinking water that
reports for the conventional processes the action mechanism, the possible formation of by-products,
the operative conditions, the advantages and disadvantages. For advanced and natural processes
the action mechanisms are reported. Advanced technologies are interesting but are still in the
research state, while conventional technologies are the most used. There is a tendency, especially
in Italy, to use chlorine-based disinfectant, despite in some forms could lead to production of
disinfection by-products.</t>
  </si>
  <si>
    <t>ID</t>
  </si>
  <si>
    <t>Source</t>
  </si>
  <si>
    <t>UP</t>
  </si>
  <si>
    <t>Pathogen</t>
  </si>
  <si>
    <t>Ave.</t>
  </si>
  <si>
    <t>n</t>
  </si>
  <si>
    <t>Standard Deviation</t>
  </si>
  <si>
    <t>Coefficient of Variation</t>
  </si>
  <si>
    <t>Min</t>
  </si>
  <si>
    <t>Max</t>
  </si>
  <si>
    <t>Low</t>
  </si>
  <si>
    <t>High</t>
  </si>
  <si>
    <t>Minimums</t>
  </si>
  <si>
    <t>Maximums</t>
  </si>
  <si>
    <t>Virus Figure</t>
  </si>
  <si>
    <t>Bacteria Figure</t>
  </si>
  <si>
    <t>Protozoa Figure</t>
  </si>
  <si>
    <t>Bounty et al. (2012)</t>
  </si>
  <si>
    <t>UP (Unique)</t>
  </si>
  <si>
    <t>Virus</t>
  </si>
  <si>
    <t>Bacteria</t>
  </si>
  <si>
    <t>Protozoa</t>
  </si>
  <si>
    <t>Escherichia coli</t>
  </si>
  <si>
    <t>MS2</t>
  </si>
  <si>
    <t>Adenovirus</t>
  </si>
  <si>
    <t>Count</t>
  </si>
  <si>
    <t>Labels</t>
  </si>
  <si>
    <t>Virus Sorting</t>
  </si>
  <si>
    <t>Virus LRV Minimum</t>
  </si>
  <si>
    <t>Virus LRV Maximum</t>
  </si>
  <si>
    <t>Bacteria Sorting</t>
  </si>
  <si>
    <t>Bacteria LRV Minimum</t>
  </si>
  <si>
    <t>Bacteria LRV Maximum</t>
  </si>
  <si>
    <t>Protozoa Sorting</t>
  </si>
  <si>
    <t>Protozoa LRV Minimum</t>
  </si>
  <si>
    <t>Protozoa LRV Maximum</t>
  </si>
  <si>
    <t>Linden et al. (2012)</t>
  </si>
  <si>
    <t>UV</t>
  </si>
  <si>
    <t>Membrane bioreactor</t>
  </si>
  <si>
    <t>Peat Filter</t>
  </si>
  <si>
    <t>Petterson et al. (2016)</t>
  </si>
  <si>
    <t>UV + H2O2</t>
  </si>
  <si>
    <t>Sand filter</t>
  </si>
  <si>
    <t>Ozone</t>
  </si>
  <si>
    <t>Davies et al. (2008)</t>
  </si>
  <si>
    <t>UV + PAA</t>
  </si>
  <si>
    <t>Sun et al. (2016)</t>
  </si>
  <si>
    <t>Bio-filtration</t>
  </si>
  <si>
    <t>Microfiltration</t>
  </si>
  <si>
    <t>Activated sludge</t>
  </si>
  <si>
    <t xml:space="preserve">Madaeni et al. (1995) </t>
  </si>
  <si>
    <t>Underground storage tank</t>
  </si>
  <si>
    <t>Simmons &amp; Xagoraraki (2011)</t>
  </si>
  <si>
    <t>Storage pond</t>
  </si>
  <si>
    <t>Storage</t>
  </si>
  <si>
    <t>Rose et al. (1996)</t>
  </si>
  <si>
    <t>Chloramination</t>
  </si>
  <si>
    <t>Wickramanayake et al. (1985)</t>
  </si>
  <si>
    <t>Wetland</t>
  </si>
  <si>
    <t>Ultrafiltration</t>
  </si>
  <si>
    <t>Slow sand filtration</t>
  </si>
  <si>
    <t>Primary sedimentation</t>
  </si>
  <si>
    <t>Qiu et al. (2015)</t>
  </si>
  <si>
    <t>UV + Peroxydisulfate</t>
  </si>
  <si>
    <t>Gerba et al. (2002)</t>
  </si>
  <si>
    <t>Rapid sand filtration</t>
  </si>
  <si>
    <t>Keegan et al. (2012)</t>
  </si>
  <si>
    <t>Peracetic acid</t>
  </si>
  <si>
    <t>Francy et al. (2012)</t>
  </si>
  <si>
    <t>Katz et al. (2017)</t>
  </si>
  <si>
    <t>Oxidation ditch</t>
  </si>
  <si>
    <t>Koivunen &amp; Heinonen-Tanksi (2005)</t>
  </si>
  <si>
    <t>Rotating biological contactor</t>
  </si>
  <si>
    <t>Kuo et al. (2010)</t>
  </si>
  <si>
    <t>Upflow anaerobic sludge blanket</t>
  </si>
  <si>
    <t>Trickling filter</t>
  </si>
  <si>
    <t>Ueda &amp; Horan (2000)</t>
  </si>
  <si>
    <t>Cartridge filter</t>
  </si>
  <si>
    <t>Hu et al. (2003)</t>
  </si>
  <si>
    <t>Ottoson et al. (2006)a</t>
  </si>
  <si>
    <t>Ottoson et al. (2006)b</t>
  </si>
  <si>
    <t>Zheng &amp; Liu (2007)</t>
  </si>
  <si>
    <t>Beck et al., 2013</t>
  </si>
  <si>
    <t>Ekeren et al., 2016</t>
  </si>
  <si>
    <t>Friedler et al., 2011</t>
  </si>
  <si>
    <t>Nanofiltration</t>
  </si>
  <si>
    <t>Friedler et al., 2005</t>
  </si>
  <si>
    <t>Reverse Osmosis</t>
  </si>
  <si>
    <t>Friedler et al., 2006</t>
  </si>
  <si>
    <t>Winward et al., 2008b</t>
  </si>
  <si>
    <t>Secondary sedimentation</t>
  </si>
  <si>
    <t>El Hamouri et al., 2008</t>
  </si>
  <si>
    <t>Frieder et al., 2011</t>
  </si>
  <si>
    <t>Friedler and Gilboa, 2010</t>
  </si>
  <si>
    <t>Disc filter</t>
  </si>
  <si>
    <t>Winward et al., 2008c</t>
  </si>
  <si>
    <t>Russo  et al. (2019)</t>
  </si>
  <si>
    <t>Stefanakis et al. (2018)</t>
  </si>
  <si>
    <t>Kaliakatsos et al. (2019)</t>
  </si>
  <si>
    <t>Chaudhry et al. (2015)</t>
  </si>
  <si>
    <t>Olson et al. (2005)</t>
  </si>
  <si>
    <t>Pundsack et al. (2001)</t>
  </si>
  <si>
    <t>Seeger et al. (2016)</t>
  </si>
  <si>
    <t>Maciel et al. (2021)</t>
  </si>
  <si>
    <t>Schang et al. (2021)</t>
  </si>
  <si>
    <t>Oliveira et al. (2022)</t>
  </si>
  <si>
    <t xml:space="preserve">1 m/d = </t>
  </si>
  <si>
    <t>gpm/ft2 *</t>
  </si>
  <si>
    <t>pH</t>
  </si>
  <si>
    <t>DO</t>
  </si>
  <si>
    <t>BOD</t>
  </si>
  <si>
    <t>TSS</t>
  </si>
  <si>
    <t>Turbidity (NTU)</t>
  </si>
  <si>
    <t>Transmittance (UVT)</t>
  </si>
  <si>
    <t>Temp (deg C)</t>
  </si>
  <si>
    <t>TN</t>
  </si>
  <si>
    <t>TP</t>
  </si>
  <si>
    <t>Membranes</t>
  </si>
  <si>
    <t>Disinfection Chemicals</t>
  </si>
  <si>
    <t>Media</t>
  </si>
  <si>
    <t>Detention</t>
  </si>
  <si>
    <t>Other</t>
  </si>
  <si>
    <t>Influent (mg/L, NTU, 1/cm)</t>
  </si>
  <si>
    <t>Effluent (mg/L, NTU)</t>
  </si>
  <si>
    <t>Percent Removal</t>
  </si>
  <si>
    <t>Microorganisms</t>
  </si>
  <si>
    <t>LRV</t>
  </si>
  <si>
    <t>Influent</t>
  </si>
  <si>
    <t>Effluent</t>
  </si>
  <si>
    <t>Unit Process</t>
  </si>
  <si>
    <t>Brief Description of Unit Process</t>
  </si>
  <si>
    <t>Location</t>
  </si>
  <si>
    <t>Sampling Plan</t>
  </si>
  <si>
    <t>Source Water</t>
  </si>
  <si>
    <t>End Use</t>
  </si>
  <si>
    <t>Scale</t>
  </si>
  <si>
    <t>Pore Size Measure</t>
  </si>
  <si>
    <t>Membrane Pore Size (um)</t>
  </si>
  <si>
    <t>Molecular Weight Cutoff (Da)</t>
  </si>
  <si>
    <t>Transmembrane Pressure (kPa)</t>
  </si>
  <si>
    <t>Chem. Dosage (mg/L)</t>
  </si>
  <si>
    <t>Chem. Residual (mg/L)</t>
  </si>
  <si>
    <t>Chem. Contact Time (min)</t>
  </si>
  <si>
    <t>Chem. CT (mg-min/L)</t>
  </si>
  <si>
    <t>CT Flag</t>
  </si>
  <si>
    <t>UV Dose (mJ/cm^2)</t>
  </si>
  <si>
    <t>UV Intensity (mW/cm^2)</t>
  </si>
  <si>
    <t>Media Type(s)</t>
  </si>
  <si>
    <t>HLR (m/d)</t>
  </si>
  <si>
    <t>Media Depth (m)</t>
  </si>
  <si>
    <t>Media Grain Size Measure</t>
  </si>
  <si>
    <t>Media Grain Size (mm)</t>
  </si>
  <si>
    <t>HRT (days)</t>
  </si>
  <si>
    <t>SRT (days)</t>
  </si>
  <si>
    <t>MLSS (mg/L)</t>
  </si>
  <si>
    <t>Other Design Value</t>
  </si>
  <si>
    <t>Value</t>
  </si>
  <si>
    <t>Units</t>
  </si>
  <si>
    <t>Process Requirements</t>
  </si>
  <si>
    <t>TOC</t>
  </si>
  <si>
    <t>Turb.</t>
  </si>
  <si>
    <t>Alkalinity</t>
  </si>
  <si>
    <t>Absorbance (UVA)</t>
  </si>
  <si>
    <t>Org. N</t>
  </si>
  <si>
    <t>TDN</t>
  </si>
  <si>
    <t>Nitrate</t>
  </si>
  <si>
    <t>Ammonia</t>
  </si>
  <si>
    <t>Transmittance</t>
  </si>
  <si>
    <t>Type</t>
  </si>
  <si>
    <t>Name</t>
  </si>
  <si>
    <t>Analytical Method</t>
  </si>
  <si>
    <t>Unit</t>
  </si>
  <si>
    <t>Individual Data Available?</t>
  </si>
  <si>
    <t>Data Flag</t>
  </si>
  <si>
    <t>Data Location</t>
  </si>
  <si>
    <t>Notes</t>
  </si>
  <si>
    <t>Entered By</t>
  </si>
  <si>
    <t>Checked By</t>
  </si>
  <si>
    <t>id</t>
  </si>
  <si>
    <t>source</t>
  </si>
  <si>
    <t>unitprocess</t>
  </si>
  <si>
    <t>description</t>
  </si>
  <si>
    <t>location</t>
  </si>
  <si>
    <t>samp_plan</t>
  </si>
  <si>
    <t>sourcewater</t>
  </si>
  <si>
    <t>influent</t>
  </si>
  <si>
    <t>enduse</t>
  </si>
  <si>
    <t>scale</t>
  </si>
  <si>
    <t>mb_psz_msr</t>
  </si>
  <si>
    <t>mb_psz</t>
  </si>
  <si>
    <t>mb_mwco</t>
  </si>
  <si>
    <t>mb_tmp</t>
  </si>
  <si>
    <t>ch_dose</t>
  </si>
  <si>
    <t>ch_resid</t>
  </si>
  <si>
    <t>ch_time</t>
  </si>
  <si>
    <t>ch_ct</t>
  </si>
  <si>
    <t>ch_ctflag</t>
  </si>
  <si>
    <t>uv_dose</t>
  </si>
  <si>
    <t>Column1</t>
  </si>
  <si>
    <t>md_type</t>
  </si>
  <si>
    <t>md_hlr</t>
  </si>
  <si>
    <t>md_depth</t>
  </si>
  <si>
    <t>md_gsmsr</t>
  </si>
  <si>
    <t>md_gs</t>
  </si>
  <si>
    <t>dt_hrt</t>
  </si>
  <si>
    <t>dt_srt</t>
  </si>
  <si>
    <t>dt_mlss</t>
  </si>
  <si>
    <t>ot_dsgnval</t>
  </si>
  <si>
    <t>ot_val</t>
  </si>
  <si>
    <t>ot_unit</t>
  </si>
  <si>
    <t>processreqs</t>
  </si>
  <si>
    <t>wqin_ph</t>
  </si>
  <si>
    <t>wqin_do</t>
  </si>
  <si>
    <t>wqin_bod</t>
  </si>
  <si>
    <t>wqin_toc</t>
  </si>
  <si>
    <t>wqin_tss</t>
  </si>
  <si>
    <t>wqin_turb</t>
  </si>
  <si>
    <t>wqin_alk</t>
  </si>
  <si>
    <t>wqin_uvt</t>
  </si>
  <si>
    <t>wqin_uva</t>
  </si>
  <si>
    <t>wqin_temp</t>
  </si>
  <si>
    <t>wqin_tn</t>
  </si>
  <si>
    <t>wqin_orgn</t>
  </si>
  <si>
    <t>wqin_tdn</t>
  </si>
  <si>
    <t>wqin_nitrate</t>
  </si>
  <si>
    <t>wqin_ammonia</t>
  </si>
  <si>
    <t>wqin_tp</t>
  </si>
  <si>
    <t>wqef_bod</t>
  </si>
  <si>
    <t>wqef_toc</t>
  </si>
  <si>
    <t>wqef_tss</t>
  </si>
  <si>
    <t>wqef_turb</t>
  </si>
  <si>
    <t>wqef_trans</t>
  </si>
  <si>
    <t>wqef_uva</t>
  </si>
  <si>
    <t>wqef_temp</t>
  </si>
  <si>
    <t>wqef_tn</t>
  </si>
  <si>
    <t>wqef_tp</t>
  </si>
  <si>
    <t>pct_rem</t>
  </si>
  <si>
    <t>mo_type</t>
  </si>
  <si>
    <t>mo_name</t>
  </si>
  <si>
    <t>mo_method</t>
  </si>
  <si>
    <t>mo_unit</t>
  </si>
  <si>
    <t>mo_data</t>
  </si>
  <si>
    <t>lrv_ave</t>
  </si>
  <si>
    <t>lrv_n</t>
  </si>
  <si>
    <t>lrv_sd</t>
  </si>
  <si>
    <t>lrv_cv</t>
  </si>
  <si>
    <t>lrv_min</t>
  </si>
  <si>
    <t>lrv_max</t>
  </si>
  <si>
    <t>lrv_low</t>
  </si>
  <si>
    <t>lrv_high</t>
  </si>
  <si>
    <t>lrv_flag</t>
  </si>
  <si>
    <t>in_ave</t>
  </si>
  <si>
    <t>in_sd</t>
  </si>
  <si>
    <t>in_cv</t>
  </si>
  <si>
    <t>in_min</t>
  </si>
  <si>
    <t>in_max</t>
  </si>
  <si>
    <t>in_low</t>
  </si>
  <si>
    <t>in_high</t>
  </si>
  <si>
    <t>in_df</t>
  </si>
  <si>
    <t>ef_ave</t>
  </si>
  <si>
    <t>ef_sd</t>
  </si>
  <si>
    <t>ef_cv</t>
  </si>
  <si>
    <t>ef_min</t>
  </si>
  <si>
    <t>ef_max</t>
  </si>
  <si>
    <t>ef_low</t>
  </si>
  <si>
    <t>ef_high</t>
  </si>
  <si>
    <t>ef_df</t>
  </si>
  <si>
    <t>data_location</t>
  </si>
  <si>
    <t>notes</t>
  </si>
  <si>
    <t>enteredby</t>
  </si>
  <si>
    <t>checkedby</t>
  </si>
  <si>
    <t>LPUV</t>
  </si>
  <si>
    <t>Lab</t>
  </si>
  <si>
    <t>Synthetic</t>
  </si>
  <si>
    <t>phosphate buffered saline</t>
  </si>
  <si>
    <t>lab</t>
  </si>
  <si>
    <t>SPC</t>
  </si>
  <si>
    <t>MPN</t>
  </si>
  <si>
    <t>Fig 1, text</t>
  </si>
  <si>
    <t>additional details in paper regarding relative effectiveness</t>
  </si>
  <si>
    <t>JAP, EC</t>
  </si>
  <si>
    <t>SCA, SCA</t>
  </si>
  <si>
    <t>LPUV with H2O2 (10 mg/L)</t>
  </si>
  <si>
    <t>LPUV; Manatee</t>
  </si>
  <si>
    <t>Manatee, FL</t>
  </si>
  <si>
    <t>Wastewater</t>
  </si>
  <si>
    <t>Filtered secondary effluent</t>
  </si>
  <si>
    <t>Coliform</t>
  </si>
  <si>
    <t>Table 4.2</t>
  </si>
  <si>
    <t>Table 2.4 cites U.S. EPA (2006) for log reduction values of adenovirus, cryptosporidium, and giardia by ultraviolet radiation</t>
  </si>
  <si>
    <t>MPUV; Manatee</t>
  </si>
  <si>
    <t>Each value in Table 4.2 (listed in this spreadsheet) is listed as the average of triplicate experiments--the standard deviations are included as well</t>
  </si>
  <si>
    <t>Aerobic spores</t>
  </si>
  <si>
    <t>LPUV; Bradenton</t>
  </si>
  <si>
    <t>Bradenton, FL</t>
  </si>
  <si>
    <t>MPUV; Bradenton</t>
  </si>
  <si>
    <t>LPUV; Tampa</t>
  </si>
  <si>
    <t>Tampa, FL</t>
  </si>
  <si>
    <t>MPUV; Tampa</t>
  </si>
  <si>
    <t>LPUV with H2O2 (5 mg/L); Tampa</t>
  </si>
  <si>
    <t xml:space="preserve">Paragraph 2 in section 4.1.1. talks about influent water quality affecting the overall efficacy of the treatment process. This is why Tampa has lower LRVs compared to Manatee </t>
  </si>
  <si>
    <t>This paper (specifically Table 4.4) seems to have a lot of good references on empirical studies--we should look into this one as well</t>
  </si>
  <si>
    <t>LPUV; Phoenix</t>
  </si>
  <si>
    <t>Phoenix, AZ</t>
  </si>
  <si>
    <t>MPUV; Phoenix</t>
  </si>
  <si>
    <t>LPUV; Largo</t>
  </si>
  <si>
    <t>Largo, FL</t>
  </si>
  <si>
    <t>Total coliform</t>
  </si>
  <si>
    <t>Table 4.3</t>
  </si>
  <si>
    <t>LPUV; Largo (5 ppm H2O2)</t>
  </si>
  <si>
    <t>LPUV; Bradenton (5 ppm PAA)</t>
  </si>
  <si>
    <t>Table 4.5</t>
  </si>
  <si>
    <t>Interpolation from empirical LRVs</t>
  </si>
  <si>
    <t>Table 4.6</t>
  </si>
  <si>
    <t>LPUV (5 ppm H2O2); Phoenix</t>
  </si>
  <si>
    <t>Table 4.7</t>
  </si>
  <si>
    <t>Coxsackievirus</t>
  </si>
  <si>
    <t>Reovirus</t>
  </si>
  <si>
    <t>Site 2, grass swale underlaid with sand biofilter</t>
  </si>
  <si>
    <t>Melbourne, Australia</t>
  </si>
  <si>
    <t>Stormwater</t>
  </si>
  <si>
    <t>Spray irrigation</t>
  </si>
  <si>
    <t>full</t>
  </si>
  <si>
    <t>Table S3</t>
  </si>
  <si>
    <t>EC, EC</t>
  </si>
  <si>
    <t>Site 1</t>
  </si>
  <si>
    <t>Site 2</t>
  </si>
  <si>
    <t>Site 3 Open storage pond, event</t>
  </si>
  <si>
    <t>Table S6</t>
  </si>
  <si>
    <t>Site 3 Open storage pond, background</t>
  </si>
  <si>
    <t>Site 3 Open storage pond, all</t>
  </si>
  <si>
    <t>Clostridium perfringens</t>
  </si>
  <si>
    <t>Coliphage</t>
  </si>
  <si>
    <t>MPN/100 mL</t>
  </si>
  <si>
    <t>Table S7</t>
  </si>
  <si>
    <t>UV dose based on Davies et al. 2006</t>
  </si>
  <si>
    <t>SCA,SCA</t>
  </si>
  <si>
    <t>cfu/100 mL</t>
  </si>
  <si>
    <t>UV dose based on Davies et al. 2007</t>
  </si>
  <si>
    <t>Somatic coliphage</t>
  </si>
  <si>
    <t>pfu/100 mL</t>
  </si>
  <si>
    <t>UV dose based on Davies et al. 2008</t>
  </si>
  <si>
    <t>Site 3, event</t>
  </si>
  <si>
    <t>Table 5</t>
  </si>
  <si>
    <t>SCA. LMH</t>
  </si>
  <si>
    <t>Site 3, background</t>
  </si>
  <si>
    <t>Site 3, all</t>
  </si>
  <si>
    <t>Cell A - vermiculite</t>
  </si>
  <si>
    <t>stormwater</t>
  </si>
  <si>
    <t>irrigation</t>
  </si>
  <si>
    <t>Table 2</t>
  </si>
  <si>
    <t>Same systems as Petterson et al., 2016. Design information in Petterson et al., 2007, but we don't have access to that paper</t>
  </si>
  <si>
    <t>Cell B - mulch</t>
  </si>
  <si>
    <t>Yeast</t>
  </si>
  <si>
    <t>There is a typo for the "High" LRV--it is undeterminable</t>
  </si>
  <si>
    <t>Table 3</t>
  </si>
  <si>
    <t>Lab cultures in phosphate buffer solution</t>
  </si>
  <si>
    <t>Discussion section</t>
  </si>
  <si>
    <t>Microbial surrogate spores treated with UV in phosphate buffer solution; cites Hijnen et al. (2006) as a good literature review</t>
  </si>
  <si>
    <t>JAP, JAP</t>
  </si>
  <si>
    <t>SCA, LMH</t>
  </si>
  <si>
    <t>UV with H2O2 (0.3 mM)</t>
  </si>
  <si>
    <t>Microbial surrogate spores treated with UV in phosphate buffer solution</t>
  </si>
  <si>
    <t>UV with peroxydisulfate (0.3 mM)</t>
  </si>
  <si>
    <t>Bacillus</t>
  </si>
  <si>
    <t>Stirring speed = 400 rpm</t>
  </si>
  <si>
    <t>Pore Diameter</t>
  </si>
  <si>
    <t>Transmembrane pressure</t>
  </si>
  <si>
    <t>kPa</t>
  </si>
  <si>
    <t>Poliovirus</t>
  </si>
  <si>
    <t xml:space="preserve">Filtration done without E. Coli in sample </t>
  </si>
  <si>
    <t>Stirring speed = 0 rpm</t>
  </si>
  <si>
    <t xml:space="preserve">Filtration done with E. Coli in sample </t>
  </si>
  <si>
    <t>Zenon (now SUEZ) ZeeWeed 500c</t>
  </si>
  <si>
    <t>Michigan Lower Peninsula WWTP</t>
  </si>
  <si>
    <t>Raw wastewater</t>
  </si>
  <si>
    <t>Nominal Pore Size</t>
  </si>
  <si>
    <t>Absolute pore size</t>
  </si>
  <si>
    <t>microns</t>
  </si>
  <si>
    <t>includes pretreatment/primary treatment</t>
  </si>
  <si>
    <t>PCR</t>
  </si>
  <si>
    <t>Section 3</t>
  </si>
  <si>
    <t>Human Adenovirus F40 and F41. Data are from a full-scale MBR and include any necessary pre-treatment or primary treatment prior to the MBR</t>
  </si>
  <si>
    <t>Enterovirus</t>
  </si>
  <si>
    <t>Data are from a full-scale MBR and include any necessary pre-treatment or primary treatment prior to the MBR</t>
  </si>
  <si>
    <t>Zenon (now SUEZ) ZeeWeed 500c; WWTP #1</t>
  </si>
  <si>
    <t>Total culturable virus</t>
  </si>
  <si>
    <t>Include pretreatment, no disinfection</t>
  </si>
  <si>
    <t>WWTP #2</t>
  </si>
  <si>
    <t>WWTP #3</t>
  </si>
  <si>
    <t>WWTP #4</t>
  </si>
  <si>
    <t>WWTP #5</t>
  </si>
  <si>
    <t>no primary treatment, only screening and grit</t>
  </si>
  <si>
    <t>St. Petersburg water reclamation facility (16 MGD)</t>
  </si>
  <si>
    <t>5 sites sampled monthly for 1 year</t>
  </si>
  <si>
    <t>Irrigation</t>
  </si>
  <si>
    <t>culture</t>
  </si>
  <si>
    <t>no</t>
  </si>
  <si>
    <t>Influent data in Table 1 (arithmetic mean)</t>
  </si>
  <si>
    <t>Fecal coliform</t>
  </si>
  <si>
    <t>Heterotrophic plate count</t>
  </si>
  <si>
    <t>Influent data in Table 1 (arithmetic mean), removal in Table 2</t>
  </si>
  <si>
    <t>Giardia</t>
  </si>
  <si>
    <t>cysts/100 L</t>
  </si>
  <si>
    <t>Cryptosporidium</t>
  </si>
  <si>
    <t>oocysts/100 L</t>
  </si>
  <si>
    <t>sand, 12 in. gravel, 10 in. silica and 30 in. graded anthrecite</t>
  </si>
  <si>
    <t>gravel + sand + anthracite</t>
  </si>
  <si>
    <t>Phage</t>
  </si>
  <si>
    <t>storage of chlorinated effluent with an average residual of 2.25 mg/L</t>
  </si>
  <si>
    <t>Vibriophage</t>
  </si>
  <si>
    <t>Influent data in Table 1 (arithmetic mean), removal in Table 3</t>
  </si>
  <si>
    <t>Indigenous phage</t>
  </si>
  <si>
    <t>Indigenous enterovirus</t>
  </si>
  <si>
    <t>Temp = 25C; contact time = 0.97 min</t>
  </si>
  <si>
    <t>Giardia lamblia</t>
  </si>
  <si>
    <t>Deactivation of cysts done at ph of 7</t>
  </si>
  <si>
    <t>Temp = 25C; contact time = 1.9 min</t>
  </si>
  <si>
    <t>Temp = 25C; contact time = 5.5 min</t>
  </si>
  <si>
    <t>Temp = 5C; contact time = 0.95 min</t>
  </si>
  <si>
    <t>Temp = 5C; contact time = 3.2 min</t>
  </si>
  <si>
    <t>Temp = 5C; contact time = 5 min</t>
  </si>
  <si>
    <t>Temp = 25C; contact time = 1.3 min</t>
  </si>
  <si>
    <t>Giardia muris</t>
  </si>
  <si>
    <t>Temp = 25C; contact time = 2.2 min</t>
  </si>
  <si>
    <t>Temp = 25C; contact time = 3.4 min</t>
  </si>
  <si>
    <t>Temp = 25C; contact time = 8.2 min</t>
  </si>
  <si>
    <t>Temp = 5C; contact time = 2.5 min</t>
  </si>
  <si>
    <t>Temp = 5C; contact time = 6.4 min</t>
  </si>
  <si>
    <t>Temp = 5C; contact time = 9.6 min</t>
  </si>
  <si>
    <t>Edmonton, Canada</t>
  </si>
  <si>
    <t>After primary sedimentation</t>
  </si>
  <si>
    <t>Rotavirus</t>
  </si>
  <si>
    <t>Table 4</t>
  </si>
  <si>
    <t>LMH, LMH</t>
  </si>
  <si>
    <t>Trojan Systems UV 4000</t>
  </si>
  <si>
    <t>After activated sludge</t>
  </si>
  <si>
    <t>ZeeWeed 500D</t>
  </si>
  <si>
    <t>1.0 mg/L concentration for 3.2 hours</t>
  </si>
  <si>
    <t>After ultrafiltration</t>
  </si>
  <si>
    <t>20-25</t>
  </si>
  <si>
    <t>x</t>
  </si>
  <si>
    <t>Norovirus</t>
  </si>
  <si>
    <t>BDL</t>
  </si>
  <si>
    <t>NA</t>
  </si>
  <si>
    <t>Sapovirus</t>
  </si>
  <si>
    <t>Astrovirus</t>
  </si>
  <si>
    <t>Negative LRV reported</t>
  </si>
  <si>
    <t>JC virus</t>
  </si>
  <si>
    <t>LPUV (8-W, Sankyo Denki model G8T5.2N)</t>
  </si>
  <si>
    <t>Echovirus 1</t>
  </si>
  <si>
    <t>Table 1</t>
  </si>
  <si>
    <t>KLM, KLM</t>
  </si>
  <si>
    <t>Echovirus 2</t>
  </si>
  <si>
    <t>Coxsackievirus B5</t>
  </si>
  <si>
    <t>Coxsackievirus B3</t>
  </si>
  <si>
    <t>Poliovirus 1</t>
  </si>
  <si>
    <t>Adenovirus 2</t>
  </si>
  <si>
    <t>1.5 mg/L of chlorine at 5C, pH 9</t>
  </si>
  <si>
    <t>TDS, pH and turbidity adjusted secondary effluent</t>
  </si>
  <si>
    <t>simulated recycled water qualities</t>
  </si>
  <si>
    <t>SCA, KLM</t>
  </si>
  <si>
    <t>6.5 mg/L of chlorine</t>
  </si>
  <si>
    <t>Table 4.7A</t>
  </si>
  <si>
    <t>lab-cultured virus to test full range of LRs</t>
  </si>
  <si>
    <t>6.87 mg/L of chlorine</t>
  </si>
  <si>
    <t>9 mg/L of chlorine</t>
  </si>
  <si>
    <t>15 mg/L of monochloramine</t>
  </si>
  <si>
    <t>Table 5.6</t>
  </si>
  <si>
    <t>16 mg/L of monochloramine</t>
  </si>
  <si>
    <t>Bolivar lagoon effluent</t>
  </si>
  <si>
    <t>F-RNA phage</t>
  </si>
  <si>
    <t>Paper says that "Ct estimates…are likely to be over-estimates"</t>
  </si>
  <si>
    <t>SSD, SSD</t>
  </si>
  <si>
    <t>MW1</t>
  </si>
  <si>
    <t>MW2</t>
  </si>
  <si>
    <t>Kubota MF-MBR, 3.4 MGD</t>
  </si>
  <si>
    <t>Ohio</t>
  </si>
  <si>
    <t>Full</t>
  </si>
  <si>
    <t>Maximum Pore Size</t>
  </si>
  <si>
    <t>UV after MBR, 3.4 MGD</t>
  </si>
  <si>
    <t>After MBR</t>
  </si>
  <si>
    <t>UV after tertiary 0.25 MGD</t>
  </si>
  <si>
    <t>After sand filtration</t>
  </si>
  <si>
    <t>Cl2 after conv 5 MGD</t>
  </si>
  <si>
    <t>After tertiary -.25 MGD</t>
  </si>
  <si>
    <t>After secondary 5.0 MGD</t>
  </si>
  <si>
    <t>Enterococci</t>
  </si>
  <si>
    <t>F-specific coliphage</t>
  </si>
  <si>
    <t>gc/L</t>
  </si>
  <si>
    <t>Estimated</t>
  </si>
  <si>
    <t>Estimated; PCR duplicates do not agree</t>
  </si>
  <si>
    <t>Peptone water</t>
  </si>
  <si>
    <t>Enterococcus faecalis</t>
  </si>
  <si>
    <t>KLM,KLM</t>
  </si>
  <si>
    <t>Salmonella enteritidis</t>
  </si>
  <si>
    <t>Traverse City, MI</t>
  </si>
  <si>
    <t>Secondary effluent</t>
  </si>
  <si>
    <t>Nominal pore size</t>
  </si>
  <si>
    <t>Adenovirus-A</t>
  </si>
  <si>
    <t>More specifically, source water is aeration basin effluent</t>
  </si>
  <si>
    <t>Adenovirus-C</t>
  </si>
  <si>
    <t>Adenovirus-F</t>
  </si>
  <si>
    <t>Kubota Co., Japan</t>
  </si>
  <si>
    <t>Owlwood Sewage Treatment Works</t>
  </si>
  <si>
    <t>Primary effluent</t>
  </si>
  <si>
    <t>PFU/ml</t>
  </si>
  <si>
    <t>Sum of removal from activated sludge and membrane filtration</t>
  </si>
  <si>
    <t>CFU/100ml</t>
  </si>
  <si>
    <t>ND</t>
  </si>
  <si>
    <t>Fecal streptococci</t>
  </si>
  <si>
    <t>Primary effluent enriched with phage lysate</t>
  </si>
  <si>
    <t>flow 7393 m3/day</t>
  </si>
  <si>
    <t>F/M ratio of 0.62</t>
  </si>
  <si>
    <t>No design values</t>
  </si>
  <si>
    <t xml:space="preserve">Polyamide, Polysulphone </t>
  </si>
  <si>
    <t>Lab stock solution</t>
  </si>
  <si>
    <t>Study intended to test different membrane materials, which were roughly categorized by MF/UF/NF</t>
  </si>
  <si>
    <t xml:space="preserve">SSD, SSD </t>
  </si>
  <si>
    <t>Celluose acetate, Polysulphone</t>
  </si>
  <si>
    <t>Celluose acetate, Polyamide</t>
  </si>
  <si>
    <t>Stockholm, Sweden</t>
  </si>
  <si>
    <t>Includes presedimentation, predenitrification, and chemical precipitation (pre- and simultaneous precipitation and a final dual media downstream sand filter)</t>
  </si>
  <si>
    <t>Includes drum filter</t>
  </si>
  <si>
    <t>Includes presedimentation, chemical precipitation, and a drum filter</t>
  </si>
  <si>
    <t>Average of all systems</t>
  </si>
  <si>
    <t>Malmo, Gothenburg, and Umea, Sweden</t>
  </si>
  <si>
    <t>Klagshamn WWTP</t>
  </si>
  <si>
    <t>Includes chemical precipitation and rapid sand filtration</t>
  </si>
  <si>
    <t>Sjolunda WWTP</t>
  </si>
  <si>
    <t xml:space="preserve">Includes chemical precipitation  </t>
  </si>
  <si>
    <t>Ryaverket WWTP</t>
  </si>
  <si>
    <t>On WWTP</t>
  </si>
  <si>
    <t>PVDF</t>
  </si>
  <si>
    <t>Drinking Water</t>
  </si>
  <si>
    <t>Tap water</t>
  </si>
  <si>
    <t>Phage T4</t>
  </si>
  <si>
    <t>PP</t>
  </si>
  <si>
    <t>f2</t>
  </si>
  <si>
    <t xml:space="preserve">Table 2 </t>
  </si>
  <si>
    <t>PVDF; activated sludge system</t>
  </si>
  <si>
    <t>PVDF; tap water (clean water washing)</t>
  </si>
  <si>
    <t>PVDF; tap water (chemical cleaning)</t>
  </si>
  <si>
    <t>PP; activated sludge system</t>
  </si>
  <si>
    <t>Effluent concentration was 0</t>
  </si>
  <si>
    <t>PP; tap water (clean water washing)</t>
  </si>
  <si>
    <t>PP; tap water (chemical cleaning)</t>
  </si>
  <si>
    <t>W3</t>
  </si>
  <si>
    <t>Graywater</t>
  </si>
  <si>
    <t>10 micron filter</t>
  </si>
  <si>
    <t>BD</t>
  </si>
  <si>
    <t xml:space="preserve">Arden and Ma 2018 summary </t>
  </si>
  <si>
    <t>W4</t>
  </si>
  <si>
    <t>W2</t>
  </si>
  <si>
    <t>W1</t>
  </si>
  <si>
    <t>coarse filter</t>
  </si>
  <si>
    <t>Dosage necessary to achieve 3 mg/l residual after 60min contact time</t>
  </si>
  <si>
    <t>SF</t>
  </si>
  <si>
    <t>cartridge</t>
  </si>
  <si>
    <t>Salmonella enterica</t>
  </si>
  <si>
    <t>P. aeruginosa</t>
  </si>
  <si>
    <t>RBC</t>
  </si>
  <si>
    <t>0.5 mg/l residual</t>
  </si>
  <si>
    <t>1 mg/l residual</t>
  </si>
  <si>
    <t>RBC+SF</t>
  </si>
  <si>
    <t>1.4 mg/l residual</t>
  </si>
  <si>
    <t>MBR</t>
  </si>
  <si>
    <t>S. aureus</t>
  </si>
  <si>
    <t xml:space="preserve">0.5 mg/l residual </t>
  </si>
  <si>
    <t xml:space="preserve">1 mg/l residual </t>
  </si>
  <si>
    <t>0.5-0.75</t>
  </si>
  <si>
    <t>HSSF</t>
  </si>
  <si>
    <t>Maturation pond</t>
  </si>
  <si>
    <t>San Michele di Ganzaria, Italy</t>
  </si>
  <si>
    <t>Constructed wetland effluent</t>
  </si>
  <si>
    <t>Maximum depth</t>
  </si>
  <si>
    <t xml:space="preserve">m </t>
  </si>
  <si>
    <t>Table 3 / Figure 3</t>
  </si>
  <si>
    <t>Whole Year</t>
  </si>
  <si>
    <t>Summer only</t>
  </si>
  <si>
    <t>Winter only</t>
  </si>
  <si>
    <t>Petersfield, Hampshire, UK</t>
  </si>
  <si>
    <t>Diameter</t>
  </si>
  <si>
    <t>m</t>
  </si>
  <si>
    <t>Alum added prior to primary sedimentation, influent/effluent parameters are median values</t>
  </si>
  <si>
    <t>GB124 phage</t>
  </si>
  <si>
    <t xml:space="preserve"> influent/effluent parameters are median,calculated values</t>
  </si>
  <si>
    <t>S1; area 0.38 m2; 0.5 cm gravel (4–8 mm), 0.5 cm gravel (2–4 mm), 50 cm sand (14% 0.25 mm, 72% 0.50 mm, 100% &lt; 1.00 mm)</t>
  </si>
  <si>
    <t>Heraklion, Greece</t>
  </si>
  <si>
    <t>Pilot</t>
  </si>
  <si>
    <t>sand + gravel</t>
  </si>
  <si>
    <t>d72</t>
  </si>
  <si>
    <t>Surface area</t>
  </si>
  <si>
    <t>m^2</t>
  </si>
  <si>
    <t>SCA,KLM</t>
  </si>
  <si>
    <t>S2; area 0.38 m2; 0.5 cm gravel (4–8 mm), 0.5 cm gravel (2–4 mm), 50 cm sand (14% 0.25 mm, 72% 0.50 mm, 100% &lt; 1.00 mm)</t>
  </si>
  <si>
    <t>Page 4 pdf, in text</t>
  </si>
  <si>
    <t>ZeeWeed 500</t>
  </si>
  <si>
    <t>American Canyon, California</t>
  </si>
  <si>
    <t>Winter - pulse loadings, HRT on the order of hours or less</t>
  </si>
  <si>
    <t>Duluth, Minnesota</t>
  </si>
  <si>
    <t>Septic tank effluent</t>
  </si>
  <si>
    <t>peat</t>
  </si>
  <si>
    <t>areal loading rate of 6.7 g BOD/m2/d</t>
  </si>
  <si>
    <t>seeded</t>
  </si>
  <si>
    <t>Summer - pulse loadings, HRT on the order of hours or less</t>
  </si>
  <si>
    <t>Sand Filter</t>
  </si>
  <si>
    <t>sand</t>
  </si>
  <si>
    <t>areal loading rate of 6.4 g BOD/m2/d</t>
  </si>
  <si>
    <t>SFW Summer</t>
  </si>
  <si>
    <t>Salmonella</t>
  </si>
  <si>
    <t>SFE Summer</t>
  </si>
  <si>
    <t>PFW Summer</t>
  </si>
  <si>
    <t>PFE Summer</t>
  </si>
  <si>
    <t xml:space="preserve">SFW Winter </t>
  </si>
  <si>
    <t xml:space="preserve">SFE Winter </t>
  </si>
  <si>
    <t>PFW Winter</t>
  </si>
  <si>
    <t>PFE Winter</t>
  </si>
  <si>
    <t>Rotating cascade phase II (5 cm coarse gravel, 5 cm fine gravel, d10 =0.21, d60=0.36, d100=0.63, porosity=0.38)</t>
  </si>
  <si>
    <t>Leipzig, Germany</t>
  </si>
  <si>
    <t>d60</t>
  </si>
  <si>
    <t>HLR</t>
  </si>
  <si>
    <t>5-6.7</t>
  </si>
  <si>
    <t>cm/hour</t>
  </si>
  <si>
    <t>pg. 6 PDF</t>
  </si>
  <si>
    <t>Rotating cascade phase III (5 cm coarse gravel, 5 cm fine gravel, d10 =0.21, d60=0.36, d100=0.63, porosity=0.38)</t>
  </si>
  <si>
    <t>Static cascade phase III (5 cm coarse gravel, 5 cm fine gravel, d10 =0.21, d60=0.36, d100=0.63, porosity=0.38)</t>
  </si>
  <si>
    <t>Flamec</t>
  </si>
  <si>
    <t>Melilla, Spain</t>
  </si>
  <si>
    <t>Sand filter/disc filter effluent</t>
  </si>
  <si>
    <t>Average Pore Size</t>
  </si>
  <si>
    <t>LRV and standard deviation calculated from percent removal</t>
  </si>
  <si>
    <t>Memcor 3M 10C</t>
  </si>
  <si>
    <t>Pressurized sand filter</t>
  </si>
  <si>
    <t>Effective grain size</t>
  </si>
  <si>
    <t>Arkal battery 3 SKS 2"</t>
  </si>
  <si>
    <t>Phase 1</t>
  </si>
  <si>
    <t>Sao Carlos, Brazil</t>
  </si>
  <si>
    <t>River water</t>
  </si>
  <si>
    <t>Sedimentation effluent</t>
  </si>
  <si>
    <t>Unspecified</t>
  </si>
  <si>
    <t>10, 1</t>
  </si>
  <si>
    <t>Cartridge filter effluent</t>
  </si>
  <si>
    <t>Phase 2</t>
  </si>
  <si>
    <t xml:space="preserve">10, 1 </t>
  </si>
  <si>
    <t>Phase 3</t>
  </si>
  <si>
    <t>25, 10, 1</t>
  </si>
  <si>
    <t>Challenge 1</t>
  </si>
  <si>
    <t>Rainwater</t>
  </si>
  <si>
    <t>SI Table 2</t>
  </si>
  <si>
    <t>UV dose from manufacturer's website: https://uvguard.com/au/system/s-series/</t>
  </si>
  <si>
    <t>Includes robust model for log reduction from UV</t>
  </si>
  <si>
    <t>Campylobacter</t>
  </si>
  <si>
    <t>Challenge 5</t>
  </si>
  <si>
    <t>Challenge 2</t>
  </si>
  <si>
    <t>Challenge 3</t>
  </si>
  <si>
    <t>Challenge 4</t>
  </si>
  <si>
    <t>GVHP</t>
  </si>
  <si>
    <t>Sydney, Australia</t>
  </si>
  <si>
    <t>Lab - SW8 suspension</t>
  </si>
  <si>
    <t>TMP</t>
  </si>
  <si>
    <t>SW8</t>
  </si>
  <si>
    <t>GVWP</t>
  </si>
  <si>
    <t>PC</t>
  </si>
  <si>
    <t>Desal 5 DK NF system</t>
  </si>
  <si>
    <t>Portugal</t>
  </si>
  <si>
    <t>Total Bacteria</t>
  </si>
  <si>
    <t>cells/mL</t>
  </si>
  <si>
    <t>Table S1, Table S2</t>
  </si>
  <si>
    <r>
      <t xml:space="preserve">Couldn't find MW cut-off in paper, but found it here: </t>
    </r>
    <r>
      <rPr>
        <b/>
        <sz val="11"/>
        <color theme="1"/>
        <rFont val="Calibri"/>
        <family val="2"/>
        <scheme val="minor"/>
      </rPr>
      <t>https://www.lenntech.com/Data-sheets/GE-Osmonics-DK-Series-High-Rejection-Nanofiltration-RO-Elements-L.pdf</t>
    </r>
  </si>
  <si>
    <t>Live Bacteria</t>
  </si>
  <si>
    <t>Dead Bacteria</t>
  </si>
  <si>
    <t>ozone generator or ozone solution</t>
  </si>
  <si>
    <t>UF filtered secondary effluent, subsequently filtered by 0.7 um glass fiber filters in the lab</t>
  </si>
  <si>
    <t>culture, lab propagated</t>
  </si>
  <si>
    <t>figure</t>
  </si>
  <si>
    <t>&gt;1</t>
  </si>
  <si>
    <t>Table 1, 3</t>
  </si>
  <si>
    <t>OX174</t>
  </si>
  <si>
    <t>PRD-1</t>
  </si>
  <si>
    <t>Averaged Ct</t>
  </si>
  <si>
    <t>Low Pressure lamp</t>
  </si>
  <si>
    <t>Phage T7</t>
  </si>
  <si>
    <t>Medium Pressure Lamp</t>
  </si>
  <si>
    <t>Medium Pressure Lamp with 295 nm long pass filter</t>
  </si>
  <si>
    <t>Pulsed UV</t>
  </si>
  <si>
    <t>Pulsed UV with 295 nm  long pass filter</t>
  </si>
  <si>
    <t>Pulsed UV with 400 nm  long pass filter</t>
  </si>
  <si>
    <t>Text, page 2979</t>
  </si>
  <si>
    <t>Text, page 2980</t>
  </si>
  <si>
    <t>Water Qualtiy Requirements</t>
  </si>
  <si>
    <t>LRC</t>
  </si>
  <si>
    <t>Flux (L/m2/h)</t>
  </si>
  <si>
    <t>Target Organism</t>
  </si>
  <si>
    <t>Suitable Surrogate</t>
  </si>
  <si>
    <t>mb_flux</t>
  </si>
  <si>
    <t>mo_surrogate</t>
  </si>
  <si>
    <t>lrc</t>
  </si>
  <si>
    <t>source_location</t>
  </si>
  <si>
    <t>WaterSecure 2017a</t>
  </si>
  <si>
    <t>virus</t>
  </si>
  <si>
    <t>coxsackievirus B5</t>
  </si>
  <si>
    <t>pH less than, turbidity less than, temperature greater than</t>
  </si>
  <si>
    <t>Adapted from US EPA 1999a</t>
  </si>
  <si>
    <t>bacteria</t>
  </si>
  <si>
    <t>E. coli</t>
  </si>
  <si>
    <t>Adapted from US EPA 1999a. Virus data used as bacteria proxy because virus are typically more resistant</t>
  </si>
  <si>
    <t>WaterSecure 2017c</t>
  </si>
  <si>
    <t>protozoa</t>
  </si>
  <si>
    <t>cryptosporidium</t>
  </si>
  <si>
    <t>none</t>
  </si>
  <si>
    <t>turbidity less than 0.15 NTU (no particle shielding)</t>
  </si>
  <si>
    <t>Adapted from U.S. EPA, 2006 Table IV.D-3</t>
  </si>
  <si>
    <t>none specified besides pH and temperature</t>
  </si>
  <si>
    <t>Adapted from Sigmon et al., 2015</t>
  </si>
  <si>
    <t>Adapted from Sigmon et al., 2016</t>
  </si>
  <si>
    <t>Adapted from Sigmon et al., 2017</t>
  </si>
  <si>
    <t>Adapted from Sigmon et al., 2018</t>
  </si>
  <si>
    <t>pH not specified, assumed to require 7.6 or similar</t>
  </si>
  <si>
    <t>Combination of Sigmon et al., 2015 and US EPA 1991</t>
  </si>
  <si>
    <t>Combination of Sigmon et al., 2015 and US EPA 1992</t>
  </si>
  <si>
    <t>Combination of Sigmon et al., 2015 and US EPA 1993</t>
  </si>
  <si>
    <t>Combination of Sigmon et al., 2015 and US EPA 1994</t>
  </si>
  <si>
    <t>Combination of Sigmon et al., 2015 and US EPA 1995</t>
  </si>
  <si>
    <t>Combination of Sigmon et al., 2015 and US EPA 1996</t>
  </si>
  <si>
    <t>Combination of Sigmon et al., 2015 and US EPA 1997</t>
  </si>
  <si>
    <t>Combination of Sigmon et al., 2015 and US EPA 1998</t>
  </si>
  <si>
    <t>Combination of Sigmon et al., 2015 and US EPA 1999</t>
  </si>
  <si>
    <t>Combination of Sigmon et al., 2015 and US EPA 2000</t>
  </si>
  <si>
    <t>Combination of Sigmon et al., 2015 and US EPA 2001</t>
  </si>
  <si>
    <t>Combination of Sigmon et al., 2015 and US EPA 2002</t>
  </si>
  <si>
    <t>Combination of Sigmon et al., 2015 and US EPA 2003</t>
  </si>
  <si>
    <t>Combination of Sigmon et al., 2015 and US EPA 2004</t>
  </si>
  <si>
    <t>Combination of Sigmon et al., 2015 and US EPA 2005</t>
  </si>
  <si>
    <t>Combination of Sigmon et al., 2015 and US EPA 2006</t>
  </si>
  <si>
    <t>Combination of Sigmon et al., 2015 and US EPA 2007</t>
  </si>
  <si>
    <t>Combination of Sigmon et al., 2015 and US EPA 2008</t>
  </si>
  <si>
    <t>Combination of Sigmon et al., 2015 and US EPA 2009</t>
  </si>
  <si>
    <t>Combination of Sigmon et al., 2015 and US EPA 2010</t>
  </si>
  <si>
    <t>Combination of Sigmon et al., 2015 and US EPA 2011</t>
  </si>
  <si>
    <t>Combination of Sigmon et al., 2015 and US EPA 2012</t>
  </si>
  <si>
    <t>Combination of Sigmon et al., 2015 and US EPA 2013</t>
  </si>
  <si>
    <t>Combination of Sigmon et al., 2015 and US EPA 2014</t>
  </si>
  <si>
    <t>Combination of Sigmon et al., 2015 and US EPA 1991. Assumes virus LRCs are conservative proxies.</t>
  </si>
  <si>
    <t>WaterSecure 2017b</t>
  </si>
  <si>
    <t>nominal</t>
  </si>
  <si>
    <t>0.04-0.1</t>
  </si>
  <si>
    <t>≥3</t>
  </si>
  <si>
    <t>≤30</t>
  </si>
  <si>
    <t>≥0.25</t>
  </si>
  <si>
    <t>≥11</t>
  </si>
  <si>
    <t>6-8</t>
  </si>
  <si>
    <t>1-7</t>
  </si>
  <si>
    <t>≤0.2</t>
  </si>
  <si>
    <t>16-30</t>
  </si>
  <si>
    <t>enteroviruses</t>
  </si>
  <si>
    <t>somatic coliphages, F-specific RNA bacteriophages</t>
  </si>
  <si>
    <t>see operating envelope</t>
  </si>
  <si>
    <t>LRCs from Section 9, operating envelope from Table 2</t>
  </si>
  <si>
    <t>Higher LRCs can be obtained through prescribed challenge testing</t>
  </si>
  <si>
    <t>campylobacter</t>
  </si>
  <si>
    <t>Appendix G</t>
  </si>
  <si>
    <t>Secondary Activated Sludge</t>
  </si>
  <si>
    <t>Table 2.2</t>
  </si>
  <si>
    <t>Microfiltration or Ultrafiltration</t>
  </si>
  <si>
    <t>TOC or TDS removal of equivalent logs as the credit</t>
  </si>
  <si>
    <t>Post-reverse osmosis free chlorine</t>
  </si>
  <si>
    <t>&gt;300</t>
  </si>
  <si>
    <t>WaterSecure 2017d</t>
  </si>
  <si>
    <t>Reverse Osmosis and nanofiltration</t>
  </si>
  <si>
    <t>&lt;300</t>
  </si>
  <si>
    <t>Maximum LRC for Electrical Conductivity Monitoring</t>
  </si>
  <si>
    <t>Maximum LRC for TOC Monitoring</t>
  </si>
  <si>
    <t>Maximum LRC for DOM Monitoring</t>
  </si>
  <si>
    <t>Maximum LRC for sulfate removal Monitoring</t>
  </si>
  <si>
    <t>Maximum LRC for Fluorescent Dye Monitoring</t>
  </si>
  <si>
    <t>0.03-0.4</t>
  </si>
  <si>
    <t>Total Coliforms</t>
  </si>
  <si>
    <t>Table 3-2</t>
  </si>
  <si>
    <t>Total</t>
  </si>
  <si>
    <t>V</t>
  </si>
  <si>
    <t>P</t>
  </si>
  <si>
    <t>B</t>
  </si>
  <si>
    <t>Name-Virus</t>
  </si>
  <si>
    <t>Name-Protozoa</t>
  </si>
  <si>
    <t>Name-Bacteria</t>
  </si>
  <si>
    <t>Author</t>
  </si>
  <si>
    <t>User Interface - toggle values in green cells (only works for Chlorine currently)</t>
  </si>
  <si>
    <t>Background Inputs - LRC</t>
  </si>
  <si>
    <t>Figures</t>
  </si>
  <si>
    <t>LRC ranges for unit process of choice</t>
  </si>
  <si>
    <t>LRC Sources</t>
  </si>
  <si>
    <t>min</t>
  </si>
  <si>
    <t>max</t>
  </si>
  <si>
    <t>operating envelopes for LRCs outlined above</t>
  </si>
  <si>
    <t>LRC Operating Envelope</t>
  </si>
  <si>
    <t>variable</t>
  </si>
  <si>
    <t>LRC Calculation</t>
  </si>
  <si>
    <t>lists of available parameters for operating envelope</t>
  </si>
  <si>
    <t>individual LRCs as function of major predictor variable</t>
  </si>
  <si>
    <t>LRV Sources</t>
  </si>
  <si>
    <t>Transposed Table 1 from WaterSecure 2017 Chlorine</t>
  </si>
  <si>
    <t>temperature (deg C)</t>
  </si>
  <si>
    <t>CT
(mg-min/L)</t>
  </si>
  <si>
    <t>LRC Table</t>
  </si>
  <si>
    <t>LRV Table</t>
  </si>
  <si>
    <t>Influent Conc.</t>
  </si>
  <si>
    <t>Effluent Conc.</t>
  </si>
  <si>
    <t>Variable</t>
  </si>
  <si>
    <t>Description</t>
  </si>
  <si>
    <t>pct_unit</t>
  </si>
  <si>
    <t>pct_in</t>
  </si>
  <si>
    <t>pct_ef</t>
  </si>
  <si>
    <t>Column2</t>
  </si>
  <si>
    <t>Suitable surrogate</t>
  </si>
  <si>
    <t>Influencing Factors</t>
  </si>
  <si>
    <t>BD_type</t>
  </si>
  <si>
    <t>BD_hlr</t>
  </si>
  <si>
    <t>BD_depth</t>
  </si>
  <si>
    <t>BD_gsmsr</t>
  </si>
  <si>
    <t>BD_gs</t>
  </si>
  <si>
    <t>Raw Wastewater</t>
  </si>
  <si>
    <t>Male Specific Coliphage</t>
  </si>
  <si>
    <t>pfu/100ml</t>
  </si>
  <si>
    <t>Somatic Coliphage</t>
  </si>
  <si>
    <t>cfu/100ml</t>
  </si>
  <si>
    <t>cysts/L</t>
  </si>
  <si>
    <t>Total Culturable Virus</t>
  </si>
  <si>
    <t>MPN/L</t>
  </si>
  <si>
    <t>GC/L</t>
  </si>
  <si>
    <t>Standard Production</t>
  </si>
  <si>
    <t>After Maintenance Clean</t>
  </si>
  <si>
    <t>After Recovery Clean</t>
  </si>
  <si>
    <t>Tier 1 LRC. Update from WaterSecure is allowing a wider range of membrane pore sizes/materials</t>
  </si>
  <si>
    <t>Turbidity monitoring is mandatory, total Coliforms measured for integrity surrogate. The filtrate turbidity should not exceed 0.2 NTU more than 5% of the time within 24 hours and
should not exceed 0.5 NTU at any time.</t>
  </si>
  <si>
    <t>≤0.2, ≤0.5</t>
  </si>
  <si>
    <t>UVT - see App G for RED Bias calculations, dependency on UVT</t>
  </si>
  <si>
    <t>Maximum llowable credits in California as of 2016</t>
  </si>
  <si>
    <t>Long SRT, see Rose et al. 2004</t>
  </si>
  <si>
    <t>Daily pressure decay membrane integrity test</t>
  </si>
  <si>
    <t>Maximum llowable credits in California as of 2016. 1.5 may be more realistic given limitations of TDS/TOC removal observed in existing water reuse plants.</t>
  </si>
  <si>
    <t>uv_int</t>
  </si>
  <si>
    <t>med_type</t>
  </si>
  <si>
    <t>med_hlr</t>
  </si>
  <si>
    <t>med_depth</t>
  </si>
  <si>
    <t>med_gsmsr</t>
  </si>
  <si>
    <t>med_gs</t>
  </si>
  <si>
    <t>LRCs (min-max)</t>
  </si>
  <si>
    <t>LRVs (min-max[n])</t>
  </si>
  <si>
    <t>Temperature, HRT, SRT, MLSS, membrane fouling and cleaning, membrane ageing and failures</t>
  </si>
  <si>
    <t>turbidity, temperature, pH, disinfection demand</t>
  </si>
  <si>
    <t>pH, turbidity, TSS, inorganic ozone demand, dissolved organic content, temperature</t>
  </si>
  <si>
    <t>turbidity, total suspended solids, UVT, pH, temperature</t>
  </si>
  <si>
    <t>SRT</t>
  </si>
  <si>
    <t>*V=virus, P=protozoa, B=bacteria, n.d.=no data, UV=ultraviolet radiation, H2O2=hydrogen peroxide, UVT=UV transmittance, TSS=total suspended solids, HRT=hydraulic retention time, SRT=solids retention time, MLSS=mixed liquor suspended solids, DOC=dissolved organic carbon (-#) is used to note a negative value. [n] for LRV's denotes number of entries in the database in total for that unit process-pathogen combination.</t>
  </si>
  <si>
    <t>Data Summary</t>
  </si>
  <si>
    <t>Figures 1-3</t>
  </si>
  <si>
    <t>References</t>
  </si>
  <si>
    <t>Gomez et al. (2006)</t>
  </si>
  <si>
    <t>Beck, S.E., Rodriguez, R.A., Salveson, A., Goel, N., Rhodes, S., Kehoe, P., Linden, K.G., 2013. Disinfection Methods for Treating Low TOC, Light Graywater to California Title 22 Water Reuse Standards. Journal of Environmental Engineering 139, 1137–1145. https://doi.org/10.1061/(asce)ee.1943-7870.0000738</t>
  </si>
  <si>
    <t>Bohrerova, Z., Shemer, H., Lantis, R., Impellitteri, C.A., Linden, K.G., 2008. Comparative disinfection efficiency of pulsed and continuous-wave UV irradiation technologies. Water research 42, 2975–2982.</t>
  </si>
  <si>
    <t>Bounty, S., Rodriguez, R.A., Linden, K.G., 2012. Inactivation of adenovirus using low-dose UV/H2O2 advanced oxidation. Water Research 46, 6273–6278. https://doi.org/10.1016/j.watres.2012.08.036</t>
  </si>
  <si>
    <t>Chaudhry, R.M., Nelson, K.L., Drewes, J.E., 2015. Mechanisms of Pathogenic Virus Removal in a Full-Scale Membrane Bioreactor. Environ. Sci. Technol. 49, 2815–2822. https://doi.org/10.1021/es505332n</t>
  </si>
  <si>
    <t>Davies, C.M., Petterson, S.M., Kaucner, C., Ashbolt, N.J., Mitchell, V.G., Taylor, G.D., Lewis, J., 2008. Microbial challenge-testing of treatment processes for quantifying stormwater recycling risks and management. Water Science and Technology 57, 843–847.</t>
  </si>
  <si>
    <t>Ekeren, K.M., Hodgson, B.A., Sharvelle, S.E., De Long, S.K., 2016. Investigation of pathogen disinfection and regrowth in a simple graywater recycling system for toilet flushing. Desalination and Water Treatment 57, 26174–26186.</t>
  </si>
  <si>
    <t>El Hamouri, B., Nazih, J., Lahjouj, J., 2007. Sub surface-horizontal flow constructed wetland for sewage treatment under Moroccan climate conditions. Desalination 215, 153–158. https://doi.org/10.1016/j.desal.2006.11.018</t>
  </si>
  <si>
    <t>Francy, D.S., Stelzer, E.A., Bushon, R.N., Brady, A.M., Williston, A.G., Riddell, K.R., Borchardt, M.A., Spencer, S.K., Gellner, T.M., 2012. Comparative effectiveness of membrane bioreactors, conventional secondary treatment, and chlorine and UV disinfection to remove microorganisms from municipal wastewaters. Water research 46, 4164–4178.</t>
  </si>
  <si>
    <t>Friedler, E., Gilboa, Y., 2010. Performance of UV disinfection and the microbial quality of greywater effluent along a reuse system for toilet flushing. Science of the Total Environment 408, 2109–2117. https://doi.org/10.1016/j.scitotenv.2010.01.051</t>
  </si>
  <si>
    <t>Friedler, E., Kovalio, R., Ben-Zvi, A., 2006. Comparative study of the microbial quality of greywater treated by three on-site treatment systems. Environmental Technology 27, 653–663. https://doi.org/10.1080/09593332708618674</t>
  </si>
  <si>
    <t>Friedler, E., Kovalio, R., Galil, N.I., 2005. On-site greywater treatment and reuse in multi-storey buildings. Water Science and Technology 51, 187–194.</t>
  </si>
  <si>
    <t>Friedler, E., Yardeni, A., Gilboa, Y., Alfiya, Y., 2011. Disinfection of greywater effluent and regrowth potential of selected bacteria. Water Science and Technology 63, 931–940. https://doi.org/10.2166/wst.2011.272</t>
  </si>
  <si>
    <t>Gerba, C.P., Gramos, D.M., Nwachuku, N., 2002. Comparative inactivation of enteroviruses and adenovirus 2 by UV light. Applied and Environmental Microbiology 68, 5167–5169.</t>
  </si>
  <si>
    <t>Gómez, M. d, De la Rua, A., Garralón, G., Plaza, F., Hontoria, E., Gómez, M.A., 2006. Urban wastewater disinfection by filtration technologies. Desalination 190, 16–28.</t>
  </si>
  <si>
    <t>Hu, J.Y., Ong, S.L., Song, L.F., Feng, Y.Y., Liu, W.T., Tan, T.W., Lee, L.Y., Ng, W.J., 2003. Removal of MS2 bacteriophage using membrane technologies. Water Science and Technology 47, 163–168.</t>
  </si>
  <si>
    <t>Kaliakatsos, A., Kalogerakis, N., Manios, T., Venieri, D., 2019. Efficiency of two constructed wetland systems for wastewater treatment: removal of bacterial indicators and enteric viruses. Journal of Chemical Technology &amp; Biotechnology 94, 2123–2130.</t>
  </si>
  <si>
    <t>Katz, S., Salveson, A., Fontaine, N., Bucher, B., Berryhill, J., 2017. Giving Credit Where Credit is Due–MBR for Potable Water Reuse, in: WEFTEC 2017. Water Environment Federation.</t>
  </si>
  <si>
    <t>Keegan, A., Wati, S., Robinson, B., 2012. Chlor (am) ine disinfection of human pathogenic viruses in recycled waters. Smart Water Fund 62M-2114.</t>
  </si>
  <si>
    <t>Koivunen, J., Heinonen-Tanski, H., 2005. Inactivation of enteric microorganisms with chemical disinfectants, UV irradiation and combined chemical/UV treatments. Water research 39, 1519–1526.</t>
  </si>
  <si>
    <t>Kuo, D.H.-W., Simmons, F.J., Blair, S., Hart, E., Rose, J.B., Xagoraraki, I., 2010. Assessment of human adenovirus removal in a full-scale membrane bioreactor treating municipal wastewater. Water research 44, 1520–1530.</t>
  </si>
  <si>
    <t>Linden, K.G., Salveson, A., Thurston, J., 2012. Study of innovative treatments for reclaimed water. WateReuse Research Foundation.</t>
  </si>
  <si>
    <t>Maciel, P.M.F., Fava, N. de M.N., Lamon, A.W., Fernandez-Ibañez, P., Byrne, J.A., Sabogal-Paz, L.P., 2021. Household water purification system comprising cartridge filtration, UVC disinfection and chlorination to treat turbid raw water. Journal of Water Process Engineering 43, 102203.</t>
  </si>
  <si>
    <t>Madaeni, S.S., Fane, A.G., Grohmann, G.S., 1995. Virus removal from water and wastewater using membranes. Journal of Membrane Science 102, 65–75.</t>
  </si>
  <si>
    <t>Oliveira, M., Leonardo, I.C., Silva, A.F., Crespo, J.G., Nunes, M., Crespo, M.T.B., 2022. Nanofiltration as an Efficient Tertiary Wastewater Treatment: Elimination of Total Bacteria and Antibiotic Resistance Genes from the Discharged Effluent of a Full-Scale Wastewater Treatment Plant. Antibiotics 11, 630.</t>
  </si>
  <si>
    <t>Olson, M.R., Axler, R.P., Henneck, J.R., Hicks, R.E., McCarthy, B.J., 2005. Seasonal virus removal by alternative onsite wastewater treatment systems. Journal of water and health 3, 139–155.</t>
  </si>
  <si>
    <t>Ottoson, J., Hansen, A., Björlenius, B., Norder, H., Stenström, T.A., 2006a. Removal of viruses, parasitic protozoa and microbial indicators in conventional and membrane processes in a wastewater pilot plant. Water Research 40, 1449–1457.</t>
  </si>
  <si>
    <t>Ottoson, J., Hansen, A., Westrell, T., Johansen, K., Norder, H., Stenström, T.A., 2006b. Removal of noro‐and enteroviruses, giardia cysts, cryptosporidium oocysts, and fecal indicators at four secondary wastewater treatment plants in Sweden. Water environment research 78, 828–834.</t>
  </si>
  <si>
    <t>Petterson, S.R., Mitchell, V.G., Davies, C.M., O’Connor, J., Kaucner, C., Roser, D., Ashbolt, N., 2016. Evaluation of three full-scale stormwater treatment systems with respect to water yield, pathogen removal efficacy and human health risk from faecal pathogens. Science of The Total Environment 543, 691–702. https://doi.org/10.1016/j.scitotenv.2015.11.056</t>
  </si>
  <si>
    <t>Pundsack, J., Axler, R., Hicks, R., Henneck, J., Nordman, D., McCarthy, B., 2001. Seasonal pathogen removal by alternative on‐site wastewater treatment systems. Water environment research 73, 204–212.</t>
  </si>
  <si>
    <t>Qiu, Y., Lee, B.E., Neumann, N., Ashbolt, N., Craik, S., Maal‐Bared, R., Pang, X.L., 2015. Assessment of human virus removal during municipal wastewater treatment in Edmonton, Canada. Journal of Applied Microbiology 119, 1729–1739.</t>
  </si>
  <si>
    <t>Rose, J.B., Dickson, L.J., Farrah, S.R., Carnahan, R.P., 1996. Removal of pathogenic and indicator microorganisms by a full-scale water reclamation facility. Water Research 30, 2785–2797. https://doi.org/10.1016/s0043-1354(96)00188-1</t>
  </si>
  <si>
    <t>Russo, N., Marzo, A., Randazzo, C., Caggia, C., Toscano, A., Cirelli, G.L., 2019. Constructed wetlands combined with disinfection systems for removal of urban wastewater contaminants. Science of the total environment 656, 558–566.</t>
  </si>
  <si>
    <t>Schang, C., Schmidt, J., Gao, L., Bergmann, D., McCormack, T., Henry, R., McCarthy, D., 2021. Rainwater for residential hot water supply: Managing microbial risks. Science of The Total Environment 782, 146889.</t>
  </si>
  <si>
    <t>Seeger, E.M., Braeckevelt, M., Reiche, N., Müller, J.A., Kästner, M., 2016. Removal of pathogen indicators from secondary effluent using slow sand filtration: Optimization approaches. Ecological engineering 95, 635–644.</t>
  </si>
  <si>
    <t>Sigmon, C., Shin, G.-A., Mieog, J., Linden, K.G., 2015. Establishing surrogate–virus relationships for ozone disinfection of wastewater. Environmental Engineering Science 32, 451–460.</t>
  </si>
  <si>
    <t>Simmons, F.J., Xagoraraki, I., 2011. Release of infectious human enteric viruses by full-scale wastewater utilities. Water research 45, 3590–3598.</t>
  </si>
  <si>
    <t>Stefanakis, A., Bardiau, M., Trajano, D., Couceiro, F., Williams, J., Taylor, H., 2019. Presence of bacteria and bacteriophages in full-scale trickling filters and an aerated constructed wetland. Science of the Total Environment 659, 1135–1145.</t>
  </si>
  <si>
    <t>Sun, P., Tyree, C., Huang, C.-H., 2016. Inactivation of Escherichia coli, Bacteriophage MS2, and Bacillus Spores under UV/H2O2 and UV/Peroxydisulfate Advanced Disinfection Conditions. Environ. Sci. Technol. 50, 4448–4458. https://doi.org/10.1021/acs.est.5b06097</t>
  </si>
  <si>
    <t>Ueda, T., Horan, N.J., 2000. Fate of indigenous bacteriophage in a membrane bioreactor. Water Research 34, 2151–2159.</t>
  </si>
  <si>
    <t>WaterSecure, 2017a. Membrane bioreactor, WaterVal Validation Protocol. Australian WaterSecure Innovations Ltd., Brisbane, Australia.</t>
  </si>
  <si>
    <t>WaterSecure, 2017b. Chlorine disinfection, WaterVal Validation Protocol. Australian WaterSecure Innovations Ltd., Brisbane, Australia.</t>
  </si>
  <si>
    <t>WaterSecure, 2017c. Ozone disinfection, WaterVal Validation Protocol. Australian WaterSecure Innovations Ltd., Brisbane, Australia.</t>
  </si>
  <si>
    <t>WaterSecure, 2017d. Reverse osmosis and nanofiltration, WaterVal Validation Protocol. Australian WaterSecure Innovations Ltd., Brisbane, Australia.</t>
  </si>
  <si>
    <t>Wickramanayake, G.B., Rubin, A.J., Sproul, O.J., 1985. Effects of ozone and storage temperature on Giardia cysts. Journal‐American Water Works Association 77, 74–77.</t>
  </si>
  <si>
    <t>Winward, G.P., Avery, L.M., Frazer-Williams, R., Pidou, M., Jeffrey, P., Stephenson, T., Jefferson, B., 2008a. A study of the microbial quality of grey water and an evaluation of treatment technologies for reuse. Ecological Engineering 32, 187–197. https://doi.org/10.1016/j.ecoleng.2007.11.001</t>
  </si>
  <si>
    <t>Winward, G.P., Avery, L.M., Stephenson, T., Jefferson, B., 2008b. Chlorine disinfection of grey water for reuse: Effect of organics and particles. Water Research 42, 483–491. https://doi.org/10.1016/j.watres.2007.07.042</t>
  </si>
  <si>
    <t>Winward, G.P., Avery, L.M., Stephenson, T., Jefferson, B., 2008c. Ultraviolet (UV) disinfection of grey water: Particle size effects. Environmental Technology 29, 235–244. https://doi.org/10.1080/09593330802030069</t>
  </si>
  <si>
    <t>Zheng, X., Liu, J., 2007. Virus rejection with two model human enteric viruses in membrane bioreactor system. Science in China Series B: Chemistry 50, 397–404.</t>
  </si>
  <si>
    <t>Table 1 of manuscript</t>
  </si>
  <si>
    <t>Figures 1-3 of manuscript</t>
  </si>
  <si>
    <t>X</t>
  </si>
  <si>
    <t>Table 2.4</t>
  </si>
  <si>
    <t>0.5 to 4 log is same as EPA 2006. 4-6 log is only provided for informational purposes.</t>
  </si>
  <si>
    <t>Norovirus-GIA</t>
  </si>
  <si>
    <t>Norovirus-GIB</t>
  </si>
  <si>
    <t>Norovirus-GII</t>
  </si>
  <si>
    <t>Standard production</t>
  </si>
  <si>
    <t>IPR</t>
  </si>
  <si>
    <t>Municipal wastewater</t>
  </si>
  <si>
    <t>After maintenance clean</t>
  </si>
  <si>
    <t>NPR</t>
  </si>
  <si>
    <t>After recovery clean (3.5 hrs)</t>
  </si>
  <si>
    <t>After recovery clean (22 hrs)</t>
  </si>
  <si>
    <t>Phase 3 has a cartridge filter directly after a blanket filter, which effectively reduces the performance of the cartridge filter (the two processes provide similar removals, so are nearly redundant)</t>
  </si>
  <si>
    <t>Activated Sludge</t>
  </si>
  <si>
    <t>Salveson et al., 2021</t>
  </si>
  <si>
    <t>Cited references</t>
  </si>
  <si>
    <t>U.S. EPA, 2020</t>
  </si>
  <si>
    <t>Olivieri et al., 2016</t>
  </si>
  <si>
    <t>Olivieri, A. W., Crook, J., Anderson, M. A., Bull, R. J., Drewes, J. E., Haas, C. N., ... &amp; Wade, T. J. (2016). Evaluation of the feasibility of developing uniform water recycling criteria for direct potable reuse. California State Water Resources Control Board, Fountain Valley, CA.</t>
  </si>
  <si>
    <t>Ghayeni, S. S., Beatson, P. J., Fane, A. J., &amp; Schneider, R. P. (1999). Bacterial passage through microfiltration membranes in wastewater applications. Journal of Membrane Science, 153(1), 71-82.</t>
  </si>
  <si>
    <t>Ghayeni et al. (1999)</t>
  </si>
  <si>
    <t>Salveson, A., Trussell, S., &amp; Linden, K. (2021). Membrane Bioreactor Validation Protocols for Water Reuse. Water Research Foundation, Alexandria, VA. Available from: https://www. waterrf. org/research/projects/membrane-bioreactor-validation-protocols-water-reuse.</t>
  </si>
  <si>
    <t>U.S. EPA, 2020. Innovative Approaches for Validation of Ultraviolet Disinfection Reactors for Drinking Water Systems. U.S. Environmental Protection Agency, Washington, DC, EPA/600/R-20/094, 2020.</t>
  </si>
  <si>
    <t>U.S. EPA, 2006. Ultraviolet Disinfection Guidance Manual for the Final Long Term 2 Enhanced Surface Water Treatment Rule. EPA 815‐R‐06‐007.</t>
  </si>
  <si>
    <t>Unique ID used for calculation and lookup purposes</t>
  </si>
  <si>
    <t>Source document</t>
  </si>
  <si>
    <t>Unit process</t>
  </si>
  <si>
    <t>Source water</t>
  </si>
  <si>
    <t>Location of study</t>
  </si>
  <si>
    <t>Unit process description</t>
  </si>
  <si>
    <t>Primary source water</t>
  </si>
  <si>
    <t>Influent to unit process, if different than source water</t>
  </si>
  <si>
    <t>Intended end use of treated water</t>
  </si>
  <si>
    <t>Study scale (e.g., lab, pilot or full-scale)</t>
  </si>
  <si>
    <t>Pore size measure (e.g., nominal, maximum, absolute)</t>
  </si>
  <si>
    <t>Chemical dosage (mg/L)</t>
  </si>
  <si>
    <t>Chemical residual (mg/L)</t>
  </si>
  <si>
    <t>Chemical contact time (CT) (mg-min/L)</t>
  </si>
  <si>
    <t>Time of contact (different than CT) (min)</t>
  </si>
  <si>
    <t>"X" notes where CT is not provided and instead calculated as the product of residual and time</t>
  </si>
  <si>
    <t>Hydraulic loading rate (m/d)</t>
  </si>
  <si>
    <t>Hydraulic retention time (days)</t>
  </si>
  <si>
    <t>Solids retention time (days)</t>
  </si>
  <si>
    <t>Mixed liquor suspended solids (mg/L)</t>
  </si>
  <si>
    <t>Any process requirements not captured elsewhere</t>
  </si>
  <si>
    <t>Dissolved oxygen (mg/L)</t>
  </si>
  <si>
    <t>Biological oxygen demand (mg/L)</t>
  </si>
  <si>
    <t>Total organic carbon (mg/L)</t>
  </si>
  <si>
    <t>Total suspended solids (mg/L)</t>
  </si>
  <si>
    <t>Alkalinity (mg/L)</t>
  </si>
  <si>
    <t>Ultraviolet transmittance (% UVT)</t>
  </si>
  <si>
    <t>Temperature (degrees C)</t>
  </si>
  <si>
    <t>Total nitrogen (mg-N/L)</t>
  </si>
  <si>
    <t>Organic nitrogen (mg-N/L)</t>
  </si>
  <si>
    <t>Total dissolved nitrogen (mg-N/L)</t>
  </si>
  <si>
    <t>Nitrate (mg-N/L)</t>
  </si>
  <si>
    <t>Total phosphorus (mg/L)</t>
  </si>
  <si>
    <t>Ultraviolet absorbance (%UVA)</t>
  </si>
  <si>
    <t>Percent removal, used to calculate effluent concentration when only influent and percent removal reported</t>
  </si>
  <si>
    <t>Microorganism type (virus, protozoa, bacteria)</t>
  </si>
  <si>
    <t>Microorganism name</t>
  </si>
  <si>
    <t>Analytical method</t>
  </si>
  <si>
    <t>Reporting unit (e.g., MPN/L)</t>
  </si>
  <si>
    <t>If the entry represents a reported composite value (e.g., average monthly value), "Y" or "yes" indicates individual sample values are available if needed at a future time for statistical analysis. Generally, in these cases, individual values were not included in this database as they are in a form (e.g., scatterplot) that is not amenable to manual translation.</t>
  </si>
  <si>
    <t>number of samples upon which reported LRV is based</t>
  </si>
  <si>
    <t>Standard deviation of underlying sample values, if reported value is a composite</t>
  </si>
  <si>
    <t>Coefficient of variation of underlying sample values, if reported value is a composite</t>
  </si>
  <si>
    <t>Minimum LRV of underlying range if reported value is a composite</t>
  </si>
  <si>
    <t>Maximum LRV of underlying range if reported value is a composite</t>
  </si>
  <si>
    <t xml:space="preserve">LRV under column BM is the median </t>
  </si>
  <si>
    <t>Used to indicate values that are influenced by sample result(s) below the method detection limit</t>
  </si>
  <si>
    <t>Average reported LRV or sample LRV if based on a single sample</t>
  </si>
  <si>
    <t>Average reported influent concentration or sample concentration if based on a single sample (log trasformed)</t>
  </si>
  <si>
    <t>Standard deviation of underlying sample values, if reported value is a composite (log transformed)</t>
  </si>
  <si>
    <t>Coefficient of variation of underlying sample values, if reported value is a composite (log transformed)</t>
  </si>
  <si>
    <t>Minimum concentration of underlying range if reported value is a composite (log transformed)</t>
  </si>
  <si>
    <t>Maximum concentration of underlying range if reported value is a composite (log transformed)</t>
  </si>
  <si>
    <t>Average reported effluent concentration or sample concentration if based on a single sample (log trasformed)</t>
  </si>
  <si>
    <t>Any notes relevant to data compilation, unit process, etc.</t>
  </si>
  <si>
    <t>Staff responsible for data entry</t>
  </si>
  <si>
    <t>Staff responsible for data QC</t>
  </si>
  <si>
    <t>Total ammonia (mg-N/L)</t>
  </si>
  <si>
    <t>Category</t>
  </si>
  <si>
    <t>Column</t>
  </si>
  <si>
    <t>Intended end use of the water</t>
  </si>
  <si>
    <t>Target organism (if applicable)</t>
  </si>
  <si>
    <t>Suitable surrogate (if applicable)</t>
  </si>
  <si>
    <t>Analytica method</t>
  </si>
  <si>
    <t>Log reduction credit</t>
  </si>
  <si>
    <t>Process requirements (if applicable)</t>
  </si>
  <si>
    <t>A note to reviewers where they can find the data within the publication</t>
  </si>
  <si>
    <t>Terminology</t>
  </si>
  <si>
    <t>Description of column headings on LRVs and LRCs tabs</t>
  </si>
  <si>
    <t>transmembrane pressure, temperature, turbidity</t>
  </si>
  <si>
    <t>Reverse Osmosis and Nanofiltration</t>
  </si>
  <si>
    <t>membrane type, permeate flux, cross-flow velocity, recovery, pH, temperature, ionic strength, DOC</t>
  </si>
  <si>
    <t>A Unit Process Log Removal Database for Water Reuse Practitioners: Supplemental Materials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</si>
</sst>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E+00"/>
    <numFmt numFmtId="165" formatCode="0.0"/>
    <numFmt numFmtId="166" formatCode="0.000"/>
  </numFmts>
  <fonts count="27" x14ac:knownFonts="1">
    <font>
      <sz val="11"/>
      <color theme="1"/>
      <name val="Calibri"/>
      <family val="2"/>
      <scheme val="minor"/>
    </font>
    <font>
      <b/>
      <sz val="11"/>
      <color theme="1"/>
      <name val="Calibri"/>
      <family val="2"/>
      <scheme val="minor"/>
    </font>
    <font>
      <b/>
      <i/>
      <sz val="11"/>
      <color theme="1"/>
      <name val="Calibri"/>
      <family val="2"/>
      <scheme val="minor"/>
    </font>
    <font>
      <b/>
      <sz val="11"/>
      <name val="Calibri"/>
      <family val="2"/>
      <scheme val="minor"/>
    </font>
    <font>
      <sz val="8"/>
      <name val="Calibri"/>
      <family val="2"/>
      <scheme val="minor"/>
    </font>
    <font>
      <sz val="12"/>
      <color theme="1"/>
      <name val="Times New Roman"/>
      <family val="2"/>
    </font>
    <font>
      <sz val="11"/>
      <color rgb="FF222222"/>
      <name val="Calibri"/>
      <family val="2"/>
      <scheme val="minor"/>
    </font>
    <font>
      <b/>
      <sz val="12"/>
      <color theme="1"/>
      <name val="Calibri"/>
      <family val="2"/>
      <scheme val="minor"/>
    </font>
    <font>
      <sz val="11"/>
      <color rgb="FF2E2E2E"/>
      <name val="Calibri"/>
      <family val="2"/>
      <scheme val="minor"/>
    </font>
    <font>
      <sz val="11"/>
      <name val="Calibri"/>
      <family val="2"/>
      <scheme val="minor"/>
    </font>
    <font>
      <sz val="8"/>
      <color theme="1"/>
      <name val="Arial"/>
      <family val="2"/>
    </font>
    <font>
      <u/>
      <sz val="11"/>
      <color theme="10"/>
      <name val="Calibri"/>
      <family val="2"/>
      <scheme val="minor"/>
    </font>
    <font>
      <i/>
      <sz val="11"/>
      <color theme="1"/>
      <name val="Calibri"/>
      <family val="2"/>
      <scheme val="minor"/>
    </font>
    <font>
      <b/>
      <sz val="11"/>
      <color theme="0"/>
      <name val="Calibri"/>
      <family val="2"/>
      <scheme val="minor"/>
    </font>
    <font>
      <sz val="11"/>
      <color theme="0" tint="-0.14999847407452621"/>
      <name val="Calibri"/>
      <family val="2"/>
      <scheme val="minor"/>
    </font>
    <font>
      <b/>
      <sz val="14"/>
      <color theme="1"/>
      <name val="Calibri"/>
      <family val="2"/>
      <scheme val="minor"/>
    </font>
    <font>
      <sz val="10"/>
      <name val="Arial"/>
      <family val="2"/>
    </font>
    <font>
      <b/>
      <sz val="22"/>
      <color theme="1" tint="0.34998626667073579"/>
      <name val="Calibri"/>
      <family val="2"/>
      <scheme val="minor"/>
    </font>
    <font>
      <b/>
      <i/>
      <sz val="11"/>
      <name val="Calibri"/>
      <family val="2"/>
      <scheme val="minor"/>
    </font>
    <font>
      <b/>
      <sz val="12"/>
      <name val="Calibri"/>
      <family val="2"/>
      <scheme val="minor"/>
    </font>
    <font>
      <sz val="11"/>
      <color rgb="FF000000"/>
      <name val="Calibri"/>
      <family val="2"/>
    </font>
    <font>
      <sz val="8"/>
      <color theme="1"/>
      <name val="Arial"/>
      <family val="2"/>
    </font>
    <font>
      <sz val="9"/>
      <name val="Calibri"/>
      <family val="2"/>
      <scheme val="minor"/>
    </font>
    <font>
      <b/>
      <sz val="9"/>
      <name val="Calibri"/>
      <family val="2"/>
      <scheme val="minor"/>
    </font>
    <font>
      <b/>
      <sz val="10"/>
      <color theme="1"/>
      <name val="Calibri"/>
      <family val="2"/>
      <scheme val="minor"/>
    </font>
    <font>
      <sz val="10"/>
      <color theme="1"/>
      <name val="Calibri"/>
      <family val="2"/>
      <scheme val="minor"/>
    </font>
    <font>
      <b/>
      <sz val="20"/>
      <color theme="1" tint="0.34998626667073579"/>
      <name val="Calibri"/>
      <family val="2"/>
      <scheme val="minor"/>
    </font>
  </fonts>
  <fills count="11">
    <fill>
      <patternFill patternType="none"/>
    </fill>
    <fill>
      <patternFill patternType="gray125"/>
    </fill>
    <fill>
      <patternFill patternType="solid">
        <fgColor theme="2" tint="-9.9978637043366805E-2"/>
        <bgColor indexed="64"/>
      </patternFill>
    </fill>
    <fill>
      <patternFill patternType="solid">
        <fgColor theme="9"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rgb="FFDDEBF7"/>
        <bgColor rgb="FFDDEBF7"/>
      </patternFill>
    </fill>
    <fill>
      <patternFill patternType="solid">
        <fgColor theme="0" tint="-4.9989318521683403E-2"/>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top/>
      <bottom style="medium">
        <color theme="9" tint="0.39994506668294322"/>
      </bottom>
      <diagonal/>
    </border>
    <border>
      <left/>
      <right/>
      <top style="medium">
        <color theme="9" tint="0.39991454817346722"/>
      </top>
      <bottom/>
      <diagonal/>
    </border>
    <border>
      <left/>
      <right/>
      <top style="thin">
        <color theme="4" tint="0.39997558519241921"/>
      </top>
      <bottom style="thin">
        <color theme="4" tint="0.39997558519241921"/>
      </bottom>
      <diagonal/>
    </border>
    <border>
      <left/>
      <right/>
      <top style="thin">
        <color rgb="FF9BC2E6"/>
      </top>
      <bottom style="thin">
        <color rgb="FF9BC2E6"/>
      </bottom>
      <diagonal/>
    </border>
    <border>
      <left style="thin">
        <color theme="4" tint="0.39997558519241921"/>
      </left>
      <right/>
      <top style="thin">
        <color theme="4" tint="0.39997558519241921"/>
      </top>
      <bottom style="thin">
        <color theme="4" tint="0.39997558519241921"/>
      </bottom>
      <diagonal/>
    </border>
  </borders>
  <cellStyleXfs count="4">
    <xf numFmtId="0" fontId="0" fillId="0" borderId="0"/>
    <xf numFmtId="0" fontId="5" fillId="0" borderId="0"/>
    <xf numFmtId="0" fontId="11" fillId="0" borderId="0" applyNumberFormat="0" applyFill="0" applyBorder="0" applyAlignment="0" applyProtection="0"/>
    <xf numFmtId="0" fontId="16" fillId="0" borderId="0"/>
  </cellStyleXfs>
  <cellXfs count="143">
    <xf numFmtId="0" fontId="0" fillId="0" borderId="0" xfId="0"/>
    <xf numFmtId="0" fontId="1" fillId="0" borderId="0" xfId="0" applyFont="1" applyAlignment="1">
      <alignment horizontal="left" wrapText="1"/>
    </xf>
    <xf numFmtId="0" fontId="1" fillId="0" borderId="1" xfId="0" applyFont="1" applyBorder="1" applyAlignment="1">
      <alignment horizontal="left" wrapText="1"/>
    </xf>
    <xf numFmtId="0" fontId="1" fillId="0" borderId="0" xfId="0" applyFont="1" applyAlignment="1">
      <alignment horizontal="center"/>
    </xf>
    <xf numFmtId="0" fontId="0" fillId="0" borderId="0" xfId="0" applyAlignment="1">
      <alignment horizontal="center"/>
    </xf>
    <xf numFmtId="0" fontId="2" fillId="0" borderId="0" xfId="0" applyFont="1"/>
    <xf numFmtId="0" fontId="1" fillId="0" borderId="0" xfId="0" applyFont="1"/>
    <xf numFmtId="0" fontId="0" fillId="0" borderId="0" xfId="0" applyAlignment="1">
      <alignment wrapText="1"/>
    </xf>
    <xf numFmtId="0" fontId="1" fillId="0" borderId="1" xfId="0" applyFont="1" applyBorder="1" applyAlignment="1">
      <alignment horizontal="left"/>
    </xf>
    <xf numFmtId="164" fontId="0" fillId="0" borderId="0" xfId="0" applyNumberFormat="1"/>
    <xf numFmtId="165" fontId="0" fillId="0" borderId="0" xfId="0" applyNumberFormat="1"/>
    <xf numFmtId="0" fontId="1" fillId="0" borderId="1" xfId="0" applyFont="1" applyBorder="1" applyAlignment="1">
      <alignment horizontal="center" wrapText="1"/>
    </xf>
    <xf numFmtId="0" fontId="0" fillId="0" borderId="0" xfId="0" applyAlignment="1">
      <alignment horizontal="left" wrapText="1"/>
    </xf>
    <xf numFmtId="0" fontId="0" fillId="0" borderId="0" xfId="0" applyAlignment="1">
      <alignment horizontal="left"/>
    </xf>
    <xf numFmtId="0" fontId="6" fillId="0" borderId="0" xfId="0" applyFont="1"/>
    <xf numFmtId="0" fontId="8" fillId="0" borderId="0" xfId="0" applyFont="1"/>
    <xf numFmtId="0" fontId="0" fillId="6" borderId="0" xfId="0" applyFill="1"/>
    <xf numFmtId="2" fontId="0" fillId="0" borderId="0" xfId="0" applyNumberFormat="1"/>
    <xf numFmtId="0" fontId="0" fillId="0" borderId="0" xfId="0" applyAlignment="1">
      <alignment horizontal="right"/>
    </xf>
    <xf numFmtId="0" fontId="0" fillId="0" borderId="2" xfId="0" applyBorder="1"/>
    <xf numFmtId="0" fontId="11" fillId="0" borderId="0" xfId="2" applyFill="1"/>
    <xf numFmtId="0" fontId="9" fillId="0" borderId="0" xfId="2" applyFont="1"/>
    <xf numFmtId="2" fontId="0" fillId="0" borderId="0" xfId="0" applyNumberFormat="1" applyAlignment="1">
      <alignment horizontal="left"/>
    </xf>
    <xf numFmtId="0" fontId="3" fillId="2" borderId="2" xfId="0" applyFont="1" applyFill="1" applyBorder="1" applyAlignment="1">
      <alignment horizontal="center" wrapText="1"/>
    </xf>
    <xf numFmtId="0" fontId="9" fillId="0" borderId="0" xfId="0" applyFont="1"/>
    <xf numFmtId="16" fontId="0" fillId="0" borderId="0" xfId="0" quotePrefix="1" applyNumberFormat="1"/>
    <xf numFmtId="0" fontId="0" fillId="0" borderId="0" xfId="0" quotePrefix="1"/>
    <xf numFmtId="16" fontId="0" fillId="0" borderId="0" xfId="0" applyNumberFormat="1"/>
    <xf numFmtId="0" fontId="1" fillId="0" borderId="0" xfId="0" applyFont="1" applyAlignment="1">
      <alignment horizontal="left"/>
    </xf>
    <xf numFmtId="0" fontId="12" fillId="0" borderId="0" xfId="0" applyFont="1"/>
    <xf numFmtId="0" fontId="0" fillId="0" borderId="2" xfId="0" applyBorder="1" applyAlignment="1">
      <alignment horizontal="center"/>
    </xf>
    <xf numFmtId="0" fontId="0" fillId="0" borderId="2" xfId="0" applyBorder="1" applyAlignment="1">
      <alignment horizontal="right"/>
    </xf>
    <xf numFmtId="0" fontId="0" fillId="3" borderId="2" xfId="0" applyFill="1" applyBorder="1"/>
    <xf numFmtId="0" fontId="0" fillId="3" borderId="2" xfId="0" applyFill="1" applyBorder="1" applyAlignment="1">
      <alignment horizontal="right"/>
    </xf>
    <xf numFmtId="0" fontId="0" fillId="3" borderId="9" xfId="0" applyFill="1" applyBorder="1" applyAlignment="1">
      <alignment horizontal="right"/>
    </xf>
    <xf numFmtId="0" fontId="1" fillId="3" borderId="2" xfId="0" applyFont="1" applyFill="1" applyBorder="1"/>
    <xf numFmtId="0" fontId="0" fillId="7" borderId="0" xfId="0" applyFill="1"/>
    <xf numFmtId="0" fontId="1" fillId="7" borderId="0" xfId="0" applyFont="1" applyFill="1" applyAlignment="1">
      <alignment horizontal="center"/>
    </xf>
    <xf numFmtId="0" fontId="0" fillId="7" borderId="0" xfId="0" applyFill="1" applyAlignment="1">
      <alignment horizontal="center"/>
    </xf>
    <xf numFmtId="0" fontId="0" fillId="7" borderId="0" xfId="0" applyFill="1" applyAlignment="1">
      <alignment horizontal="left"/>
    </xf>
    <xf numFmtId="0" fontId="9" fillId="7" borderId="0" xfId="0" applyFont="1" applyFill="1"/>
    <xf numFmtId="0" fontId="9" fillId="0" borderId="0" xfId="0" applyFont="1" applyAlignment="1">
      <alignment horizontal="center"/>
    </xf>
    <xf numFmtId="0" fontId="13" fillId="0" borderId="0" xfId="0" applyFont="1" applyAlignment="1">
      <alignment horizontal="center" wrapText="1"/>
    </xf>
    <xf numFmtId="0" fontId="13" fillId="0" borderId="0" xfId="0" applyFont="1" applyAlignment="1">
      <alignment wrapText="1"/>
    </xf>
    <xf numFmtId="165" fontId="13" fillId="0" borderId="0" xfId="0" applyNumberFormat="1" applyFont="1" applyAlignment="1">
      <alignment horizontal="center" wrapText="1"/>
    </xf>
    <xf numFmtId="2" fontId="13" fillId="0" borderId="0" xfId="0" applyNumberFormat="1" applyFont="1" applyAlignment="1">
      <alignment horizontal="center" wrapText="1"/>
    </xf>
    <xf numFmtId="0" fontId="3" fillId="2" borderId="2" xfId="0" applyFont="1" applyFill="1" applyBorder="1" applyAlignment="1">
      <alignment wrapText="1"/>
    </xf>
    <xf numFmtId="0" fontId="14" fillId="0" borderId="0" xfId="0" applyFont="1"/>
    <xf numFmtId="2" fontId="0" fillId="0" borderId="2" xfId="0" applyNumberFormat="1" applyBorder="1" applyAlignment="1">
      <alignment horizontal="center"/>
    </xf>
    <xf numFmtId="1" fontId="9" fillId="0" borderId="0" xfId="0" applyNumberFormat="1" applyFont="1"/>
    <xf numFmtId="0" fontId="15" fillId="0" borderId="0" xfId="0" applyFont="1"/>
    <xf numFmtId="0" fontId="0" fillId="3" borderId="5" xfId="0" applyFill="1" applyBorder="1"/>
    <xf numFmtId="1" fontId="0" fillId="0" borderId="0" xfId="0" applyNumberFormat="1"/>
    <xf numFmtId="0" fontId="9" fillId="6" borderId="0" xfId="0" applyFont="1" applyFill="1"/>
    <xf numFmtId="0" fontId="16" fillId="4" borderId="0" xfId="3" applyFill="1"/>
    <xf numFmtId="0" fontId="17" fillId="4" borderId="16" xfId="3" applyFont="1" applyFill="1" applyBorder="1" applyAlignment="1">
      <alignment horizontal="left" wrapText="1"/>
    </xf>
    <xf numFmtId="0" fontId="9" fillId="4" borderId="0" xfId="3" applyFont="1" applyFill="1" applyAlignment="1">
      <alignment horizontal="left" vertical="top"/>
    </xf>
    <xf numFmtId="0" fontId="9" fillId="4" borderId="0" xfId="3" applyFont="1" applyFill="1" applyAlignment="1">
      <alignment horizontal="left" vertical="top" wrapText="1"/>
    </xf>
    <xf numFmtId="0" fontId="9" fillId="4" borderId="17" xfId="3" applyFont="1" applyFill="1" applyBorder="1" applyAlignment="1">
      <alignment horizontal="left" vertical="top"/>
    </xf>
    <xf numFmtId="0" fontId="9" fillId="4" borderId="17" xfId="3" applyFont="1" applyFill="1" applyBorder="1" applyAlignment="1">
      <alignment horizontal="left" vertical="top" wrapText="1"/>
    </xf>
    <xf numFmtId="0" fontId="10" fillId="0" borderId="0" xfId="0" applyFont="1" applyAlignment="1">
      <alignment horizontal="center"/>
    </xf>
    <xf numFmtId="0" fontId="10" fillId="0" borderId="0" xfId="0" applyFont="1" applyAlignment="1">
      <alignment horizontal="left"/>
    </xf>
    <xf numFmtId="166" fontId="0" fillId="0" borderId="0" xfId="0" applyNumberFormat="1"/>
    <xf numFmtId="0" fontId="9" fillId="0" borderId="0" xfId="0" applyFont="1" applyAlignment="1">
      <alignment wrapText="1"/>
    </xf>
    <xf numFmtId="0" fontId="3" fillId="3" borderId="2" xfId="0" applyFont="1" applyFill="1" applyBorder="1" applyAlignment="1">
      <alignment wrapText="1"/>
    </xf>
    <xf numFmtId="0" fontId="3" fillId="3" borderId="2" xfId="0" applyFont="1" applyFill="1" applyBorder="1" applyAlignment="1">
      <alignment horizontal="center" wrapText="1"/>
    </xf>
    <xf numFmtId="0" fontId="3" fillId="0" borderId="2" xfId="0" applyFont="1" applyBorder="1" applyAlignment="1">
      <alignment wrapText="1"/>
    </xf>
    <xf numFmtId="0" fontId="3" fillId="5" borderId="2" xfId="0" applyFont="1" applyFill="1" applyBorder="1" applyAlignment="1">
      <alignment horizontal="center" wrapText="1"/>
    </xf>
    <xf numFmtId="165" fontId="3" fillId="5" borderId="2" xfId="0" applyNumberFormat="1" applyFont="1" applyFill="1" applyBorder="1" applyAlignment="1">
      <alignment horizontal="center" wrapText="1"/>
    </xf>
    <xf numFmtId="2" fontId="3" fillId="5" borderId="2" xfId="0" applyNumberFormat="1" applyFont="1" applyFill="1" applyBorder="1" applyAlignment="1">
      <alignment horizontal="center" wrapText="1"/>
    </xf>
    <xf numFmtId="0" fontId="3" fillId="2" borderId="8" xfId="0" applyFont="1" applyFill="1" applyBorder="1" applyAlignment="1">
      <alignment wrapText="1"/>
    </xf>
    <xf numFmtId="0" fontId="3" fillId="2" borderId="6" xfId="0" applyFont="1" applyFill="1" applyBorder="1" applyAlignment="1">
      <alignment wrapText="1"/>
    </xf>
    <xf numFmtId="0" fontId="3" fillId="2" borderId="7" xfId="0" applyFont="1" applyFill="1" applyBorder="1" applyAlignment="1">
      <alignment wrapText="1"/>
    </xf>
    <xf numFmtId="0" fontId="3" fillId="0" borderId="0" xfId="0" applyFont="1" applyAlignment="1">
      <alignment horizontal="center" wrapText="1"/>
    </xf>
    <xf numFmtId="0" fontId="3" fillId="2" borderId="3" xfId="0" applyFont="1" applyFill="1" applyBorder="1" applyAlignment="1">
      <alignment horizontal="center" wrapText="1"/>
    </xf>
    <xf numFmtId="0" fontId="3" fillId="2" borderId="8" xfId="0" applyFont="1" applyFill="1" applyBorder="1" applyAlignment="1">
      <alignment horizontal="center" wrapText="1"/>
    </xf>
    <xf numFmtId="0" fontId="3" fillId="2" borderId="6" xfId="0" applyFont="1" applyFill="1" applyBorder="1" applyAlignment="1">
      <alignment horizontal="center" wrapText="1"/>
    </xf>
    <xf numFmtId="0" fontId="3" fillId="2" borderId="7" xfId="0" applyFont="1" applyFill="1" applyBorder="1" applyAlignment="1">
      <alignment horizontal="center" wrapText="1"/>
    </xf>
    <xf numFmtId="0" fontId="2" fillId="2" borderId="15" xfId="0" applyFont="1" applyFill="1" applyBorder="1" applyAlignment="1">
      <alignment horizontal="center" wrapText="1"/>
    </xf>
    <xf numFmtId="0" fontId="0" fillId="0" borderId="18" xfId="0" applyBorder="1"/>
    <xf numFmtId="0" fontId="0" fillId="8" borderId="18" xfId="0" applyFill="1" applyBorder="1"/>
    <xf numFmtId="165" fontId="19" fillId="0" borderId="2" xfId="0" applyNumberFormat="1" applyFont="1" applyBorder="1" applyAlignment="1">
      <alignment wrapText="1"/>
    </xf>
    <xf numFmtId="0" fontId="20" fillId="9" borderId="19" xfId="0" applyFont="1" applyFill="1" applyBorder="1"/>
    <xf numFmtId="0" fontId="20" fillId="0" borderId="19" xfId="0" applyFont="1" applyBorder="1"/>
    <xf numFmtId="0" fontId="21" fillId="0" borderId="0" xfId="0" applyFont="1" applyAlignment="1">
      <alignment horizontal="center"/>
    </xf>
    <xf numFmtId="0" fontId="3" fillId="3" borderId="3" xfId="0" applyFont="1" applyFill="1" applyBorder="1" applyAlignment="1">
      <alignment horizontal="center" wrapText="1"/>
    </xf>
    <xf numFmtId="0" fontId="22" fillId="0" borderId="0" xfId="0" applyFont="1"/>
    <xf numFmtId="0" fontId="23" fillId="0" borderId="0" xfId="0" applyFont="1"/>
    <xf numFmtId="0" fontId="23" fillId="0" borderId="0" xfId="0" applyFont="1" applyAlignment="1">
      <alignment horizontal="center"/>
    </xf>
    <xf numFmtId="165" fontId="23" fillId="0" borderId="0" xfId="0" applyNumberFormat="1" applyFont="1" applyAlignment="1">
      <alignment horizontal="center"/>
    </xf>
    <xf numFmtId="2" fontId="23" fillId="0" borderId="0" xfId="0" applyNumberFormat="1" applyFont="1" applyAlignment="1">
      <alignment horizontal="center"/>
    </xf>
    <xf numFmtId="0" fontId="24" fillId="2" borderId="2" xfId="0" applyFont="1" applyFill="1" applyBorder="1" applyAlignment="1">
      <alignment horizontal="center" vertical="center" wrapText="1"/>
    </xf>
    <xf numFmtId="0" fontId="25" fillId="0" borderId="2" xfId="0" applyFont="1" applyBorder="1" applyAlignment="1">
      <alignment vertical="center" wrapText="1"/>
    </xf>
    <xf numFmtId="0" fontId="0" fillId="0" borderId="0" xfId="0" applyAlignment="1">
      <alignment vertical="center"/>
    </xf>
    <xf numFmtId="0" fontId="26" fillId="4" borderId="16" xfId="3" applyFont="1" applyFill="1" applyBorder="1" applyAlignment="1">
      <alignment horizontal="left" wrapText="1"/>
    </xf>
    <xf numFmtId="0" fontId="24" fillId="2" borderId="0" xfId="0" applyFont="1" applyFill="1" applyAlignment="1">
      <alignment horizontal="center" vertical="center" wrapText="1"/>
    </xf>
    <xf numFmtId="0" fontId="24" fillId="2" borderId="0" xfId="0" applyFont="1" applyFill="1" applyAlignment="1">
      <alignment vertical="center"/>
    </xf>
    <xf numFmtId="0" fontId="24" fillId="2" borderId="2" xfId="0" applyFont="1" applyFill="1" applyBorder="1" applyAlignment="1">
      <alignment vertical="center"/>
    </xf>
    <xf numFmtId="0" fontId="24" fillId="10" borderId="2" xfId="0" applyFont="1" applyFill="1" applyBorder="1" applyAlignment="1">
      <alignment vertical="center"/>
    </xf>
    <xf numFmtId="0" fontId="24" fillId="10" borderId="2" xfId="0" applyFont="1" applyFill="1" applyBorder="1" applyAlignment="1">
      <alignment horizontal="center" vertical="center" wrapText="1"/>
    </xf>
    <xf numFmtId="0" fontId="0" fillId="10" borderId="2" xfId="0" applyFill="1" applyBorder="1"/>
    <xf numFmtId="0" fontId="0" fillId="2" borderId="2" xfId="0" applyFill="1" applyBorder="1"/>
    <xf numFmtId="0" fontId="0" fillId="0" borderId="2" xfId="0" applyBorder="1" applyAlignment="1">
      <alignment horizontal="center" vertical="center"/>
    </xf>
    <xf numFmtId="0" fontId="0" fillId="0" borderId="0" xfId="0" applyAlignment="1">
      <alignment horizontal="center" wrapText="1"/>
    </xf>
    <xf numFmtId="0" fontId="0" fillId="0" borderId="2" xfId="0" applyBorder="1" applyAlignment="1">
      <alignment horizontal="center" wrapText="1"/>
    </xf>
    <xf numFmtId="0" fontId="9" fillId="2" borderId="2" xfId="0" applyFont="1" applyFill="1" applyBorder="1" applyAlignment="1">
      <alignment horizontal="center"/>
    </xf>
    <xf numFmtId="0" fontId="1" fillId="0" borderId="0" xfId="0" applyFont="1" applyAlignment="1">
      <alignment horizontal="center" wrapText="1"/>
    </xf>
    <xf numFmtId="0" fontId="1" fillId="0" borderId="2" xfId="0" applyFont="1" applyBorder="1" applyAlignment="1">
      <alignment horizontal="center" wrapText="1"/>
    </xf>
    <xf numFmtId="0" fontId="1" fillId="0" borderId="2" xfId="0" applyFont="1" applyBorder="1"/>
    <xf numFmtId="0" fontId="0" fillId="0" borderId="2" xfId="0" applyBorder="1" applyAlignment="1">
      <alignment wrapText="1"/>
    </xf>
    <xf numFmtId="0" fontId="0" fillId="0" borderId="20" xfId="0" applyBorder="1" applyAlignment="1">
      <alignment horizontal="center" wrapText="1"/>
    </xf>
    <xf numFmtId="49" fontId="25" fillId="0" borderId="0" xfId="0" applyNumberFormat="1" applyFont="1" applyAlignment="1">
      <alignment horizontal="right" vertical="center"/>
    </xf>
    <xf numFmtId="0" fontId="25" fillId="0" borderId="0" xfId="0" applyFont="1" applyAlignment="1">
      <alignment horizontal="right" vertical="center" wrapText="1"/>
    </xf>
    <xf numFmtId="0" fontId="17" fillId="4" borderId="0" xfId="3" applyFont="1" applyFill="1" applyAlignment="1">
      <alignment horizontal="left" wrapText="1"/>
    </xf>
    <xf numFmtId="0" fontId="0" fillId="0" borderId="2" xfId="0" applyBorder="1" applyAlignment="1">
      <alignment horizontal="center" vertical="center" wrapText="1"/>
    </xf>
    <xf numFmtId="165" fontId="19" fillId="5" borderId="2" xfId="0" applyNumberFormat="1" applyFont="1" applyFill="1" applyBorder="1" applyAlignment="1">
      <alignment horizontal="center" wrapText="1"/>
    </xf>
    <xf numFmtId="0" fontId="18" fillId="2" borderId="11" xfId="0" applyFont="1" applyFill="1" applyBorder="1" applyAlignment="1">
      <alignment horizontal="center" wrapText="1"/>
    </xf>
    <xf numFmtId="0" fontId="18" fillId="2" borderId="12" xfId="0" applyFont="1" applyFill="1" applyBorder="1" applyAlignment="1">
      <alignment horizontal="center" wrapText="1"/>
    </xf>
    <xf numFmtId="0" fontId="18" fillId="2" borderId="13" xfId="0" applyFont="1" applyFill="1" applyBorder="1" applyAlignment="1">
      <alignment horizontal="center" wrapText="1"/>
    </xf>
    <xf numFmtId="0" fontId="19" fillId="3" borderId="2" xfId="0" applyFont="1" applyFill="1" applyBorder="1" applyAlignment="1">
      <alignment horizontal="center" wrapText="1"/>
    </xf>
    <xf numFmtId="0" fontId="18" fillId="2" borderId="3" xfId="0" applyFont="1" applyFill="1" applyBorder="1" applyAlignment="1">
      <alignment horizontal="center" wrapText="1"/>
    </xf>
    <xf numFmtId="0" fontId="18" fillId="2" borderId="4" xfId="0" applyFont="1" applyFill="1" applyBorder="1" applyAlignment="1">
      <alignment horizontal="center" wrapText="1"/>
    </xf>
    <xf numFmtId="0" fontId="18" fillId="2" borderId="5" xfId="0" applyFont="1" applyFill="1" applyBorder="1" applyAlignment="1">
      <alignment horizontal="center" wrapText="1"/>
    </xf>
    <xf numFmtId="165" fontId="7" fillId="5" borderId="14" xfId="0" applyNumberFormat="1" applyFont="1" applyFill="1" applyBorder="1" applyAlignment="1">
      <alignment horizontal="center" wrapText="1"/>
    </xf>
    <xf numFmtId="165" fontId="7" fillId="5" borderId="0" xfId="0" applyNumberFormat="1" applyFont="1" applyFill="1" applyAlignment="1">
      <alignment horizontal="center" wrapText="1"/>
    </xf>
    <xf numFmtId="0" fontId="2" fillId="2" borderId="11" xfId="0" applyFont="1" applyFill="1" applyBorder="1" applyAlignment="1">
      <alignment horizontal="center" wrapText="1"/>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2" fillId="2" borderId="5" xfId="0" applyFont="1" applyFill="1" applyBorder="1" applyAlignment="1">
      <alignment horizontal="center" wrapText="1"/>
    </xf>
    <xf numFmtId="0" fontId="7" fillId="3" borderId="0" xfId="0" applyFont="1" applyFill="1" applyAlignment="1">
      <alignment horizontal="center" wrapText="1"/>
    </xf>
    <xf numFmtId="0" fontId="7" fillId="3" borderId="10" xfId="0" applyFont="1" applyFill="1" applyBorder="1" applyAlignment="1">
      <alignment horizontal="center" wrapText="1"/>
    </xf>
    <xf numFmtId="0" fontId="0" fillId="10" borderId="2" xfId="0" applyFill="1" applyBorder="1" applyAlignment="1">
      <alignment horizontal="center"/>
    </xf>
    <xf numFmtId="0" fontId="0" fillId="2" borderId="2" xfId="0" applyFill="1" applyBorder="1" applyAlignment="1">
      <alignment horizontal="center"/>
    </xf>
    <xf numFmtId="0" fontId="24" fillId="2" borderId="2" xfId="0" applyFont="1" applyFill="1" applyBorder="1" applyAlignment="1">
      <alignment horizontal="center" vertical="center" wrapText="1"/>
    </xf>
    <xf numFmtId="0" fontId="25" fillId="0" borderId="0" xfId="0" applyFont="1" applyAlignment="1">
      <alignment horizontal="left" wrapText="1"/>
    </xf>
    <xf numFmtId="0" fontId="24" fillId="2" borderId="2" xfId="0" applyFont="1" applyFill="1" applyBorder="1" applyAlignment="1">
      <alignment horizontal="center" wrapText="1"/>
    </xf>
    <xf numFmtId="0" fontId="25" fillId="0" borderId="15" xfId="0" applyFont="1" applyBorder="1" applyAlignment="1">
      <alignment horizontal="left" vertical="center" wrapText="1"/>
    </xf>
    <xf numFmtId="0" fontId="25" fillId="0" borderId="9" xfId="0" applyFont="1" applyBorder="1" applyAlignment="1">
      <alignment horizontal="left" vertical="center" wrapText="1"/>
    </xf>
    <xf numFmtId="0" fontId="0" fillId="0" borderId="0" xfId="0" applyAlignment="1">
      <alignment horizontal="center"/>
    </xf>
    <xf numFmtId="0" fontId="0" fillId="0" borderId="2" xfId="0" applyBorder="1" applyAlignment="1">
      <alignment horizontal="center"/>
    </xf>
    <xf numFmtId="0" fontId="0" fillId="3" borderId="2" xfId="0" applyFill="1" applyBorder="1" applyAlignment="1">
      <alignment horizontal="left"/>
    </xf>
  </cellXfs>
  <cellStyles count="4">
    <cellStyle name="Hyperlink" xfId="2" builtinId="8"/>
    <cellStyle name="Normal" xfId="0" builtinId="0"/>
    <cellStyle name="Normal 2" xfId="1" xr:uid="{2FFDCCE7-6C63-4C4D-BB9A-07DA2C6D4808}"/>
    <cellStyle name="Normal 2 2 2" xfId="3" xr:uid="{7B5B1B92-FC10-4E49-8C53-67A728A7F5FA}"/>
  </cellStyles>
  <dxfs count="29">
    <dxf>
      <font>
        <b/>
        <i val="0"/>
        <strike val="0"/>
        <condense val="0"/>
        <extend val="0"/>
        <outline val="0"/>
        <shadow val="0"/>
        <u val="none"/>
        <vertAlign val="baseline"/>
        <sz val="11"/>
        <color theme="1"/>
        <name val="Calibri"/>
        <family val="2"/>
        <scheme val="minor"/>
      </font>
    </dxf>
    <dxf>
      <numFmt numFmtId="21" formatCode="d\-mmm"/>
    </dxf>
    <dxf>
      <numFmt numFmtId="21" formatCode="d\-mmm"/>
    </dxf>
    <dxf>
      <font>
        <b/>
        <i val="0"/>
        <strike val="0"/>
        <condense val="0"/>
        <extend val="0"/>
        <outline val="0"/>
        <shadow val="0"/>
        <u val="none"/>
        <vertAlign val="baseline"/>
        <sz val="9"/>
        <color auto="1"/>
        <name val="Calibri"/>
        <family val="2"/>
        <scheme val="minor"/>
      </font>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2" formatCode="0.00"/>
    </dxf>
    <dxf>
      <numFmt numFmtId="1" formatCode="0"/>
    </dxf>
    <dxf>
      <numFmt numFmtId="2" formatCode="0.00"/>
    </dxf>
    <dxf>
      <numFmt numFmtId="165" formatCode="0.0"/>
    </dxf>
    <dxf>
      <numFmt numFmtId="165" formatCode="0.0"/>
    </dxf>
    <dxf>
      <numFmt numFmtId="165" formatCode="0.0"/>
    </dxf>
    <dxf>
      <alignment horizontal="center" vertical="bottom" textRotation="0" indent="0" justifyLastLine="0" shrinkToFit="0" readingOrder="0"/>
    </dxf>
    <dxf>
      <font>
        <b/>
        <i val="0"/>
        <strike val="0"/>
        <condense val="0"/>
        <extend val="0"/>
        <outline val="0"/>
        <shadow val="0"/>
        <u val="none"/>
        <vertAlign val="baseline"/>
        <sz val="11"/>
        <color theme="0"/>
        <name val="Calibri"/>
        <family val="2"/>
        <scheme val="minor"/>
      </font>
      <fill>
        <patternFill patternType="none">
          <fgColor indexed="64"/>
          <bgColor indexed="65"/>
        </patternFill>
      </fill>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ysClr val="windowText" lastClr="000000"/>
                </a:solidFill>
                <a:latin typeface="+mn-lt"/>
                <a:ea typeface="+mn-ea"/>
                <a:cs typeface="+mn-cs"/>
              </a:defRPr>
            </a:pPr>
            <a:r>
              <a:rPr lang="en-US"/>
              <a:t>Virus Removal</a:t>
            </a:r>
          </a:p>
        </c:rich>
      </c:tx>
      <c:overlay val="0"/>
      <c:spPr>
        <a:noFill/>
        <a:ln>
          <a:noFill/>
        </a:ln>
        <a:effectLst/>
      </c:spPr>
      <c:txPr>
        <a:bodyPr rot="0" spcFirstLastPara="1" vertOverflow="ellipsis" vert="horz" wrap="square" anchor="ctr" anchorCtr="1"/>
        <a:lstStyle/>
        <a:p>
          <a:pPr>
            <a:defRPr sz="1320" b="0"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1"/>
          <c:order val="0"/>
          <c:tx>
            <c:strRef>
              <c:f>'Figures 1-3'!$AC$2</c:f>
              <c:strCache>
                <c:ptCount val="1"/>
                <c:pt idx="0">
                  <c:v>Virus LRV Minimum</c:v>
                </c:pt>
              </c:strCache>
            </c:strRef>
          </c:tx>
          <c:spPr>
            <a:ln w="28575" cap="rnd">
              <a:noFill/>
              <a:round/>
            </a:ln>
            <a:effectLst/>
          </c:spPr>
          <c:marker>
            <c:symbol val="triangle"/>
            <c:size val="8"/>
            <c:spPr>
              <a:solidFill>
                <a:srgbClr val="0070C0"/>
              </a:solidFill>
              <a:ln w="9525">
                <a:noFill/>
              </a:ln>
              <a:effectLst/>
            </c:spPr>
          </c:marker>
          <c:cat>
            <c:strRef>
              <c:f>'Figures 1-3'!$AA$3:$AA$23</c:f>
              <c:strCache>
                <c:ptCount val="21"/>
                <c:pt idx="0">
                  <c:v>Membrane bioreactor (90)</c:v>
                </c:pt>
                <c:pt idx="1">
                  <c:v>Peat Filter (4)</c:v>
                </c:pt>
                <c:pt idx="2">
                  <c:v>Chlorine (83)</c:v>
                </c:pt>
                <c:pt idx="3">
                  <c:v>UV (136)</c:v>
                </c:pt>
                <c:pt idx="4">
                  <c:v>Microfiltration (16)</c:v>
                </c:pt>
                <c:pt idx="5">
                  <c:v>Ozone (10)</c:v>
                </c:pt>
                <c:pt idx="6">
                  <c:v>Ultrafiltration (8)</c:v>
                </c:pt>
                <c:pt idx="7">
                  <c:v>Chloramination (42)</c:v>
                </c:pt>
                <c:pt idx="8">
                  <c:v>UV + H2O2 (23)</c:v>
                </c:pt>
                <c:pt idx="9">
                  <c:v>Rapid sand filtration (6)</c:v>
                </c:pt>
                <c:pt idx="10">
                  <c:v>Activated sludge (28)</c:v>
                </c:pt>
                <c:pt idx="11">
                  <c:v>Primary sedimentation (5)</c:v>
                </c:pt>
                <c:pt idx="12">
                  <c:v>Bio-filtration (4)</c:v>
                </c:pt>
                <c:pt idx="13">
                  <c:v>Sand filter (5)</c:v>
                </c:pt>
                <c:pt idx="14">
                  <c:v>UV + PAA (6)</c:v>
                </c:pt>
                <c:pt idx="15">
                  <c:v>Upflow anaerobic sludge blanket (4)</c:v>
                </c:pt>
                <c:pt idx="16">
                  <c:v>Peracetic acid (3)</c:v>
                </c:pt>
                <c:pt idx="17">
                  <c:v>Storage (8)</c:v>
                </c:pt>
                <c:pt idx="18">
                  <c:v>Trickling filter (4)</c:v>
                </c:pt>
                <c:pt idx="19">
                  <c:v>Stormwater Wetland (3)</c:v>
                </c:pt>
                <c:pt idx="20">
                  <c:v>Secondary sedimentation (3)</c:v>
                </c:pt>
              </c:strCache>
            </c:strRef>
          </c:cat>
          <c:val>
            <c:numRef>
              <c:f>'Figures 1-3'!$AC$3:$AC$23</c:f>
              <c:numCache>
                <c:formatCode>General</c:formatCode>
                <c:ptCount val="21"/>
                <c:pt idx="0">
                  <c:v>1.1399999999999999</c:v>
                </c:pt>
                <c:pt idx="1">
                  <c:v>2.8</c:v>
                </c:pt>
                <c:pt idx="2">
                  <c:v>-0.4242689473943867</c:v>
                </c:pt>
                <c:pt idx="3">
                  <c:v>-0.36991128507179405</c:v>
                </c:pt>
                <c:pt idx="4">
                  <c:v>0.3</c:v>
                </c:pt>
                <c:pt idx="5">
                  <c:v>0.2</c:v>
                </c:pt>
                <c:pt idx="6">
                  <c:v>0.82286086308682838</c:v>
                </c:pt>
                <c:pt idx="7">
                  <c:v>1</c:v>
                </c:pt>
                <c:pt idx="8">
                  <c:v>0.87</c:v>
                </c:pt>
                <c:pt idx="9">
                  <c:v>0.81</c:v>
                </c:pt>
                <c:pt idx="10">
                  <c:v>0.75</c:v>
                </c:pt>
                <c:pt idx="11">
                  <c:v>0.19</c:v>
                </c:pt>
                <c:pt idx="12">
                  <c:v>1.21</c:v>
                </c:pt>
                <c:pt idx="13">
                  <c:v>1.42</c:v>
                </c:pt>
                <c:pt idx="14">
                  <c:v>1.21</c:v>
                </c:pt>
                <c:pt idx="15">
                  <c:v>0</c:v>
                </c:pt>
                <c:pt idx="16">
                  <c:v>0.21</c:v>
                </c:pt>
                <c:pt idx="17">
                  <c:v>0.09</c:v>
                </c:pt>
                <c:pt idx="18">
                  <c:v>0.32</c:v>
                </c:pt>
                <c:pt idx="19">
                  <c:v>-0.18</c:v>
                </c:pt>
                <c:pt idx="20">
                  <c:v>0.17</c:v>
                </c:pt>
              </c:numCache>
            </c:numRef>
          </c:val>
          <c:smooth val="0"/>
          <c:extLst>
            <c:ext xmlns:c16="http://schemas.microsoft.com/office/drawing/2014/chart" uri="{C3380CC4-5D6E-409C-BE32-E72D297353CC}">
              <c16:uniqueId val="{00000000-23CA-405A-9FD2-04DF6E872843}"/>
            </c:ext>
          </c:extLst>
        </c:ser>
        <c:ser>
          <c:idx val="2"/>
          <c:order val="1"/>
          <c:tx>
            <c:strRef>
              <c:f>'Figures 1-3'!$AD$2</c:f>
              <c:strCache>
                <c:ptCount val="1"/>
                <c:pt idx="0">
                  <c:v>Virus LRV Maximum</c:v>
                </c:pt>
              </c:strCache>
            </c:strRef>
          </c:tx>
          <c:spPr>
            <a:ln w="28575" cap="rnd">
              <a:noFill/>
              <a:round/>
            </a:ln>
            <a:effectLst/>
          </c:spPr>
          <c:marker>
            <c:symbol val="x"/>
            <c:size val="5"/>
            <c:spPr>
              <a:solidFill>
                <a:srgbClr val="FF0000"/>
              </a:solidFill>
              <a:ln w="9525">
                <a:noFill/>
              </a:ln>
              <a:effectLst/>
            </c:spPr>
          </c:marker>
          <c:cat>
            <c:strRef>
              <c:f>'Figures 1-3'!$AA$3:$AA$23</c:f>
              <c:strCache>
                <c:ptCount val="21"/>
                <c:pt idx="0">
                  <c:v>Membrane bioreactor (90)</c:v>
                </c:pt>
                <c:pt idx="1">
                  <c:v>Peat Filter (4)</c:v>
                </c:pt>
                <c:pt idx="2">
                  <c:v>Chlorine (83)</c:v>
                </c:pt>
                <c:pt idx="3">
                  <c:v>UV (136)</c:v>
                </c:pt>
                <c:pt idx="4">
                  <c:v>Microfiltration (16)</c:v>
                </c:pt>
                <c:pt idx="5">
                  <c:v>Ozone (10)</c:v>
                </c:pt>
                <c:pt idx="6">
                  <c:v>Ultrafiltration (8)</c:v>
                </c:pt>
                <c:pt idx="7">
                  <c:v>Chloramination (42)</c:v>
                </c:pt>
                <c:pt idx="8">
                  <c:v>UV + H2O2 (23)</c:v>
                </c:pt>
                <c:pt idx="9">
                  <c:v>Rapid sand filtration (6)</c:v>
                </c:pt>
                <c:pt idx="10">
                  <c:v>Activated sludge (28)</c:v>
                </c:pt>
                <c:pt idx="11">
                  <c:v>Primary sedimentation (5)</c:v>
                </c:pt>
                <c:pt idx="12">
                  <c:v>Bio-filtration (4)</c:v>
                </c:pt>
                <c:pt idx="13">
                  <c:v>Sand filter (5)</c:v>
                </c:pt>
                <c:pt idx="14">
                  <c:v>UV + PAA (6)</c:v>
                </c:pt>
                <c:pt idx="15">
                  <c:v>Upflow anaerobic sludge blanket (4)</c:v>
                </c:pt>
                <c:pt idx="16">
                  <c:v>Peracetic acid (3)</c:v>
                </c:pt>
                <c:pt idx="17">
                  <c:v>Storage (8)</c:v>
                </c:pt>
                <c:pt idx="18">
                  <c:v>Trickling filter (4)</c:v>
                </c:pt>
                <c:pt idx="19">
                  <c:v>Stormwater Wetland (3)</c:v>
                </c:pt>
                <c:pt idx="20">
                  <c:v>Secondary sedimentation (3)</c:v>
                </c:pt>
              </c:strCache>
            </c:strRef>
          </c:cat>
          <c:val>
            <c:numRef>
              <c:f>'Figures 1-3'!$AD$3:$AD$23</c:f>
              <c:numCache>
                <c:formatCode>General</c:formatCode>
                <c:ptCount val="21"/>
                <c:pt idx="0">
                  <c:v>8.1</c:v>
                </c:pt>
                <c:pt idx="1">
                  <c:v>7</c:v>
                </c:pt>
                <c:pt idx="2">
                  <c:v>6.5</c:v>
                </c:pt>
                <c:pt idx="3">
                  <c:v>5.8</c:v>
                </c:pt>
                <c:pt idx="4">
                  <c:v>5.8</c:v>
                </c:pt>
                <c:pt idx="5">
                  <c:v>5.6</c:v>
                </c:pt>
                <c:pt idx="6">
                  <c:v>4.8499999999999996</c:v>
                </c:pt>
                <c:pt idx="7">
                  <c:v>4</c:v>
                </c:pt>
                <c:pt idx="8">
                  <c:v>4</c:v>
                </c:pt>
                <c:pt idx="9">
                  <c:v>3.81</c:v>
                </c:pt>
                <c:pt idx="10">
                  <c:v>3.47</c:v>
                </c:pt>
                <c:pt idx="11">
                  <c:v>3.47</c:v>
                </c:pt>
                <c:pt idx="12">
                  <c:v>2.89</c:v>
                </c:pt>
                <c:pt idx="13">
                  <c:v>2.7</c:v>
                </c:pt>
                <c:pt idx="14">
                  <c:v>2.58</c:v>
                </c:pt>
                <c:pt idx="15">
                  <c:v>2.38</c:v>
                </c:pt>
                <c:pt idx="16">
                  <c:v>1.28</c:v>
                </c:pt>
                <c:pt idx="17">
                  <c:v>1.1000000000000001</c:v>
                </c:pt>
                <c:pt idx="18">
                  <c:v>0.73</c:v>
                </c:pt>
                <c:pt idx="19">
                  <c:v>0.63</c:v>
                </c:pt>
                <c:pt idx="20">
                  <c:v>0.24</c:v>
                </c:pt>
              </c:numCache>
            </c:numRef>
          </c:val>
          <c:smooth val="0"/>
          <c:extLst>
            <c:ext xmlns:c16="http://schemas.microsoft.com/office/drawing/2014/chart" uri="{C3380CC4-5D6E-409C-BE32-E72D297353CC}">
              <c16:uniqueId val="{00000001-23CA-405A-9FD2-04DF6E872843}"/>
            </c:ext>
          </c:extLst>
        </c:ser>
        <c:dLbls>
          <c:showLegendKey val="0"/>
          <c:showVal val="0"/>
          <c:showCatName val="0"/>
          <c:showSerName val="0"/>
          <c:showPercent val="0"/>
          <c:showBubbleSize val="0"/>
        </c:dLbls>
        <c:hiLowLines>
          <c:spPr>
            <a:ln w="22225" cap="flat" cmpd="sng" algn="ctr">
              <a:solidFill>
                <a:schemeClr val="tx1"/>
              </a:solidFill>
              <a:prstDash val="sysDash"/>
              <a:round/>
            </a:ln>
            <a:effectLst/>
          </c:spPr>
        </c:hiLowLines>
        <c:marker val="1"/>
        <c:smooth val="0"/>
        <c:axId val="1046631056"/>
        <c:axId val="1046630096"/>
      </c:lineChart>
      <c:catAx>
        <c:axId val="104663105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1046630096"/>
        <c:crosses val="autoZero"/>
        <c:auto val="1"/>
        <c:lblAlgn val="ctr"/>
        <c:lblOffset val="100"/>
        <c:noMultiLvlLbl val="0"/>
      </c:catAx>
      <c:valAx>
        <c:axId val="10466300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r>
                  <a:rPr lang="en-US"/>
                  <a:t>Log Removal Value (LRV)</a:t>
                </a:r>
              </a:p>
            </c:rich>
          </c:tx>
          <c:layout>
            <c:manualLayout>
              <c:xMode val="edge"/>
              <c:yMode val="edge"/>
              <c:x val="9.7289784572619872E-2"/>
              <c:y val="0.1648899956572361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1046631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solidFill>
            <a:sysClr val="windowText" lastClr="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ysClr val="windowText" lastClr="000000"/>
                </a:solidFill>
                <a:latin typeface="+mn-lt"/>
                <a:ea typeface="+mn-ea"/>
                <a:cs typeface="+mn-cs"/>
              </a:defRPr>
            </a:pPr>
            <a:r>
              <a:rPr lang="en-US"/>
              <a:t>Bacteria Removal</a:t>
            </a:r>
          </a:p>
        </c:rich>
      </c:tx>
      <c:overlay val="0"/>
      <c:spPr>
        <a:noFill/>
        <a:ln>
          <a:noFill/>
        </a:ln>
        <a:effectLst/>
      </c:spPr>
      <c:txPr>
        <a:bodyPr rot="0" spcFirstLastPara="1" vertOverflow="ellipsis" vert="horz" wrap="square" anchor="ctr" anchorCtr="1"/>
        <a:lstStyle/>
        <a:p>
          <a:pPr>
            <a:defRPr sz="1320" b="0"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1"/>
          <c:order val="0"/>
          <c:tx>
            <c:strRef>
              <c:f>'Figures 1-3'!$AJ$2</c:f>
              <c:strCache>
                <c:ptCount val="1"/>
                <c:pt idx="0">
                  <c:v>Bacteria LRV Minimum</c:v>
                </c:pt>
              </c:strCache>
            </c:strRef>
          </c:tx>
          <c:spPr>
            <a:ln w="25400" cap="rnd">
              <a:noFill/>
              <a:round/>
            </a:ln>
            <a:effectLst/>
          </c:spPr>
          <c:marker>
            <c:symbol val="triangle"/>
            <c:size val="7"/>
            <c:spPr>
              <a:solidFill>
                <a:srgbClr val="0070C0"/>
              </a:solidFill>
              <a:ln w="9525">
                <a:noFill/>
              </a:ln>
              <a:effectLst/>
            </c:spPr>
          </c:marker>
          <c:cat>
            <c:strRef>
              <c:f>'Figures 1-3'!$AH$3:$AH$21</c:f>
              <c:strCache>
                <c:ptCount val="19"/>
                <c:pt idx="0">
                  <c:v>Peat Filter (9)</c:v>
                </c:pt>
                <c:pt idx="1">
                  <c:v>Sand filter (18)</c:v>
                </c:pt>
                <c:pt idx="2">
                  <c:v>UV (137)</c:v>
                </c:pt>
                <c:pt idx="3">
                  <c:v>Chlorine (55)</c:v>
                </c:pt>
                <c:pt idx="4">
                  <c:v>Membrane bioreactor (37)</c:v>
                </c:pt>
                <c:pt idx="5">
                  <c:v>UV + PAA (20)</c:v>
                </c:pt>
                <c:pt idx="6">
                  <c:v>UV + H2O2 (12)</c:v>
                </c:pt>
                <c:pt idx="7">
                  <c:v>Slow sand filtration (6)</c:v>
                </c:pt>
                <c:pt idx="8">
                  <c:v>Activated sludge (17)</c:v>
                </c:pt>
                <c:pt idx="9">
                  <c:v>Peracetic acid (10)</c:v>
                </c:pt>
                <c:pt idx="10">
                  <c:v>Bio-filtration (9)</c:v>
                </c:pt>
                <c:pt idx="11">
                  <c:v>Ozone (16)</c:v>
                </c:pt>
                <c:pt idx="12">
                  <c:v>Primary sedimentation (7)</c:v>
                </c:pt>
                <c:pt idx="13">
                  <c:v>Storage (14)</c:v>
                </c:pt>
                <c:pt idx="14">
                  <c:v>Stormwater Wetland (3)</c:v>
                </c:pt>
                <c:pt idx="15">
                  <c:v>Trickling filter (5)</c:v>
                </c:pt>
                <c:pt idx="16">
                  <c:v>Cartridge filter (10)</c:v>
                </c:pt>
                <c:pt idx="17">
                  <c:v>Secondary sedimentation (3)</c:v>
                </c:pt>
                <c:pt idx="18">
                  <c:v>Rapid sand filtration (3)</c:v>
                </c:pt>
              </c:strCache>
            </c:strRef>
          </c:cat>
          <c:val>
            <c:numRef>
              <c:f>'Figures 1-3'!$AJ$3:$AJ$21</c:f>
              <c:numCache>
                <c:formatCode>General</c:formatCode>
                <c:ptCount val="19"/>
                <c:pt idx="0">
                  <c:v>4.5</c:v>
                </c:pt>
                <c:pt idx="1">
                  <c:v>0.1811145854059901</c:v>
                </c:pt>
                <c:pt idx="2">
                  <c:v>-0.30102999566398125</c:v>
                </c:pt>
                <c:pt idx="3">
                  <c:v>0.28000000000000003</c:v>
                </c:pt>
                <c:pt idx="4">
                  <c:v>4.5199999999999996</c:v>
                </c:pt>
                <c:pt idx="5">
                  <c:v>0.93</c:v>
                </c:pt>
                <c:pt idx="6">
                  <c:v>0.35</c:v>
                </c:pt>
                <c:pt idx="7">
                  <c:v>2.1</c:v>
                </c:pt>
                <c:pt idx="8">
                  <c:v>1.22</c:v>
                </c:pt>
                <c:pt idx="9">
                  <c:v>0.04</c:v>
                </c:pt>
                <c:pt idx="10">
                  <c:v>0.32</c:v>
                </c:pt>
                <c:pt idx="11">
                  <c:v>0.32283531366052998</c:v>
                </c:pt>
                <c:pt idx="12">
                  <c:v>0.34</c:v>
                </c:pt>
                <c:pt idx="13">
                  <c:v>-0.32</c:v>
                </c:pt>
                <c:pt idx="14">
                  <c:v>0.49</c:v>
                </c:pt>
                <c:pt idx="15">
                  <c:v>0.56000000000000005</c:v>
                </c:pt>
                <c:pt idx="16">
                  <c:v>-0.54</c:v>
                </c:pt>
                <c:pt idx="17">
                  <c:v>0.6</c:v>
                </c:pt>
                <c:pt idx="18">
                  <c:v>0.05</c:v>
                </c:pt>
              </c:numCache>
            </c:numRef>
          </c:val>
          <c:smooth val="0"/>
          <c:extLst>
            <c:ext xmlns:c16="http://schemas.microsoft.com/office/drawing/2014/chart" uri="{C3380CC4-5D6E-409C-BE32-E72D297353CC}">
              <c16:uniqueId val="{00000000-5535-4ADA-AF1D-09D10FBF193F}"/>
            </c:ext>
          </c:extLst>
        </c:ser>
        <c:ser>
          <c:idx val="2"/>
          <c:order val="1"/>
          <c:tx>
            <c:strRef>
              <c:f>'Figures 1-3'!$AK$2</c:f>
              <c:strCache>
                <c:ptCount val="1"/>
                <c:pt idx="0">
                  <c:v>Bacteria LRV Maximum</c:v>
                </c:pt>
              </c:strCache>
            </c:strRef>
          </c:tx>
          <c:spPr>
            <a:ln w="25400" cap="rnd">
              <a:noFill/>
              <a:round/>
            </a:ln>
            <a:effectLst/>
          </c:spPr>
          <c:marker>
            <c:symbol val="x"/>
            <c:size val="6"/>
            <c:spPr>
              <a:solidFill>
                <a:srgbClr val="FF0000"/>
              </a:solidFill>
              <a:ln w="9525">
                <a:noFill/>
              </a:ln>
              <a:effectLst/>
            </c:spPr>
          </c:marker>
          <c:cat>
            <c:strRef>
              <c:f>'Figures 1-3'!$AH$3:$AH$21</c:f>
              <c:strCache>
                <c:ptCount val="19"/>
                <c:pt idx="0">
                  <c:v>Peat Filter (9)</c:v>
                </c:pt>
                <c:pt idx="1">
                  <c:v>Sand filter (18)</c:v>
                </c:pt>
                <c:pt idx="2">
                  <c:v>UV (137)</c:v>
                </c:pt>
                <c:pt idx="3">
                  <c:v>Chlorine (55)</c:v>
                </c:pt>
                <c:pt idx="4">
                  <c:v>Membrane bioreactor (37)</c:v>
                </c:pt>
                <c:pt idx="5">
                  <c:v>UV + PAA (20)</c:v>
                </c:pt>
                <c:pt idx="6">
                  <c:v>UV + H2O2 (12)</c:v>
                </c:pt>
                <c:pt idx="7">
                  <c:v>Slow sand filtration (6)</c:v>
                </c:pt>
                <c:pt idx="8">
                  <c:v>Activated sludge (17)</c:v>
                </c:pt>
                <c:pt idx="9">
                  <c:v>Peracetic acid (10)</c:v>
                </c:pt>
                <c:pt idx="10">
                  <c:v>Bio-filtration (9)</c:v>
                </c:pt>
                <c:pt idx="11">
                  <c:v>Ozone (16)</c:v>
                </c:pt>
                <c:pt idx="12">
                  <c:v>Primary sedimentation (7)</c:v>
                </c:pt>
                <c:pt idx="13">
                  <c:v>Storage (14)</c:v>
                </c:pt>
                <c:pt idx="14">
                  <c:v>Stormwater Wetland (3)</c:v>
                </c:pt>
                <c:pt idx="15">
                  <c:v>Trickling filter (5)</c:v>
                </c:pt>
                <c:pt idx="16">
                  <c:v>Cartridge filter (10)</c:v>
                </c:pt>
                <c:pt idx="17">
                  <c:v>Secondary sedimentation (3)</c:v>
                </c:pt>
                <c:pt idx="18">
                  <c:v>Rapid sand filtration (3)</c:v>
                </c:pt>
              </c:strCache>
            </c:strRef>
          </c:cat>
          <c:val>
            <c:numRef>
              <c:f>'Figures 1-3'!$AK$3:$AK$21</c:f>
              <c:numCache>
                <c:formatCode>General</c:formatCode>
                <c:ptCount val="19"/>
                <c:pt idx="0">
                  <c:v>8.9</c:v>
                </c:pt>
                <c:pt idx="1">
                  <c:v>8.5</c:v>
                </c:pt>
                <c:pt idx="2">
                  <c:v>8.3000000000000007</c:v>
                </c:pt>
                <c:pt idx="3">
                  <c:v>8</c:v>
                </c:pt>
                <c:pt idx="4">
                  <c:v>7.4913616938342731</c:v>
                </c:pt>
                <c:pt idx="5">
                  <c:v>6.16</c:v>
                </c:pt>
                <c:pt idx="6">
                  <c:v>5</c:v>
                </c:pt>
                <c:pt idx="7">
                  <c:v>4.7</c:v>
                </c:pt>
                <c:pt idx="8">
                  <c:v>3.23</c:v>
                </c:pt>
                <c:pt idx="9">
                  <c:v>3.12</c:v>
                </c:pt>
                <c:pt idx="10">
                  <c:v>2.93</c:v>
                </c:pt>
                <c:pt idx="11">
                  <c:v>2.9</c:v>
                </c:pt>
                <c:pt idx="12">
                  <c:v>2.16</c:v>
                </c:pt>
                <c:pt idx="13">
                  <c:v>2</c:v>
                </c:pt>
                <c:pt idx="14">
                  <c:v>1.3</c:v>
                </c:pt>
                <c:pt idx="15">
                  <c:v>1.23</c:v>
                </c:pt>
                <c:pt idx="16">
                  <c:v>1.22</c:v>
                </c:pt>
                <c:pt idx="17">
                  <c:v>0.8</c:v>
                </c:pt>
                <c:pt idx="18">
                  <c:v>0.72</c:v>
                </c:pt>
              </c:numCache>
            </c:numRef>
          </c:val>
          <c:smooth val="0"/>
          <c:extLst>
            <c:ext xmlns:c16="http://schemas.microsoft.com/office/drawing/2014/chart" uri="{C3380CC4-5D6E-409C-BE32-E72D297353CC}">
              <c16:uniqueId val="{00000001-5535-4ADA-AF1D-09D10FBF193F}"/>
            </c:ext>
          </c:extLst>
        </c:ser>
        <c:dLbls>
          <c:showLegendKey val="0"/>
          <c:showVal val="0"/>
          <c:showCatName val="0"/>
          <c:showSerName val="0"/>
          <c:showPercent val="0"/>
          <c:showBubbleSize val="0"/>
        </c:dLbls>
        <c:hiLowLines>
          <c:spPr>
            <a:ln w="22225" cap="flat" cmpd="sng" algn="ctr">
              <a:solidFill>
                <a:schemeClr val="tx1"/>
              </a:solidFill>
              <a:prstDash val="sysDash"/>
              <a:round/>
            </a:ln>
            <a:effectLst/>
          </c:spPr>
        </c:hiLowLines>
        <c:marker val="1"/>
        <c:smooth val="0"/>
        <c:axId val="1046631056"/>
        <c:axId val="1046630096"/>
      </c:lineChart>
      <c:catAx>
        <c:axId val="104663105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1046630096"/>
        <c:crosses val="autoZero"/>
        <c:auto val="1"/>
        <c:lblAlgn val="ctr"/>
        <c:lblOffset val="100"/>
        <c:noMultiLvlLbl val="0"/>
      </c:catAx>
      <c:valAx>
        <c:axId val="10466300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r>
                  <a:rPr lang="en-US"/>
                  <a:t>Log Removal Value (LRV)</a:t>
                </a:r>
              </a:p>
            </c:rich>
          </c:tx>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1046631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solidFill>
            <a:sysClr val="windowText" lastClr="000000"/>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ysClr val="windowText" lastClr="000000"/>
                </a:solidFill>
                <a:latin typeface="+mn-lt"/>
                <a:ea typeface="+mn-ea"/>
                <a:cs typeface="+mn-cs"/>
              </a:defRPr>
            </a:pPr>
            <a:r>
              <a:rPr lang="en-US"/>
              <a:t>Protozoa Removal</a:t>
            </a:r>
          </a:p>
        </c:rich>
      </c:tx>
      <c:overlay val="0"/>
      <c:spPr>
        <a:noFill/>
        <a:ln>
          <a:noFill/>
        </a:ln>
        <a:effectLst/>
      </c:spPr>
      <c:txPr>
        <a:bodyPr rot="0" spcFirstLastPara="1" vertOverflow="ellipsis" vert="horz" wrap="square" anchor="ctr" anchorCtr="1"/>
        <a:lstStyle/>
        <a:p>
          <a:pPr>
            <a:defRPr sz="1320" b="0"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1"/>
          <c:order val="0"/>
          <c:tx>
            <c:strRef>
              <c:f>'Figures 1-3'!$AQ$2</c:f>
              <c:strCache>
                <c:ptCount val="1"/>
                <c:pt idx="0">
                  <c:v>Protozoa LRV Minimum</c:v>
                </c:pt>
              </c:strCache>
            </c:strRef>
          </c:tx>
          <c:spPr>
            <a:ln w="25400" cap="rnd">
              <a:noFill/>
              <a:round/>
            </a:ln>
            <a:effectLst/>
          </c:spPr>
          <c:marker>
            <c:symbol val="triangle"/>
            <c:size val="7"/>
            <c:spPr>
              <a:solidFill>
                <a:srgbClr val="0070C0"/>
              </a:solidFill>
              <a:ln w="9525">
                <a:noFill/>
              </a:ln>
              <a:effectLst/>
            </c:spPr>
          </c:marker>
          <c:cat>
            <c:strRef>
              <c:f>'Figures 1-3'!$AO$3:$AO$9</c:f>
              <c:strCache>
                <c:ptCount val="7"/>
                <c:pt idx="0">
                  <c:v>Membrane bioreactor (3)</c:v>
                </c:pt>
                <c:pt idx="1">
                  <c:v>Activated sludge (12)</c:v>
                </c:pt>
                <c:pt idx="2">
                  <c:v>UV (28)</c:v>
                </c:pt>
                <c:pt idx="3">
                  <c:v>UV + H2O2 (3)</c:v>
                </c:pt>
                <c:pt idx="4">
                  <c:v>Ozone (14)</c:v>
                </c:pt>
                <c:pt idx="5">
                  <c:v>Stormwater Wetland (3)</c:v>
                </c:pt>
                <c:pt idx="6">
                  <c:v>Storage (8)</c:v>
                </c:pt>
              </c:strCache>
            </c:strRef>
          </c:cat>
          <c:val>
            <c:numRef>
              <c:f>'Figures 1-3'!$AQ$3:$AQ$9</c:f>
              <c:numCache>
                <c:formatCode>General</c:formatCode>
                <c:ptCount val="7"/>
                <c:pt idx="0">
                  <c:v>1.44</c:v>
                </c:pt>
                <c:pt idx="1">
                  <c:v>1.0900000000000001</c:v>
                </c:pt>
                <c:pt idx="2">
                  <c:v>0.06</c:v>
                </c:pt>
                <c:pt idx="3">
                  <c:v>0.67</c:v>
                </c:pt>
                <c:pt idx="4">
                  <c:v>2</c:v>
                </c:pt>
                <c:pt idx="5">
                  <c:v>0.46</c:v>
                </c:pt>
                <c:pt idx="6">
                  <c:v>0.04</c:v>
                </c:pt>
              </c:numCache>
            </c:numRef>
          </c:val>
          <c:smooth val="0"/>
          <c:extLst>
            <c:ext xmlns:c16="http://schemas.microsoft.com/office/drawing/2014/chart" uri="{C3380CC4-5D6E-409C-BE32-E72D297353CC}">
              <c16:uniqueId val="{00000000-C10E-469C-B7ED-FFE8DDF571B6}"/>
            </c:ext>
          </c:extLst>
        </c:ser>
        <c:ser>
          <c:idx val="2"/>
          <c:order val="1"/>
          <c:tx>
            <c:strRef>
              <c:f>'Figures 1-3'!$AR$2</c:f>
              <c:strCache>
                <c:ptCount val="1"/>
                <c:pt idx="0">
                  <c:v>Protozoa LRV Maximum</c:v>
                </c:pt>
              </c:strCache>
            </c:strRef>
          </c:tx>
          <c:spPr>
            <a:ln w="25400" cap="rnd">
              <a:noFill/>
              <a:round/>
            </a:ln>
            <a:effectLst/>
          </c:spPr>
          <c:marker>
            <c:symbol val="star"/>
            <c:size val="5"/>
            <c:spPr>
              <a:solidFill>
                <a:srgbClr val="FF0000"/>
              </a:solidFill>
              <a:ln w="9525">
                <a:noFill/>
              </a:ln>
              <a:effectLst/>
            </c:spPr>
          </c:marker>
          <c:cat>
            <c:strRef>
              <c:f>'Figures 1-3'!$AO$3:$AO$9</c:f>
              <c:strCache>
                <c:ptCount val="7"/>
                <c:pt idx="0">
                  <c:v>Membrane bioreactor (3)</c:v>
                </c:pt>
                <c:pt idx="1">
                  <c:v>Activated sludge (12)</c:v>
                </c:pt>
                <c:pt idx="2">
                  <c:v>UV (28)</c:v>
                </c:pt>
                <c:pt idx="3">
                  <c:v>UV + H2O2 (3)</c:v>
                </c:pt>
                <c:pt idx="4">
                  <c:v>Ozone (14)</c:v>
                </c:pt>
                <c:pt idx="5">
                  <c:v>Stormwater Wetland (3)</c:v>
                </c:pt>
                <c:pt idx="6">
                  <c:v>Storage (8)</c:v>
                </c:pt>
              </c:strCache>
            </c:strRef>
          </c:cat>
          <c:val>
            <c:numRef>
              <c:f>'Figures 1-3'!$AR$3:$AR$9</c:f>
              <c:numCache>
                <c:formatCode>General</c:formatCode>
                <c:ptCount val="7"/>
                <c:pt idx="0">
                  <c:v>3.87</c:v>
                </c:pt>
                <c:pt idx="1">
                  <c:v>3.52</c:v>
                </c:pt>
                <c:pt idx="2">
                  <c:v>3.43</c:v>
                </c:pt>
                <c:pt idx="3">
                  <c:v>2.17</c:v>
                </c:pt>
                <c:pt idx="4">
                  <c:v>2</c:v>
                </c:pt>
                <c:pt idx="5">
                  <c:v>1.6</c:v>
                </c:pt>
                <c:pt idx="6">
                  <c:v>1.19</c:v>
                </c:pt>
              </c:numCache>
            </c:numRef>
          </c:val>
          <c:smooth val="0"/>
          <c:extLst>
            <c:ext xmlns:c16="http://schemas.microsoft.com/office/drawing/2014/chart" uri="{C3380CC4-5D6E-409C-BE32-E72D297353CC}">
              <c16:uniqueId val="{00000001-C10E-469C-B7ED-FFE8DDF571B6}"/>
            </c:ext>
          </c:extLst>
        </c:ser>
        <c:dLbls>
          <c:showLegendKey val="0"/>
          <c:showVal val="0"/>
          <c:showCatName val="0"/>
          <c:showSerName val="0"/>
          <c:showPercent val="0"/>
          <c:showBubbleSize val="0"/>
        </c:dLbls>
        <c:hiLowLines>
          <c:spPr>
            <a:ln w="22225" cap="flat" cmpd="sng" algn="ctr">
              <a:solidFill>
                <a:schemeClr val="tx1"/>
              </a:solidFill>
              <a:prstDash val="sysDash"/>
              <a:round/>
            </a:ln>
            <a:effectLst/>
          </c:spPr>
        </c:hiLowLines>
        <c:marker val="1"/>
        <c:smooth val="0"/>
        <c:axId val="1046631056"/>
        <c:axId val="1046630096"/>
      </c:lineChart>
      <c:catAx>
        <c:axId val="104663105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1046630096"/>
        <c:crosses val="autoZero"/>
        <c:auto val="1"/>
        <c:lblAlgn val="ctr"/>
        <c:lblOffset val="100"/>
        <c:noMultiLvlLbl val="0"/>
      </c:catAx>
      <c:valAx>
        <c:axId val="10466300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r>
                  <a:rPr lang="en-US"/>
                  <a:t>Log Removal Value (LRV)</a:t>
                </a:r>
              </a:p>
            </c:rich>
          </c:tx>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1046631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solidFill>
            <a:sysClr val="windowText" lastClr="000000"/>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ysClr val="windowText" lastClr="000000"/>
                </a:solidFill>
                <a:latin typeface="+mn-lt"/>
                <a:ea typeface="+mn-ea"/>
                <a:cs typeface="+mn-cs"/>
              </a:defRPr>
            </a:pPr>
            <a:r>
              <a:rPr lang="en-US"/>
              <a:t>Virus </a:t>
            </a:r>
          </a:p>
        </c:rich>
      </c:tx>
      <c:layout>
        <c:manualLayout>
          <c:xMode val="edge"/>
          <c:yMode val="edge"/>
          <c:x val="0.76156886639170096"/>
          <c:y val="7.7564523184601927E-2"/>
        </c:manualLayout>
      </c:layout>
      <c:overlay val="0"/>
      <c:spPr>
        <a:noFill/>
        <a:ln>
          <a:noFill/>
        </a:ln>
        <a:effectLst/>
      </c:spPr>
      <c:txPr>
        <a:bodyPr rot="0" spcFirstLastPara="1" vertOverflow="ellipsis" vert="horz" wrap="square" anchor="ctr" anchorCtr="1"/>
        <a:lstStyle/>
        <a:p>
          <a:pPr>
            <a:defRPr sz="2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20415416822897134"/>
          <c:y val="9.6410023127187994E-2"/>
          <c:w val="0.76988590711875315"/>
          <c:h val="0.75009444082381227"/>
        </c:manualLayout>
      </c:layout>
      <c:lineChart>
        <c:grouping val="standard"/>
        <c:varyColors val="0"/>
        <c:ser>
          <c:idx val="1"/>
          <c:order val="0"/>
          <c:tx>
            <c:strRef>
              <c:f>'Figures 1-3'!$AC$2</c:f>
              <c:strCache>
                <c:ptCount val="1"/>
                <c:pt idx="0">
                  <c:v>Virus LRV Minimum</c:v>
                </c:pt>
              </c:strCache>
            </c:strRef>
          </c:tx>
          <c:spPr>
            <a:ln w="28575" cap="rnd">
              <a:noFill/>
              <a:round/>
            </a:ln>
            <a:effectLst/>
          </c:spPr>
          <c:marker>
            <c:symbol val="triangle"/>
            <c:size val="8"/>
            <c:spPr>
              <a:solidFill>
                <a:srgbClr val="0070C0"/>
              </a:solidFill>
              <a:ln w="9525">
                <a:noFill/>
              </a:ln>
              <a:effectLst/>
            </c:spPr>
          </c:marker>
          <c:cat>
            <c:strRef>
              <c:f>'Figures 1-3'!$AA$3:$AA$23</c:f>
              <c:strCache>
                <c:ptCount val="21"/>
                <c:pt idx="0">
                  <c:v>Membrane bioreactor (90)</c:v>
                </c:pt>
                <c:pt idx="1">
                  <c:v>Peat Filter (4)</c:v>
                </c:pt>
                <c:pt idx="2">
                  <c:v>Chlorine (83)</c:v>
                </c:pt>
                <c:pt idx="3">
                  <c:v>UV (136)</c:v>
                </c:pt>
                <c:pt idx="4">
                  <c:v>Microfiltration (16)</c:v>
                </c:pt>
                <c:pt idx="5">
                  <c:v>Ozone (10)</c:v>
                </c:pt>
                <c:pt idx="6">
                  <c:v>Ultrafiltration (8)</c:v>
                </c:pt>
                <c:pt idx="7">
                  <c:v>Chloramination (42)</c:v>
                </c:pt>
                <c:pt idx="8">
                  <c:v>UV + H2O2 (23)</c:v>
                </c:pt>
                <c:pt idx="9">
                  <c:v>Rapid sand filtration (6)</c:v>
                </c:pt>
                <c:pt idx="10">
                  <c:v>Activated sludge (28)</c:v>
                </c:pt>
                <c:pt idx="11">
                  <c:v>Primary sedimentation (5)</c:v>
                </c:pt>
                <c:pt idx="12">
                  <c:v>Bio-filtration (4)</c:v>
                </c:pt>
                <c:pt idx="13">
                  <c:v>Sand filter (5)</c:v>
                </c:pt>
                <c:pt idx="14">
                  <c:v>UV + PAA (6)</c:v>
                </c:pt>
                <c:pt idx="15">
                  <c:v>Upflow anaerobic sludge blanket (4)</c:v>
                </c:pt>
                <c:pt idx="16">
                  <c:v>Peracetic acid (3)</c:v>
                </c:pt>
                <c:pt idx="17">
                  <c:v>Storage (8)</c:v>
                </c:pt>
                <c:pt idx="18">
                  <c:v>Trickling filter (4)</c:v>
                </c:pt>
                <c:pt idx="19">
                  <c:v>Stormwater Wetland (3)</c:v>
                </c:pt>
                <c:pt idx="20">
                  <c:v>Secondary sedimentation (3)</c:v>
                </c:pt>
              </c:strCache>
            </c:strRef>
          </c:cat>
          <c:val>
            <c:numRef>
              <c:f>'Figures 1-3'!$AC$3:$AC$23</c:f>
              <c:numCache>
                <c:formatCode>General</c:formatCode>
                <c:ptCount val="21"/>
                <c:pt idx="0">
                  <c:v>1.1399999999999999</c:v>
                </c:pt>
                <c:pt idx="1">
                  <c:v>2.8</c:v>
                </c:pt>
                <c:pt idx="2">
                  <c:v>-0.4242689473943867</c:v>
                </c:pt>
                <c:pt idx="3">
                  <c:v>-0.36991128507179405</c:v>
                </c:pt>
                <c:pt idx="4">
                  <c:v>0.3</c:v>
                </c:pt>
                <c:pt idx="5">
                  <c:v>0.2</c:v>
                </c:pt>
                <c:pt idx="6">
                  <c:v>0.82286086308682838</c:v>
                </c:pt>
                <c:pt idx="7">
                  <c:v>1</c:v>
                </c:pt>
                <c:pt idx="8">
                  <c:v>0.87</c:v>
                </c:pt>
                <c:pt idx="9">
                  <c:v>0.81</c:v>
                </c:pt>
                <c:pt idx="10">
                  <c:v>0.75</c:v>
                </c:pt>
                <c:pt idx="11">
                  <c:v>0.19</c:v>
                </c:pt>
                <c:pt idx="12">
                  <c:v>1.21</c:v>
                </c:pt>
                <c:pt idx="13">
                  <c:v>1.42</c:v>
                </c:pt>
                <c:pt idx="14">
                  <c:v>1.21</c:v>
                </c:pt>
                <c:pt idx="15">
                  <c:v>0</c:v>
                </c:pt>
                <c:pt idx="16">
                  <c:v>0.21</c:v>
                </c:pt>
                <c:pt idx="17">
                  <c:v>0.09</c:v>
                </c:pt>
                <c:pt idx="18">
                  <c:v>0.32</c:v>
                </c:pt>
                <c:pt idx="19">
                  <c:v>-0.18</c:v>
                </c:pt>
                <c:pt idx="20">
                  <c:v>0.17</c:v>
                </c:pt>
              </c:numCache>
            </c:numRef>
          </c:val>
          <c:smooth val="0"/>
          <c:extLst>
            <c:ext xmlns:c16="http://schemas.microsoft.com/office/drawing/2014/chart" uri="{C3380CC4-5D6E-409C-BE32-E72D297353CC}">
              <c16:uniqueId val="{00000000-396C-40D8-A410-69CB19D708E4}"/>
            </c:ext>
          </c:extLst>
        </c:ser>
        <c:ser>
          <c:idx val="2"/>
          <c:order val="1"/>
          <c:tx>
            <c:strRef>
              <c:f>'Figures 1-3'!$AD$2</c:f>
              <c:strCache>
                <c:ptCount val="1"/>
                <c:pt idx="0">
                  <c:v>Virus LRV Maximum</c:v>
                </c:pt>
              </c:strCache>
            </c:strRef>
          </c:tx>
          <c:spPr>
            <a:ln w="28575" cap="rnd">
              <a:noFill/>
              <a:round/>
            </a:ln>
            <a:effectLst/>
          </c:spPr>
          <c:marker>
            <c:symbol val="x"/>
            <c:size val="5"/>
            <c:spPr>
              <a:solidFill>
                <a:srgbClr val="FF0000"/>
              </a:solidFill>
              <a:ln w="9525">
                <a:noFill/>
              </a:ln>
              <a:effectLst/>
            </c:spPr>
          </c:marker>
          <c:cat>
            <c:strRef>
              <c:f>'Figures 1-3'!$AA$3:$AA$23</c:f>
              <c:strCache>
                <c:ptCount val="21"/>
                <c:pt idx="0">
                  <c:v>Membrane bioreactor (90)</c:v>
                </c:pt>
                <c:pt idx="1">
                  <c:v>Peat Filter (4)</c:v>
                </c:pt>
                <c:pt idx="2">
                  <c:v>Chlorine (83)</c:v>
                </c:pt>
                <c:pt idx="3">
                  <c:v>UV (136)</c:v>
                </c:pt>
                <c:pt idx="4">
                  <c:v>Microfiltration (16)</c:v>
                </c:pt>
                <c:pt idx="5">
                  <c:v>Ozone (10)</c:v>
                </c:pt>
                <c:pt idx="6">
                  <c:v>Ultrafiltration (8)</c:v>
                </c:pt>
                <c:pt idx="7">
                  <c:v>Chloramination (42)</c:v>
                </c:pt>
                <c:pt idx="8">
                  <c:v>UV + H2O2 (23)</c:v>
                </c:pt>
                <c:pt idx="9">
                  <c:v>Rapid sand filtration (6)</c:v>
                </c:pt>
                <c:pt idx="10">
                  <c:v>Activated sludge (28)</c:v>
                </c:pt>
                <c:pt idx="11">
                  <c:v>Primary sedimentation (5)</c:v>
                </c:pt>
                <c:pt idx="12">
                  <c:v>Bio-filtration (4)</c:v>
                </c:pt>
                <c:pt idx="13">
                  <c:v>Sand filter (5)</c:v>
                </c:pt>
                <c:pt idx="14">
                  <c:v>UV + PAA (6)</c:v>
                </c:pt>
                <c:pt idx="15">
                  <c:v>Upflow anaerobic sludge blanket (4)</c:v>
                </c:pt>
                <c:pt idx="16">
                  <c:v>Peracetic acid (3)</c:v>
                </c:pt>
                <c:pt idx="17">
                  <c:v>Storage (8)</c:v>
                </c:pt>
                <c:pt idx="18">
                  <c:v>Trickling filter (4)</c:v>
                </c:pt>
                <c:pt idx="19">
                  <c:v>Stormwater Wetland (3)</c:v>
                </c:pt>
                <c:pt idx="20">
                  <c:v>Secondary sedimentation (3)</c:v>
                </c:pt>
              </c:strCache>
            </c:strRef>
          </c:cat>
          <c:val>
            <c:numRef>
              <c:f>'Figures 1-3'!$AD$3:$AD$23</c:f>
              <c:numCache>
                <c:formatCode>General</c:formatCode>
                <c:ptCount val="21"/>
                <c:pt idx="0">
                  <c:v>8.1</c:v>
                </c:pt>
                <c:pt idx="1">
                  <c:v>7</c:v>
                </c:pt>
                <c:pt idx="2">
                  <c:v>6.5</c:v>
                </c:pt>
                <c:pt idx="3">
                  <c:v>5.8</c:v>
                </c:pt>
                <c:pt idx="4">
                  <c:v>5.8</c:v>
                </c:pt>
                <c:pt idx="5">
                  <c:v>5.6</c:v>
                </c:pt>
                <c:pt idx="6">
                  <c:v>4.8499999999999996</c:v>
                </c:pt>
                <c:pt idx="7">
                  <c:v>4</c:v>
                </c:pt>
                <c:pt idx="8">
                  <c:v>4</c:v>
                </c:pt>
                <c:pt idx="9">
                  <c:v>3.81</c:v>
                </c:pt>
                <c:pt idx="10">
                  <c:v>3.47</c:v>
                </c:pt>
                <c:pt idx="11">
                  <c:v>3.47</c:v>
                </c:pt>
                <c:pt idx="12">
                  <c:v>2.89</c:v>
                </c:pt>
                <c:pt idx="13">
                  <c:v>2.7</c:v>
                </c:pt>
                <c:pt idx="14">
                  <c:v>2.58</c:v>
                </c:pt>
                <c:pt idx="15">
                  <c:v>2.38</c:v>
                </c:pt>
                <c:pt idx="16">
                  <c:v>1.28</c:v>
                </c:pt>
                <c:pt idx="17">
                  <c:v>1.1000000000000001</c:v>
                </c:pt>
                <c:pt idx="18">
                  <c:v>0.73</c:v>
                </c:pt>
                <c:pt idx="19">
                  <c:v>0.63</c:v>
                </c:pt>
                <c:pt idx="20">
                  <c:v>0.24</c:v>
                </c:pt>
              </c:numCache>
            </c:numRef>
          </c:val>
          <c:smooth val="0"/>
          <c:extLst>
            <c:ext xmlns:c16="http://schemas.microsoft.com/office/drawing/2014/chart" uri="{C3380CC4-5D6E-409C-BE32-E72D297353CC}">
              <c16:uniqueId val="{00000001-396C-40D8-A410-69CB19D708E4}"/>
            </c:ext>
          </c:extLst>
        </c:ser>
        <c:dLbls>
          <c:showLegendKey val="0"/>
          <c:showVal val="0"/>
          <c:showCatName val="0"/>
          <c:showSerName val="0"/>
          <c:showPercent val="0"/>
          <c:showBubbleSize val="0"/>
        </c:dLbls>
        <c:hiLowLines>
          <c:spPr>
            <a:ln w="22225" cap="flat" cmpd="sng" algn="ctr">
              <a:solidFill>
                <a:schemeClr val="tx1"/>
              </a:solidFill>
              <a:prstDash val="sysDash"/>
              <a:round/>
            </a:ln>
            <a:effectLst/>
          </c:spPr>
        </c:hiLowLines>
        <c:marker val="1"/>
        <c:smooth val="0"/>
        <c:axId val="1046631056"/>
        <c:axId val="1046630096"/>
      </c:lineChart>
      <c:catAx>
        <c:axId val="1046631056"/>
        <c:scaling>
          <c:orientation val="minMax"/>
        </c:scaling>
        <c:delete val="1"/>
        <c:axPos val="b"/>
        <c:title>
          <c:tx>
            <c:rich>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r>
                  <a:rPr lang="en-US"/>
                  <a:t>Unit Process</a:t>
                </a:r>
              </a:p>
            </c:rich>
          </c:tx>
          <c:layout>
            <c:manualLayout>
              <c:xMode val="edge"/>
              <c:yMode val="edge"/>
              <c:x val="0.42979979752300157"/>
              <c:y val="0.84650446395100021"/>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low"/>
        <c:crossAx val="1046630096"/>
        <c:crosses val="autoZero"/>
        <c:auto val="1"/>
        <c:lblAlgn val="ctr"/>
        <c:lblOffset val="100"/>
        <c:noMultiLvlLbl val="0"/>
      </c:catAx>
      <c:valAx>
        <c:axId val="1046630096"/>
        <c:scaling>
          <c:orientation val="minMax"/>
          <c:max val="10"/>
          <c:min val="-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r>
                  <a:rPr lang="en-US"/>
                  <a:t>LRV</a:t>
                </a:r>
              </a:p>
            </c:rich>
          </c:tx>
          <c:layout>
            <c:manualLayout>
              <c:xMode val="edge"/>
              <c:yMode val="edge"/>
              <c:x val="1.9270993609040998E-2"/>
              <c:y val="0.45899213617934248"/>
            </c:manualLayout>
          </c:layout>
          <c:overlay val="0"/>
          <c:spPr>
            <a:noFill/>
            <a:ln>
              <a:noFill/>
            </a:ln>
            <a:effectLst/>
          </c:spPr>
          <c:txPr>
            <a:bodyPr rot="-540000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crossAx val="1046631056"/>
        <c:crosses val="autoZero"/>
        <c:crossBetween val="between"/>
        <c:majorUnit val="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2000">
          <a:solidFill>
            <a:sysClr val="windowText" lastClr="000000"/>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ysClr val="windowText" lastClr="000000"/>
                </a:solidFill>
                <a:latin typeface="+mn-lt"/>
                <a:ea typeface="+mn-ea"/>
                <a:cs typeface="+mn-cs"/>
              </a:defRPr>
            </a:pPr>
            <a:r>
              <a:rPr lang="en-US"/>
              <a:t>Bacteria</a:t>
            </a:r>
          </a:p>
        </c:rich>
      </c:tx>
      <c:layout>
        <c:manualLayout>
          <c:xMode val="edge"/>
          <c:yMode val="edge"/>
          <c:x val="0.68360507246376812"/>
          <c:y val="7.2009186351706042E-2"/>
        </c:manualLayout>
      </c:layout>
      <c:overlay val="0"/>
      <c:spPr>
        <a:noFill/>
        <a:ln>
          <a:noFill/>
        </a:ln>
        <a:effectLst/>
      </c:spPr>
    </c:title>
    <c:autoTitleDeleted val="0"/>
    <c:plotArea>
      <c:layout>
        <c:manualLayout>
          <c:layoutTarget val="inner"/>
          <c:xMode val="edge"/>
          <c:yMode val="edge"/>
          <c:x val="0.20415416822897134"/>
          <c:y val="9.6410023127187994E-2"/>
          <c:w val="0.76988590711875315"/>
          <c:h val="0.75009444082381227"/>
        </c:manualLayout>
      </c:layout>
      <c:lineChart>
        <c:grouping val="standard"/>
        <c:varyColors val="0"/>
        <c:ser>
          <c:idx val="1"/>
          <c:order val="0"/>
          <c:tx>
            <c:strRef>
              <c:f>'Figures 1-3'!$AJ$2</c:f>
              <c:strCache>
                <c:ptCount val="1"/>
                <c:pt idx="0">
                  <c:v>Bacteria LRV Minimum</c:v>
                </c:pt>
              </c:strCache>
            </c:strRef>
          </c:tx>
          <c:spPr>
            <a:ln w="28575" cap="rnd">
              <a:noFill/>
              <a:round/>
            </a:ln>
            <a:effectLst/>
          </c:spPr>
          <c:marker>
            <c:symbol val="triangle"/>
            <c:size val="8"/>
            <c:spPr>
              <a:solidFill>
                <a:srgbClr val="0070C0"/>
              </a:solidFill>
              <a:ln w="9525">
                <a:noFill/>
              </a:ln>
              <a:effectLst/>
            </c:spPr>
          </c:marker>
          <c:cat>
            <c:strRef>
              <c:f>'Figures 1-3'!$AH$3:$AH$21</c:f>
              <c:strCache>
                <c:ptCount val="19"/>
                <c:pt idx="0">
                  <c:v>Peat Filter (9)</c:v>
                </c:pt>
                <c:pt idx="1">
                  <c:v>Sand filter (18)</c:v>
                </c:pt>
                <c:pt idx="2">
                  <c:v>UV (137)</c:v>
                </c:pt>
                <c:pt idx="3">
                  <c:v>Chlorine (55)</c:v>
                </c:pt>
                <c:pt idx="4">
                  <c:v>Membrane bioreactor (37)</c:v>
                </c:pt>
                <c:pt idx="5">
                  <c:v>UV + PAA (20)</c:v>
                </c:pt>
                <c:pt idx="6">
                  <c:v>UV + H2O2 (12)</c:v>
                </c:pt>
                <c:pt idx="7">
                  <c:v>Slow sand filtration (6)</c:v>
                </c:pt>
                <c:pt idx="8">
                  <c:v>Activated sludge (17)</c:v>
                </c:pt>
                <c:pt idx="9">
                  <c:v>Peracetic acid (10)</c:v>
                </c:pt>
                <c:pt idx="10">
                  <c:v>Bio-filtration (9)</c:v>
                </c:pt>
                <c:pt idx="11">
                  <c:v>Ozone (16)</c:v>
                </c:pt>
                <c:pt idx="12">
                  <c:v>Primary sedimentation (7)</c:v>
                </c:pt>
                <c:pt idx="13">
                  <c:v>Storage (14)</c:v>
                </c:pt>
                <c:pt idx="14">
                  <c:v>Stormwater Wetland (3)</c:v>
                </c:pt>
                <c:pt idx="15">
                  <c:v>Trickling filter (5)</c:v>
                </c:pt>
                <c:pt idx="16">
                  <c:v>Cartridge filter (10)</c:v>
                </c:pt>
                <c:pt idx="17">
                  <c:v>Secondary sedimentation (3)</c:v>
                </c:pt>
                <c:pt idx="18">
                  <c:v>Rapid sand filtration (3)</c:v>
                </c:pt>
              </c:strCache>
            </c:strRef>
          </c:cat>
          <c:val>
            <c:numRef>
              <c:f>'Figures 1-3'!$AJ$3:$AJ$21</c:f>
              <c:numCache>
                <c:formatCode>General</c:formatCode>
                <c:ptCount val="19"/>
                <c:pt idx="0">
                  <c:v>4.5</c:v>
                </c:pt>
                <c:pt idx="1">
                  <c:v>0.1811145854059901</c:v>
                </c:pt>
                <c:pt idx="2">
                  <c:v>-0.30102999566398125</c:v>
                </c:pt>
                <c:pt idx="3">
                  <c:v>0.28000000000000003</c:v>
                </c:pt>
                <c:pt idx="4">
                  <c:v>4.5199999999999996</c:v>
                </c:pt>
                <c:pt idx="5">
                  <c:v>0.93</c:v>
                </c:pt>
                <c:pt idx="6">
                  <c:v>0.35</c:v>
                </c:pt>
                <c:pt idx="7">
                  <c:v>2.1</c:v>
                </c:pt>
                <c:pt idx="8">
                  <c:v>1.22</c:v>
                </c:pt>
                <c:pt idx="9">
                  <c:v>0.04</c:v>
                </c:pt>
                <c:pt idx="10">
                  <c:v>0.32</c:v>
                </c:pt>
                <c:pt idx="11">
                  <c:v>0.32283531366052998</c:v>
                </c:pt>
                <c:pt idx="12">
                  <c:v>0.34</c:v>
                </c:pt>
                <c:pt idx="13">
                  <c:v>-0.32</c:v>
                </c:pt>
                <c:pt idx="14">
                  <c:v>0.49</c:v>
                </c:pt>
                <c:pt idx="15">
                  <c:v>0.56000000000000005</c:v>
                </c:pt>
                <c:pt idx="16">
                  <c:v>-0.54</c:v>
                </c:pt>
                <c:pt idx="17">
                  <c:v>0.6</c:v>
                </c:pt>
                <c:pt idx="18">
                  <c:v>0.05</c:v>
                </c:pt>
              </c:numCache>
            </c:numRef>
          </c:val>
          <c:smooth val="0"/>
          <c:extLst>
            <c:ext xmlns:c16="http://schemas.microsoft.com/office/drawing/2014/chart" uri="{C3380CC4-5D6E-409C-BE32-E72D297353CC}">
              <c16:uniqueId val="{00000005-439D-4666-8625-82100D360DAC}"/>
            </c:ext>
          </c:extLst>
        </c:ser>
        <c:ser>
          <c:idx val="2"/>
          <c:order val="1"/>
          <c:tx>
            <c:strRef>
              <c:f>'Figures 1-3'!$AK$2</c:f>
              <c:strCache>
                <c:ptCount val="1"/>
                <c:pt idx="0">
                  <c:v>Bacteria LRV Maximum</c:v>
                </c:pt>
              </c:strCache>
            </c:strRef>
          </c:tx>
          <c:spPr>
            <a:ln w="28575" cap="rnd">
              <a:noFill/>
              <a:round/>
            </a:ln>
            <a:effectLst/>
          </c:spPr>
          <c:marker>
            <c:symbol val="x"/>
            <c:size val="5"/>
            <c:spPr>
              <a:solidFill>
                <a:srgbClr val="FF0000"/>
              </a:solidFill>
              <a:ln w="9525">
                <a:noFill/>
              </a:ln>
              <a:effectLst/>
            </c:spPr>
          </c:marker>
          <c:cat>
            <c:strRef>
              <c:f>'Figures 1-3'!$AH$3:$AH$21</c:f>
              <c:strCache>
                <c:ptCount val="19"/>
                <c:pt idx="0">
                  <c:v>Peat Filter (9)</c:v>
                </c:pt>
                <c:pt idx="1">
                  <c:v>Sand filter (18)</c:v>
                </c:pt>
                <c:pt idx="2">
                  <c:v>UV (137)</c:v>
                </c:pt>
                <c:pt idx="3">
                  <c:v>Chlorine (55)</c:v>
                </c:pt>
                <c:pt idx="4">
                  <c:v>Membrane bioreactor (37)</c:v>
                </c:pt>
                <c:pt idx="5">
                  <c:v>UV + PAA (20)</c:v>
                </c:pt>
                <c:pt idx="6">
                  <c:v>UV + H2O2 (12)</c:v>
                </c:pt>
                <c:pt idx="7">
                  <c:v>Slow sand filtration (6)</c:v>
                </c:pt>
                <c:pt idx="8">
                  <c:v>Activated sludge (17)</c:v>
                </c:pt>
                <c:pt idx="9">
                  <c:v>Peracetic acid (10)</c:v>
                </c:pt>
                <c:pt idx="10">
                  <c:v>Bio-filtration (9)</c:v>
                </c:pt>
                <c:pt idx="11">
                  <c:v>Ozone (16)</c:v>
                </c:pt>
                <c:pt idx="12">
                  <c:v>Primary sedimentation (7)</c:v>
                </c:pt>
                <c:pt idx="13">
                  <c:v>Storage (14)</c:v>
                </c:pt>
                <c:pt idx="14">
                  <c:v>Stormwater Wetland (3)</c:v>
                </c:pt>
                <c:pt idx="15">
                  <c:v>Trickling filter (5)</c:v>
                </c:pt>
                <c:pt idx="16">
                  <c:v>Cartridge filter (10)</c:v>
                </c:pt>
                <c:pt idx="17">
                  <c:v>Secondary sedimentation (3)</c:v>
                </c:pt>
                <c:pt idx="18">
                  <c:v>Rapid sand filtration (3)</c:v>
                </c:pt>
              </c:strCache>
            </c:strRef>
          </c:cat>
          <c:val>
            <c:numRef>
              <c:f>'Figures 1-3'!$AK$3:$AK$21</c:f>
              <c:numCache>
                <c:formatCode>General</c:formatCode>
                <c:ptCount val="19"/>
                <c:pt idx="0">
                  <c:v>8.9</c:v>
                </c:pt>
                <c:pt idx="1">
                  <c:v>8.5</c:v>
                </c:pt>
                <c:pt idx="2">
                  <c:v>8.3000000000000007</c:v>
                </c:pt>
                <c:pt idx="3">
                  <c:v>8</c:v>
                </c:pt>
                <c:pt idx="4">
                  <c:v>7.4913616938342731</c:v>
                </c:pt>
                <c:pt idx="5">
                  <c:v>6.16</c:v>
                </c:pt>
                <c:pt idx="6">
                  <c:v>5</c:v>
                </c:pt>
                <c:pt idx="7">
                  <c:v>4.7</c:v>
                </c:pt>
                <c:pt idx="8">
                  <c:v>3.23</c:v>
                </c:pt>
                <c:pt idx="9">
                  <c:v>3.12</c:v>
                </c:pt>
                <c:pt idx="10">
                  <c:v>2.93</c:v>
                </c:pt>
                <c:pt idx="11">
                  <c:v>2.9</c:v>
                </c:pt>
                <c:pt idx="12">
                  <c:v>2.16</c:v>
                </c:pt>
                <c:pt idx="13">
                  <c:v>2</c:v>
                </c:pt>
                <c:pt idx="14">
                  <c:v>1.3</c:v>
                </c:pt>
                <c:pt idx="15">
                  <c:v>1.23</c:v>
                </c:pt>
                <c:pt idx="16">
                  <c:v>1.22</c:v>
                </c:pt>
                <c:pt idx="17">
                  <c:v>0.8</c:v>
                </c:pt>
                <c:pt idx="18">
                  <c:v>0.72</c:v>
                </c:pt>
              </c:numCache>
            </c:numRef>
          </c:val>
          <c:smooth val="0"/>
          <c:extLst>
            <c:ext xmlns:c16="http://schemas.microsoft.com/office/drawing/2014/chart" uri="{C3380CC4-5D6E-409C-BE32-E72D297353CC}">
              <c16:uniqueId val="{00000007-439D-4666-8625-82100D360DAC}"/>
            </c:ext>
          </c:extLst>
        </c:ser>
        <c:dLbls>
          <c:showLegendKey val="0"/>
          <c:showVal val="0"/>
          <c:showCatName val="0"/>
          <c:showSerName val="0"/>
          <c:showPercent val="0"/>
          <c:showBubbleSize val="0"/>
        </c:dLbls>
        <c:hiLowLines>
          <c:spPr>
            <a:ln w="22225" cap="flat" cmpd="sng" algn="ctr">
              <a:solidFill>
                <a:schemeClr val="tx1"/>
              </a:solidFill>
              <a:prstDash val="sysDash"/>
              <a:round/>
            </a:ln>
            <a:effectLst/>
          </c:spPr>
        </c:hiLowLines>
        <c:marker val="1"/>
        <c:smooth val="0"/>
        <c:axId val="1046631056"/>
        <c:axId val="1046630096"/>
      </c:lineChart>
      <c:catAx>
        <c:axId val="1046631056"/>
        <c:scaling>
          <c:orientation val="minMax"/>
        </c:scaling>
        <c:delete val="1"/>
        <c:axPos val="b"/>
        <c:title>
          <c:tx>
            <c:rich>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r>
                  <a:rPr lang="en-US"/>
                  <a:t>Unit Process</a:t>
                </a:r>
              </a:p>
            </c:rich>
          </c:tx>
          <c:layout>
            <c:manualLayout>
              <c:xMode val="edge"/>
              <c:yMode val="edge"/>
              <c:x val="0.42979979752300157"/>
              <c:y val="0.84650446395100021"/>
            </c:manualLayout>
          </c:layout>
          <c:overlay val="0"/>
          <c:spPr>
            <a:noFill/>
            <a:ln>
              <a:noFill/>
            </a:ln>
            <a:effectLst/>
          </c:spPr>
        </c:title>
        <c:numFmt formatCode="General" sourceLinked="1"/>
        <c:majorTickMark val="none"/>
        <c:minorTickMark val="none"/>
        <c:tickLblPos val="low"/>
        <c:crossAx val="1046630096"/>
        <c:crosses val="autoZero"/>
        <c:auto val="1"/>
        <c:lblAlgn val="ctr"/>
        <c:lblOffset val="100"/>
        <c:noMultiLvlLbl val="0"/>
      </c:catAx>
      <c:valAx>
        <c:axId val="1046630096"/>
        <c:scaling>
          <c:orientation val="minMax"/>
          <c:max val="10"/>
          <c:min val="-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r>
                  <a:rPr lang="en-US"/>
                  <a:t>LRV</a:t>
                </a:r>
              </a:p>
            </c:rich>
          </c:tx>
          <c:layout>
            <c:manualLayout>
              <c:xMode val="edge"/>
              <c:yMode val="edge"/>
              <c:x val="1.9270993609040998E-2"/>
              <c:y val="0.45899213617934248"/>
            </c:manualLayout>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crossAx val="1046631056"/>
        <c:crosses val="autoZero"/>
        <c:crossBetween val="between"/>
        <c:majorUnit val="2"/>
      </c:valAx>
    </c:plotArea>
    <c:plotVisOnly val="1"/>
    <c:dispBlanksAs val="gap"/>
    <c:showDLblsOverMax val="0"/>
    <c:extLst/>
  </c:chart>
  <c:spPr>
    <a:ln w="9525">
      <a:solidFill>
        <a:schemeClr val="tx1"/>
      </a:solidFill>
    </a:ln>
  </c:spPr>
  <c:txPr>
    <a:bodyPr/>
    <a:lstStyle/>
    <a:p>
      <a:pPr>
        <a:defRPr sz="2000">
          <a:solidFill>
            <a:sysClr val="windowText" lastClr="000000"/>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ysClr val="windowText" lastClr="000000"/>
                </a:solidFill>
                <a:latin typeface="+mn-lt"/>
                <a:ea typeface="+mn-ea"/>
                <a:cs typeface="+mn-cs"/>
              </a:defRPr>
            </a:pPr>
            <a:r>
              <a:rPr lang="en-US"/>
              <a:t>Protozoa </a:t>
            </a:r>
          </a:p>
        </c:rich>
      </c:tx>
      <c:layout>
        <c:manualLayout>
          <c:xMode val="edge"/>
          <c:yMode val="edge"/>
          <c:x val="0.68512994978888508"/>
          <c:y val="7.2009186351706042E-2"/>
        </c:manualLayout>
      </c:layout>
      <c:overlay val="0"/>
      <c:spPr>
        <a:noFill/>
        <a:ln>
          <a:noFill/>
        </a:ln>
        <a:effectLst/>
      </c:spPr>
    </c:title>
    <c:autoTitleDeleted val="0"/>
    <c:plotArea>
      <c:layout>
        <c:manualLayout>
          <c:layoutTarget val="inner"/>
          <c:xMode val="edge"/>
          <c:yMode val="edge"/>
          <c:x val="0.20415416822897134"/>
          <c:y val="9.6410023127187994E-2"/>
          <c:w val="0.76988590711875315"/>
          <c:h val="0.75009444082381227"/>
        </c:manualLayout>
      </c:layout>
      <c:lineChart>
        <c:grouping val="standard"/>
        <c:varyColors val="0"/>
        <c:ser>
          <c:idx val="1"/>
          <c:order val="0"/>
          <c:tx>
            <c:strRef>
              <c:f>'Figures 1-3'!$AQ$2</c:f>
              <c:strCache>
                <c:ptCount val="1"/>
                <c:pt idx="0">
                  <c:v>Protozoa LRV Minimum</c:v>
                </c:pt>
              </c:strCache>
            </c:strRef>
          </c:tx>
          <c:spPr>
            <a:ln w="28575" cap="rnd">
              <a:noFill/>
              <a:round/>
            </a:ln>
            <a:effectLst/>
          </c:spPr>
          <c:marker>
            <c:symbol val="triangle"/>
            <c:size val="8"/>
            <c:spPr>
              <a:solidFill>
                <a:srgbClr val="0070C0"/>
              </a:solidFill>
              <a:ln w="9525">
                <a:noFill/>
              </a:ln>
              <a:effectLst/>
            </c:spPr>
          </c:marker>
          <c:cat>
            <c:strRef>
              <c:f>'Figures 1-3'!$AO$3:$AO$9</c:f>
              <c:strCache>
                <c:ptCount val="7"/>
                <c:pt idx="0">
                  <c:v>Membrane bioreactor (3)</c:v>
                </c:pt>
                <c:pt idx="1">
                  <c:v>Activated sludge (12)</c:v>
                </c:pt>
                <c:pt idx="2">
                  <c:v>UV (28)</c:v>
                </c:pt>
                <c:pt idx="3">
                  <c:v>UV + H2O2 (3)</c:v>
                </c:pt>
                <c:pt idx="4">
                  <c:v>Ozone (14)</c:v>
                </c:pt>
                <c:pt idx="5">
                  <c:v>Stormwater Wetland (3)</c:v>
                </c:pt>
                <c:pt idx="6">
                  <c:v>Storage (8)</c:v>
                </c:pt>
              </c:strCache>
            </c:strRef>
          </c:cat>
          <c:val>
            <c:numRef>
              <c:f>'Figures 1-3'!$AQ$3:$AQ$9</c:f>
              <c:numCache>
                <c:formatCode>General</c:formatCode>
                <c:ptCount val="7"/>
                <c:pt idx="0">
                  <c:v>1.44</c:v>
                </c:pt>
                <c:pt idx="1">
                  <c:v>1.0900000000000001</c:v>
                </c:pt>
                <c:pt idx="2">
                  <c:v>0.06</c:v>
                </c:pt>
                <c:pt idx="3">
                  <c:v>0.67</c:v>
                </c:pt>
                <c:pt idx="4">
                  <c:v>2</c:v>
                </c:pt>
                <c:pt idx="5">
                  <c:v>0.46</c:v>
                </c:pt>
                <c:pt idx="6">
                  <c:v>0.04</c:v>
                </c:pt>
              </c:numCache>
            </c:numRef>
          </c:val>
          <c:smooth val="0"/>
          <c:extLst>
            <c:ext xmlns:c16="http://schemas.microsoft.com/office/drawing/2014/chart" uri="{C3380CC4-5D6E-409C-BE32-E72D297353CC}">
              <c16:uniqueId val="{00000001-24A7-4ED7-97B5-C72B8C8DC877}"/>
            </c:ext>
          </c:extLst>
        </c:ser>
        <c:ser>
          <c:idx val="2"/>
          <c:order val="1"/>
          <c:tx>
            <c:strRef>
              <c:f>'Figures 1-3'!$AR$2</c:f>
              <c:strCache>
                <c:ptCount val="1"/>
                <c:pt idx="0">
                  <c:v>Protozoa LRV Maximum</c:v>
                </c:pt>
              </c:strCache>
            </c:strRef>
          </c:tx>
          <c:spPr>
            <a:ln w="28575" cap="rnd">
              <a:noFill/>
              <a:round/>
            </a:ln>
            <a:effectLst/>
          </c:spPr>
          <c:marker>
            <c:symbol val="x"/>
            <c:size val="5"/>
            <c:spPr>
              <a:solidFill>
                <a:srgbClr val="FF0000"/>
              </a:solidFill>
              <a:ln w="9525">
                <a:noFill/>
              </a:ln>
              <a:effectLst/>
            </c:spPr>
          </c:marker>
          <c:cat>
            <c:strRef>
              <c:f>'Figures 1-3'!$AO$3:$AO$9</c:f>
              <c:strCache>
                <c:ptCount val="7"/>
                <c:pt idx="0">
                  <c:v>Membrane bioreactor (3)</c:v>
                </c:pt>
                <c:pt idx="1">
                  <c:v>Activated sludge (12)</c:v>
                </c:pt>
                <c:pt idx="2">
                  <c:v>UV (28)</c:v>
                </c:pt>
                <c:pt idx="3">
                  <c:v>UV + H2O2 (3)</c:v>
                </c:pt>
                <c:pt idx="4">
                  <c:v>Ozone (14)</c:v>
                </c:pt>
                <c:pt idx="5">
                  <c:v>Stormwater Wetland (3)</c:v>
                </c:pt>
                <c:pt idx="6">
                  <c:v>Storage (8)</c:v>
                </c:pt>
              </c:strCache>
            </c:strRef>
          </c:cat>
          <c:val>
            <c:numRef>
              <c:f>'Figures 1-3'!$AR$3:$AR$9</c:f>
              <c:numCache>
                <c:formatCode>General</c:formatCode>
                <c:ptCount val="7"/>
                <c:pt idx="0">
                  <c:v>3.87</c:v>
                </c:pt>
                <c:pt idx="1">
                  <c:v>3.52</c:v>
                </c:pt>
                <c:pt idx="2">
                  <c:v>3.43</c:v>
                </c:pt>
                <c:pt idx="3">
                  <c:v>2.17</c:v>
                </c:pt>
                <c:pt idx="4">
                  <c:v>2</c:v>
                </c:pt>
                <c:pt idx="5">
                  <c:v>1.6</c:v>
                </c:pt>
                <c:pt idx="6">
                  <c:v>1.19</c:v>
                </c:pt>
              </c:numCache>
            </c:numRef>
          </c:val>
          <c:smooth val="0"/>
          <c:extLst>
            <c:ext xmlns:c16="http://schemas.microsoft.com/office/drawing/2014/chart" uri="{C3380CC4-5D6E-409C-BE32-E72D297353CC}">
              <c16:uniqueId val="{00000003-24A7-4ED7-97B5-C72B8C8DC877}"/>
            </c:ext>
          </c:extLst>
        </c:ser>
        <c:dLbls>
          <c:showLegendKey val="0"/>
          <c:showVal val="0"/>
          <c:showCatName val="0"/>
          <c:showSerName val="0"/>
          <c:showPercent val="0"/>
          <c:showBubbleSize val="0"/>
        </c:dLbls>
        <c:hiLowLines>
          <c:spPr>
            <a:ln w="22225" cap="flat" cmpd="sng" algn="ctr">
              <a:solidFill>
                <a:schemeClr val="tx1"/>
              </a:solidFill>
              <a:prstDash val="sysDash"/>
              <a:round/>
            </a:ln>
            <a:effectLst/>
          </c:spPr>
        </c:hiLowLines>
        <c:marker val="1"/>
        <c:smooth val="0"/>
        <c:axId val="1046631056"/>
        <c:axId val="1046630096"/>
      </c:lineChart>
      <c:catAx>
        <c:axId val="1046631056"/>
        <c:scaling>
          <c:orientation val="minMax"/>
        </c:scaling>
        <c:delete val="1"/>
        <c:axPos val="b"/>
        <c:title>
          <c:tx>
            <c:rich>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r>
                  <a:rPr lang="en-US"/>
                  <a:t>Unit Process</a:t>
                </a:r>
              </a:p>
            </c:rich>
          </c:tx>
          <c:layout>
            <c:manualLayout>
              <c:xMode val="edge"/>
              <c:yMode val="edge"/>
              <c:x val="0.42979979752300157"/>
              <c:y val="0.84650446395100021"/>
            </c:manualLayout>
          </c:layout>
          <c:overlay val="0"/>
          <c:spPr>
            <a:noFill/>
            <a:ln>
              <a:noFill/>
            </a:ln>
            <a:effectLst/>
          </c:spPr>
        </c:title>
        <c:numFmt formatCode="General" sourceLinked="1"/>
        <c:majorTickMark val="none"/>
        <c:minorTickMark val="none"/>
        <c:tickLblPos val="low"/>
        <c:crossAx val="1046630096"/>
        <c:crosses val="autoZero"/>
        <c:auto val="1"/>
        <c:lblAlgn val="ctr"/>
        <c:lblOffset val="100"/>
        <c:noMultiLvlLbl val="0"/>
      </c:catAx>
      <c:valAx>
        <c:axId val="1046630096"/>
        <c:scaling>
          <c:orientation val="minMax"/>
          <c:max val="10"/>
          <c:min val="-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r>
                  <a:rPr lang="en-US"/>
                  <a:t>LRV</a:t>
                </a:r>
              </a:p>
            </c:rich>
          </c:tx>
          <c:layout>
            <c:manualLayout>
              <c:xMode val="edge"/>
              <c:yMode val="edge"/>
              <c:x val="1.9270993609040998E-2"/>
              <c:y val="0.45899213617934248"/>
            </c:manualLayout>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crossAx val="1046631056"/>
        <c:crosses val="autoZero"/>
        <c:crossBetween val="between"/>
        <c:majorUnit val="2"/>
      </c:valAx>
    </c:plotArea>
    <c:plotVisOnly val="1"/>
    <c:dispBlanksAs val="gap"/>
    <c:showDLblsOverMax val="0"/>
    <c:extLst/>
  </c:chart>
  <c:spPr>
    <a:ln w="9525">
      <a:solidFill>
        <a:schemeClr val="tx1"/>
      </a:solidFill>
    </a:ln>
  </c:spPr>
  <c:txPr>
    <a:bodyPr/>
    <a:lstStyle/>
    <a:p>
      <a:pPr>
        <a:defRPr sz="2000">
          <a:solidFill>
            <a:sysClr val="windowText" lastClr="000000"/>
          </a:solidFil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LRCs</c:v>
          </c:tx>
          <c:spPr>
            <a:ln w="25400" cap="rnd">
              <a:noFill/>
              <a:round/>
            </a:ln>
            <a:effectLst/>
          </c:spPr>
          <c:marker>
            <c:symbol val="square"/>
            <c:size val="6"/>
            <c:spPr>
              <a:solidFill>
                <a:schemeClr val="tx1"/>
              </a:solidFill>
              <a:ln w="9525">
                <a:solidFill>
                  <a:schemeClr val="tx1"/>
                </a:solidFill>
              </a:ln>
              <a:effectLst/>
            </c:spPr>
          </c:marker>
          <c:xVal>
            <c:numRef>
              <c:f>Chlorine!$AM$22:$AM$321</c:f>
              <c:numCache>
                <c:formatCode>General</c:formatCode>
                <c:ptCount val="300"/>
                <c:pt idx="0">
                  <c:v>4</c:v>
                </c:pt>
                <c:pt idx="1">
                  <c:v>5</c:v>
                </c:pt>
                <c:pt idx="2">
                  <c:v>7</c:v>
                </c:pt>
                <c:pt idx="3">
                  <c:v>8</c:v>
                </c:pt>
                <c:pt idx="4">
                  <c:v>7</c:v>
                </c:pt>
                <c:pt idx="5">
                  <c:v>10</c:v>
                </c:pt>
                <c:pt idx="6">
                  <c:v>13</c:v>
                </c:pt>
                <c:pt idx="7">
                  <c:v>16</c:v>
                </c:pt>
                <c:pt idx="8">
                  <c:v>9</c:v>
                </c:pt>
                <c:pt idx="9">
                  <c:v>14</c:v>
                </c:pt>
                <c:pt idx="10">
                  <c:v>18</c:v>
                </c:pt>
                <c:pt idx="11">
                  <c:v>23</c:v>
                </c:pt>
                <c:pt idx="12">
                  <c:v>11</c:v>
                </c:pt>
                <c:pt idx="13">
                  <c:v>17</c:v>
                </c:pt>
                <c:pt idx="14">
                  <c:v>23</c:v>
                </c:pt>
                <c:pt idx="15">
                  <c:v>29</c:v>
                </c:pt>
                <c:pt idx="16">
                  <c:v>13</c:v>
                </c:pt>
                <c:pt idx="17">
                  <c:v>20</c:v>
                </c:pt>
                <c:pt idx="18">
                  <c:v>28</c:v>
                </c:pt>
                <c:pt idx="19">
                  <c:v>35</c:v>
                </c:pt>
                <c:pt idx="20">
                  <c:v>3</c:v>
                </c:pt>
                <c:pt idx="21">
                  <c:v>4</c:v>
                </c:pt>
                <c:pt idx="22">
                  <c:v>5</c:v>
                </c:pt>
                <c:pt idx="23">
                  <c:v>6</c:v>
                </c:pt>
                <c:pt idx="24">
                  <c:v>5</c:v>
                </c:pt>
                <c:pt idx="25">
                  <c:v>7</c:v>
                </c:pt>
                <c:pt idx="26">
                  <c:v>9</c:v>
                </c:pt>
                <c:pt idx="27">
                  <c:v>11</c:v>
                </c:pt>
                <c:pt idx="28">
                  <c:v>7</c:v>
                </c:pt>
                <c:pt idx="29">
                  <c:v>10</c:v>
                </c:pt>
                <c:pt idx="30">
                  <c:v>13</c:v>
                </c:pt>
                <c:pt idx="31">
                  <c:v>16</c:v>
                </c:pt>
                <c:pt idx="32">
                  <c:v>8</c:v>
                </c:pt>
                <c:pt idx="33">
                  <c:v>12</c:v>
                </c:pt>
                <c:pt idx="34">
                  <c:v>16</c:v>
                </c:pt>
                <c:pt idx="35">
                  <c:v>21</c:v>
                </c:pt>
                <c:pt idx="36">
                  <c:v>9</c:v>
                </c:pt>
                <c:pt idx="37">
                  <c:v>14</c:v>
                </c:pt>
                <c:pt idx="38">
                  <c:v>19</c:v>
                </c:pt>
                <c:pt idx="39">
                  <c:v>25</c:v>
                </c:pt>
                <c:pt idx="40">
                  <c:v>2</c:v>
                </c:pt>
                <c:pt idx="41">
                  <c:v>3</c:v>
                </c:pt>
                <c:pt idx="42">
                  <c:v>4</c:v>
                </c:pt>
                <c:pt idx="43">
                  <c:v>4</c:v>
                </c:pt>
                <c:pt idx="44">
                  <c:v>4</c:v>
                </c:pt>
                <c:pt idx="45">
                  <c:v>5</c:v>
                </c:pt>
                <c:pt idx="46">
                  <c:v>7</c:v>
                </c:pt>
                <c:pt idx="47">
                  <c:v>8</c:v>
                </c:pt>
                <c:pt idx="48">
                  <c:v>5</c:v>
                </c:pt>
                <c:pt idx="49">
                  <c:v>7</c:v>
                </c:pt>
                <c:pt idx="50">
                  <c:v>9</c:v>
                </c:pt>
                <c:pt idx="51">
                  <c:v>12</c:v>
                </c:pt>
                <c:pt idx="52">
                  <c:v>6</c:v>
                </c:pt>
                <c:pt idx="53">
                  <c:v>9</c:v>
                </c:pt>
                <c:pt idx="54">
                  <c:v>12</c:v>
                </c:pt>
                <c:pt idx="55">
                  <c:v>15</c:v>
                </c:pt>
                <c:pt idx="56">
                  <c:v>6</c:v>
                </c:pt>
                <c:pt idx="57">
                  <c:v>10</c:v>
                </c:pt>
                <c:pt idx="58">
                  <c:v>14</c:v>
                </c:pt>
                <c:pt idx="59">
                  <c:v>17</c:v>
                </c:pt>
                <c:pt idx="60">
                  <c:v>2</c:v>
                </c:pt>
                <c:pt idx="61">
                  <c:v>2</c:v>
                </c:pt>
                <c:pt idx="62">
                  <c:v>3</c:v>
                </c:pt>
                <c:pt idx="63">
                  <c:v>3</c:v>
                </c:pt>
                <c:pt idx="64">
                  <c:v>3</c:v>
                </c:pt>
                <c:pt idx="65">
                  <c:v>4</c:v>
                </c:pt>
                <c:pt idx="66">
                  <c:v>5</c:v>
                </c:pt>
                <c:pt idx="67">
                  <c:v>6</c:v>
                </c:pt>
                <c:pt idx="68">
                  <c:v>3</c:v>
                </c:pt>
                <c:pt idx="69">
                  <c:v>5</c:v>
                </c:pt>
                <c:pt idx="70">
                  <c:v>7</c:v>
                </c:pt>
                <c:pt idx="71">
                  <c:v>8</c:v>
                </c:pt>
                <c:pt idx="72">
                  <c:v>4</c:v>
                </c:pt>
                <c:pt idx="73">
                  <c:v>6</c:v>
                </c:pt>
                <c:pt idx="74">
                  <c:v>9</c:v>
                </c:pt>
                <c:pt idx="75">
                  <c:v>10</c:v>
                </c:pt>
                <c:pt idx="76">
                  <c:v>5</c:v>
                </c:pt>
                <c:pt idx="77">
                  <c:v>7</c:v>
                </c:pt>
                <c:pt idx="78">
                  <c:v>10</c:v>
                </c:pt>
                <c:pt idx="79">
                  <c:v>12</c:v>
                </c:pt>
                <c:pt idx="80">
                  <c:v>1</c:v>
                </c:pt>
                <c:pt idx="81">
                  <c:v>2</c:v>
                </c:pt>
                <c:pt idx="82">
                  <c:v>2</c:v>
                </c:pt>
                <c:pt idx="83">
                  <c:v>2</c:v>
                </c:pt>
                <c:pt idx="84">
                  <c:v>2</c:v>
                </c:pt>
                <c:pt idx="85">
                  <c:v>3</c:v>
                </c:pt>
                <c:pt idx="86">
                  <c:v>4</c:v>
                </c:pt>
                <c:pt idx="87">
                  <c:v>4</c:v>
                </c:pt>
                <c:pt idx="88">
                  <c:v>3</c:v>
                </c:pt>
                <c:pt idx="89">
                  <c:v>4</c:v>
                </c:pt>
                <c:pt idx="90">
                  <c:v>5</c:v>
                </c:pt>
                <c:pt idx="91">
                  <c:v>6</c:v>
                </c:pt>
                <c:pt idx="92">
                  <c:v>3</c:v>
                </c:pt>
                <c:pt idx="93">
                  <c:v>5</c:v>
                </c:pt>
                <c:pt idx="94">
                  <c:v>6</c:v>
                </c:pt>
                <c:pt idx="95">
                  <c:v>8</c:v>
                </c:pt>
                <c:pt idx="96">
                  <c:v>3</c:v>
                </c:pt>
                <c:pt idx="97">
                  <c:v>5</c:v>
                </c:pt>
                <c:pt idx="98">
                  <c:v>7</c:v>
                </c:pt>
                <c:pt idx="99">
                  <c:v>9</c:v>
                </c:pt>
                <c:pt idx="100">
                  <c:v>4</c:v>
                </c:pt>
                <c:pt idx="101">
                  <c:v>5</c:v>
                </c:pt>
                <c:pt idx="102">
                  <c:v>7</c:v>
                </c:pt>
                <c:pt idx="103">
                  <c:v>9</c:v>
                </c:pt>
                <c:pt idx="104">
                  <c:v>7</c:v>
                </c:pt>
                <c:pt idx="105">
                  <c:v>10</c:v>
                </c:pt>
                <c:pt idx="106">
                  <c:v>13</c:v>
                </c:pt>
                <c:pt idx="107">
                  <c:v>16</c:v>
                </c:pt>
                <c:pt idx="108">
                  <c:v>10</c:v>
                </c:pt>
                <c:pt idx="109">
                  <c:v>15</c:v>
                </c:pt>
                <c:pt idx="110">
                  <c:v>19</c:v>
                </c:pt>
                <c:pt idx="111">
                  <c:v>23</c:v>
                </c:pt>
                <c:pt idx="112">
                  <c:v>12</c:v>
                </c:pt>
                <c:pt idx="113">
                  <c:v>19</c:v>
                </c:pt>
                <c:pt idx="114">
                  <c:v>25</c:v>
                </c:pt>
                <c:pt idx="115">
                  <c:v>31</c:v>
                </c:pt>
                <c:pt idx="116">
                  <c:v>14</c:v>
                </c:pt>
                <c:pt idx="117">
                  <c:v>22</c:v>
                </c:pt>
                <c:pt idx="118">
                  <c:v>30</c:v>
                </c:pt>
                <c:pt idx="119">
                  <c:v>38</c:v>
                </c:pt>
                <c:pt idx="120">
                  <c:v>3</c:v>
                </c:pt>
                <c:pt idx="121">
                  <c:v>4</c:v>
                </c:pt>
                <c:pt idx="122">
                  <c:v>5</c:v>
                </c:pt>
                <c:pt idx="123">
                  <c:v>6</c:v>
                </c:pt>
                <c:pt idx="124">
                  <c:v>5</c:v>
                </c:pt>
                <c:pt idx="125">
                  <c:v>7</c:v>
                </c:pt>
                <c:pt idx="126">
                  <c:v>9</c:v>
                </c:pt>
                <c:pt idx="127">
                  <c:v>11</c:v>
                </c:pt>
                <c:pt idx="128">
                  <c:v>7</c:v>
                </c:pt>
                <c:pt idx="129">
                  <c:v>10</c:v>
                </c:pt>
                <c:pt idx="130">
                  <c:v>13</c:v>
                </c:pt>
                <c:pt idx="131">
                  <c:v>16</c:v>
                </c:pt>
                <c:pt idx="132">
                  <c:v>9</c:v>
                </c:pt>
                <c:pt idx="133">
                  <c:v>13</c:v>
                </c:pt>
                <c:pt idx="134">
                  <c:v>17</c:v>
                </c:pt>
                <c:pt idx="135">
                  <c:v>22</c:v>
                </c:pt>
                <c:pt idx="136">
                  <c:v>10</c:v>
                </c:pt>
                <c:pt idx="137">
                  <c:v>16</c:v>
                </c:pt>
                <c:pt idx="138">
                  <c:v>21</c:v>
                </c:pt>
                <c:pt idx="139">
                  <c:v>27</c:v>
                </c:pt>
                <c:pt idx="140">
                  <c:v>2</c:v>
                </c:pt>
                <c:pt idx="141">
                  <c:v>3</c:v>
                </c:pt>
                <c:pt idx="142">
                  <c:v>4</c:v>
                </c:pt>
                <c:pt idx="143">
                  <c:v>4</c:v>
                </c:pt>
                <c:pt idx="144">
                  <c:v>4</c:v>
                </c:pt>
                <c:pt idx="145">
                  <c:v>5</c:v>
                </c:pt>
                <c:pt idx="146">
                  <c:v>7</c:v>
                </c:pt>
                <c:pt idx="147">
                  <c:v>8</c:v>
                </c:pt>
                <c:pt idx="148">
                  <c:v>5</c:v>
                </c:pt>
                <c:pt idx="149">
                  <c:v>7</c:v>
                </c:pt>
                <c:pt idx="150">
                  <c:v>10</c:v>
                </c:pt>
                <c:pt idx="151">
                  <c:v>12</c:v>
                </c:pt>
                <c:pt idx="152">
                  <c:v>6</c:v>
                </c:pt>
                <c:pt idx="153">
                  <c:v>9</c:v>
                </c:pt>
                <c:pt idx="154">
                  <c:v>13</c:v>
                </c:pt>
                <c:pt idx="155">
                  <c:v>16</c:v>
                </c:pt>
                <c:pt idx="156">
                  <c:v>7</c:v>
                </c:pt>
                <c:pt idx="157">
                  <c:v>11</c:v>
                </c:pt>
                <c:pt idx="158">
                  <c:v>15</c:v>
                </c:pt>
                <c:pt idx="159">
                  <c:v>19</c:v>
                </c:pt>
                <c:pt idx="160">
                  <c:v>2</c:v>
                </c:pt>
                <c:pt idx="161">
                  <c:v>2</c:v>
                </c:pt>
                <c:pt idx="162">
                  <c:v>3</c:v>
                </c:pt>
                <c:pt idx="163">
                  <c:v>3</c:v>
                </c:pt>
                <c:pt idx="164">
                  <c:v>3</c:v>
                </c:pt>
                <c:pt idx="165">
                  <c:v>4</c:v>
                </c:pt>
                <c:pt idx="166">
                  <c:v>5</c:v>
                </c:pt>
                <c:pt idx="167">
                  <c:v>6</c:v>
                </c:pt>
                <c:pt idx="168">
                  <c:v>4</c:v>
                </c:pt>
                <c:pt idx="169">
                  <c:v>5</c:v>
                </c:pt>
                <c:pt idx="170">
                  <c:v>7</c:v>
                </c:pt>
                <c:pt idx="171">
                  <c:v>8</c:v>
                </c:pt>
                <c:pt idx="172">
                  <c:v>5</c:v>
                </c:pt>
                <c:pt idx="173">
                  <c:v>7</c:v>
                </c:pt>
                <c:pt idx="174">
                  <c:v>9</c:v>
                </c:pt>
                <c:pt idx="175">
                  <c:v>11</c:v>
                </c:pt>
                <c:pt idx="176">
                  <c:v>5</c:v>
                </c:pt>
                <c:pt idx="177">
                  <c:v>8</c:v>
                </c:pt>
                <c:pt idx="178">
                  <c:v>11</c:v>
                </c:pt>
                <c:pt idx="179">
                  <c:v>13</c:v>
                </c:pt>
                <c:pt idx="180">
                  <c:v>1</c:v>
                </c:pt>
                <c:pt idx="181">
                  <c:v>2</c:v>
                </c:pt>
                <c:pt idx="182">
                  <c:v>2</c:v>
                </c:pt>
                <c:pt idx="183">
                  <c:v>2</c:v>
                </c:pt>
                <c:pt idx="184">
                  <c:v>2</c:v>
                </c:pt>
                <c:pt idx="185">
                  <c:v>3</c:v>
                </c:pt>
                <c:pt idx="186">
                  <c:v>4</c:v>
                </c:pt>
                <c:pt idx="187">
                  <c:v>4</c:v>
                </c:pt>
                <c:pt idx="188">
                  <c:v>3</c:v>
                </c:pt>
                <c:pt idx="189">
                  <c:v>4</c:v>
                </c:pt>
                <c:pt idx="190">
                  <c:v>5</c:v>
                </c:pt>
                <c:pt idx="191">
                  <c:v>6</c:v>
                </c:pt>
                <c:pt idx="192">
                  <c:v>4</c:v>
                </c:pt>
                <c:pt idx="193">
                  <c:v>5</c:v>
                </c:pt>
                <c:pt idx="194">
                  <c:v>7</c:v>
                </c:pt>
                <c:pt idx="195">
                  <c:v>8</c:v>
                </c:pt>
                <c:pt idx="196">
                  <c:v>4</c:v>
                </c:pt>
                <c:pt idx="197">
                  <c:v>6</c:v>
                </c:pt>
                <c:pt idx="198">
                  <c:v>8</c:v>
                </c:pt>
                <c:pt idx="199">
                  <c:v>10</c:v>
                </c:pt>
                <c:pt idx="200">
                  <c:v>4</c:v>
                </c:pt>
                <c:pt idx="201">
                  <c:v>6</c:v>
                </c:pt>
                <c:pt idx="202">
                  <c:v>7</c:v>
                </c:pt>
                <c:pt idx="203">
                  <c:v>9</c:v>
                </c:pt>
                <c:pt idx="204">
                  <c:v>8</c:v>
                </c:pt>
                <c:pt idx="205">
                  <c:v>13</c:v>
                </c:pt>
                <c:pt idx="206">
                  <c:v>16</c:v>
                </c:pt>
                <c:pt idx="207">
                  <c:v>21</c:v>
                </c:pt>
                <c:pt idx="208">
                  <c:v>12</c:v>
                </c:pt>
                <c:pt idx="209">
                  <c:v>19</c:v>
                </c:pt>
                <c:pt idx="210">
                  <c:v>25</c:v>
                </c:pt>
                <c:pt idx="211">
                  <c:v>32</c:v>
                </c:pt>
                <c:pt idx="212">
                  <c:v>14</c:v>
                </c:pt>
                <c:pt idx="213">
                  <c:v>21</c:v>
                </c:pt>
                <c:pt idx="214">
                  <c:v>29</c:v>
                </c:pt>
                <c:pt idx="215">
                  <c:v>37</c:v>
                </c:pt>
                <c:pt idx="216">
                  <c:v>15</c:v>
                </c:pt>
                <c:pt idx="217">
                  <c:v>23</c:v>
                </c:pt>
                <c:pt idx="218">
                  <c:v>32</c:v>
                </c:pt>
                <c:pt idx="219">
                  <c:v>41</c:v>
                </c:pt>
                <c:pt idx="220">
                  <c:v>3</c:v>
                </c:pt>
                <c:pt idx="221">
                  <c:v>4</c:v>
                </c:pt>
                <c:pt idx="222">
                  <c:v>5</c:v>
                </c:pt>
                <c:pt idx="223">
                  <c:v>7</c:v>
                </c:pt>
                <c:pt idx="224">
                  <c:v>6</c:v>
                </c:pt>
                <c:pt idx="225">
                  <c:v>9</c:v>
                </c:pt>
                <c:pt idx="226">
                  <c:v>12</c:v>
                </c:pt>
                <c:pt idx="227">
                  <c:v>15</c:v>
                </c:pt>
                <c:pt idx="228">
                  <c:v>9</c:v>
                </c:pt>
                <c:pt idx="229">
                  <c:v>13</c:v>
                </c:pt>
                <c:pt idx="230">
                  <c:v>18</c:v>
                </c:pt>
                <c:pt idx="231">
                  <c:v>23</c:v>
                </c:pt>
                <c:pt idx="232">
                  <c:v>10</c:v>
                </c:pt>
                <c:pt idx="233">
                  <c:v>15</c:v>
                </c:pt>
                <c:pt idx="234">
                  <c:v>21</c:v>
                </c:pt>
                <c:pt idx="235">
                  <c:v>26</c:v>
                </c:pt>
                <c:pt idx="236">
                  <c:v>10</c:v>
                </c:pt>
                <c:pt idx="237">
                  <c:v>16</c:v>
                </c:pt>
                <c:pt idx="238">
                  <c:v>23</c:v>
                </c:pt>
                <c:pt idx="239">
                  <c:v>29</c:v>
                </c:pt>
                <c:pt idx="240">
                  <c:v>2</c:v>
                </c:pt>
                <c:pt idx="241">
                  <c:v>3</c:v>
                </c:pt>
                <c:pt idx="242">
                  <c:v>4</c:v>
                </c:pt>
                <c:pt idx="243">
                  <c:v>5</c:v>
                </c:pt>
                <c:pt idx="244">
                  <c:v>4</c:v>
                </c:pt>
                <c:pt idx="245">
                  <c:v>6</c:v>
                </c:pt>
                <c:pt idx="246">
                  <c:v>9</c:v>
                </c:pt>
                <c:pt idx="247">
                  <c:v>11</c:v>
                </c:pt>
                <c:pt idx="248">
                  <c:v>6</c:v>
                </c:pt>
                <c:pt idx="249">
                  <c:v>9</c:v>
                </c:pt>
                <c:pt idx="250">
                  <c:v>13</c:v>
                </c:pt>
                <c:pt idx="251">
                  <c:v>16</c:v>
                </c:pt>
                <c:pt idx="252">
                  <c:v>7</c:v>
                </c:pt>
                <c:pt idx="253">
                  <c:v>11</c:v>
                </c:pt>
                <c:pt idx="254">
                  <c:v>15</c:v>
                </c:pt>
                <c:pt idx="255">
                  <c:v>18</c:v>
                </c:pt>
                <c:pt idx="256">
                  <c:v>7</c:v>
                </c:pt>
                <c:pt idx="257">
                  <c:v>12</c:v>
                </c:pt>
                <c:pt idx="258">
                  <c:v>16</c:v>
                </c:pt>
                <c:pt idx="259">
                  <c:v>20</c:v>
                </c:pt>
                <c:pt idx="260">
                  <c:v>2</c:v>
                </c:pt>
                <c:pt idx="261">
                  <c:v>2</c:v>
                </c:pt>
                <c:pt idx="262">
                  <c:v>3</c:v>
                </c:pt>
                <c:pt idx="263">
                  <c:v>3</c:v>
                </c:pt>
                <c:pt idx="264">
                  <c:v>3</c:v>
                </c:pt>
                <c:pt idx="265">
                  <c:v>5</c:v>
                </c:pt>
                <c:pt idx="266">
                  <c:v>6</c:v>
                </c:pt>
                <c:pt idx="267">
                  <c:v>7</c:v>
                </c:pt>
                <c:pt idx="268">
                  <c:v>4</c:v>
                </c:pt>
                <c:pt idx="269">
                  <c:v>7</c:v>
                </c:pt>
                <c:pt idx="270">
                  <c:v>9</c:v>
                </c:pt>
                <c:pt idx="271">
                  <c:v>11</c:v>
                </c:pt>
                <c:pt idx="272">
                  <c:v>5</c:v>
                </c:pt>
                <c:pt idx="273">
                  <c:v>8</c:v>
                </c:pt>
                <c:pt idx="274">
                  <c:v>10</c:v>
                </c:pt>
                <c:pt idx="275">
                  <c:v>13</c:v>
                </c:pt>
                <c:pt idx="276">
                  <c:v>5</c:v>
                </c:pt>
                <c:pt idx="277">
                  <c:v>8</c:v>
                </c:pt>
                <c:pt idx="278">
                  <c:v>11</c:v>
                </c:pt>
                <c:pt idx="279">
                  <c:v>14</c:v>
                </c:pt>
                <c:pt idx="280">
                  <c:v>1</c:v>
                </c:pt>
                <c:pt idx="281">
                  <c:v>2</c:v>
                </c:pt>
                <c:pt idx="282">
                  <c:v>2</c:v>
                </c:pt>
                <c:pt idx="283">
                  <c:v>3</c:v>
                </c:pt>
                <c:pt idx="284">
                  <c:v>2</c:v>
                </c:pt>
                <c:pt idx="285">
                  <c:v>4</c:v>
                </c:pt>
                <c:pt idx="286">
                  <c:v>5</c:v>
                </c:pt>
                <c:pt idx="287">
                  <c:v>6</c:v>
                </c:pt>
                <c:pt idx="288">
                  <c:v>3</c:v>
                </c:pt>
                <c:pt idx="289">
                  <c:v>5</c:v>
                </c:pt>
                <c:pt idx="290">
                  <c:v>7</c:v>
                </c:pt>
                <c:pt idx="291">
                  <c:v>8</c:v>
                </c:pt>
                <c:pt idx="292">
                  <c:v>4</c:v>
                </c:pt>
                <c:pt idx="293">
                  <c:v>6</c:v>
                </c:pt>
                <c:pt idx="294">
                  <c:v>8</c:v>
                </c:pt>
                <c:pt idx="295">
                  <c:v>9</c:v>
                </c:pt>
                <c:pt idx="296">
                  <c:v>4</c:v>
                </c:pt>
                <c:pt idx="297">
                  <c:v>6</c:v>
                </c:pt>
                <c:pt idx="298">
                  <c:v>8</c:v>
                </c:pt>
                <c:pt idx="299">
                  <c:v>10</c:v>
                </c:pt>
              </c:numCache>
            </c:numRef>
          </c:xVal>
          <c:yVal>
            <c:numRef>
              <c:f>Chlorine!$AN$22:$AN$321</c:f>
              <c:numCache>
                <c:formatCode>General</c:formatCode>
                <c:ptCount val="300"/>
                <c:pt idx="0">
                  <c:v>1</c:v>
                </c:pt>
                <c:pt idx="1">
                  <c:v>2</c:v>
                </c:pt>
                <c:pt idx="2">
                  <c:v>3</c:v>
                </c:pt>
                <c:pt idx="3">
                  <c:v>4</c:v>
                </c:pt>
                <c:pt idx="4">
                  <c:v>1</c:v>
                </c:pt>
                <c:pt idx="5">
                  <c:v>2</c:v>
                </c:pt>
                <c:pt idx="6">
                  <c:v>3</c:v>
                </c:pt>
                <c:pt idx="7">
                  <c:v>4</c:v>
                </c:pt>
                <c:pt idx="8">
                  <c:v>1</c:v>
                </c:pt>
                <c:pt idx="9">
                  <c:v>2</c:v>
                </c:pt>
                <c:pt idx="10">
                  <c:v>3</c:v>
                </c:pt>
                <c:pt idx="11">
                  <c:v>4</c:v>
                </c:pt>
                <c:pt idx="12">
                  <c:v>1</c:v>
                </c:pt>
                <c:pt idx="13">
                  <c:v>2</c:v>
                </c:pt>
                <c:pt idx="14">
                  <c:v>3</c:v>
                </c:pt>
                <c:pt idx="15">
                  <c:v>4</c:v>
                </c:pt>
                <c:pt idx="16">
                  <c:v>1</c:v>
                </c:pt>
                <c:pt idx="17">
                  <c:v>2</c:v>
                </c:pt>
                <c:pt idx="18">
                  <c:v>3</c:v>
                </c:pt>
                <c:pt idx="19">
                  <c:v>4</c:v>
                </c:pt>
                <c:pt idx="20">
                  <c:v>1</c:v>
                </c:pt>
                <c:pt idx="21">
                  <c:v>2</c:v>
                </c:pt>
                <c:pt idx="22">
                  <c:v>3</c:v>
                </c:pt>
                <c:pt idx="23">
                  <c:v>4</c:v>
                </c:pt>
                <c:pt idx="24">
                  <c:v>1</c:v>
                </c:pt>
                <c:pt idx="25">
                  <c:v>2</c:v>
                </c:pt>
                <c:pt idx="26">
                  <c:v>3</c:v>
                </c:pt>
                <c:pt idx="27">
                  <c:v>4</c:v>
                </c:pt>
                <c:pt idx="28">
                  <c:v>1</c:v>
                </c:pt>
                <c:pt idx="29">
                  <c:v>2</c:v>
                </c:pt>
                <c:pt idx="30">
                  <c:v>3</c:v>
                </c:pt>
                <c:pt idx="31">
                  <c:v>4</c:v>
                </c:pt>
                <c:pt idx="32">
                  <c:v>1</c:v>
                </c:pt>
                <c:pt idx="33">
                  <c:v>2</c:v>
                </c:pt>
                <c:pt idx="34">
                  <c:v>3</c:v>
                </c:pt>
                <c:pt idx="35">
                  <c:v>4</c:v>
                </c:pt>
                <c:pt idx="36">
                  <c:v>1</c:v>
                </c:pt>
                <c:pt idx="37">
                  <c:v>2</c:v>
                </c:pt>
                <c:pt idx="38">
                  <c:v>3</c:v>
                </c:pt>
                <c:pt idx="39">
                  <c:v>4</c:v>
                </c:pt>
                <c:pt idx="40">
                  <c:v>1</c:v>
                </c:pt>
                <c:pt idx="41">
                  <c:v>2</c:v>
                </c:pt>
                <c:pt idx="42">
                  <c:v>3</c:v>
                </c:pt>
                <c:pt idx="43">
                  <c:v>4</c:v>
                </c:pt>
                <c:pt idx="44">
                  <c:v>1</c:v>
                </c:pt>
                <c:pt idx="45">
                  <c:v>2</c:v>
                </c:pt>
                <c:pt idx="46">
                  <c:v>3</c:v>
                </c:pt>
                <c:pt idx="47">
                  <c:v>4</c:v>
                </c:pt>
                <c:pt idx="48">
                  <c:v>1</c:v>
                </c:pt>
                <c:pt idx="49">
                  <c:v>2</c:v>
                </c:pt>
                <c:pt idx="50">
                  <c:v>3</c:v>
                </c:pt>
                <c:pt idx="51">
                  <c:v>4</c:v>
                </c:pt>
                <c:pt idx="52">
                  <c:v>1</c:v>
                </c:pt>
                <c:pt idx="53">
                  <c:v>2</c:v>
                </c:pt>
                <c:pt idx="54">
                  <c:v>3</c:v>
                </c:pt>
                <c:pt idx="55">
                  <c:v>4</c:v>
                </c:pt>
                <c:pt idx="56">
                  <c:v>1</c:v>
                </c:pt>
                <c:pt idx="57">
                  <c:v>2</c:v>
                </c:pt>
                <c:pt idx="58">
                  <c:v>3</c:v>
                </c:pt>
                <c:pt idx="59">
                  <c:v>4</c:v>
                </c:pt>
                <c:pt idx="60">
                  <c:v>1</c:v>
                </c:pt>
                <c:pt idx="61">
                  <c:v>2</c:v>
                </c:pt>
                <c:pt idx="62">
                  <c:v>3</c:v>
                </c:pt>
                <c:pt idx="63">
                  <c:v>4</c:v>
                </c:pt>
                <c:pt idx="64">
                  <c:v>1</c:v>
                </c:pt>
                <c:pt idx="65">
                  <c:v>2</c:v>
                </c:pt>
                <c:pt idx="66">
                  <c:v>3</c:v>
                </c:pt>
                <c:pt idx="67">
                  <c:v>4</c:v>
                </c:pt>
                <c:pt idx="68">
                  <c:v>1</c:v>
                </c:pt>
                <c:pt idx="69">
                  <c:v>2</c:v>
                </c:pt>
                <c:pt idx="70">
                  <c:v>3</c:v>
                </c:pt>
                <c:pt idx="71">
                  <c:v>4</c:v>
                </c:pt>
                <c:pt idx="72">
                  <c:v>1</c:v>
                </c:pt>
                <c:pt idx="73">
                  <c:v>2</c:v>
                </c:pt>
                <c:pt idx="74">
                  <c:v>3</c:v>
                </c:pt>
                <c:pt idx="75">
                  <c:v>4</c:v>
                </c:pt>
                <c:pt idx="76">
                  <c:v>1</c:v>
                </c:pt>
                <c:pt idx="77">
                  <c:v>2</c:v>
                </c:pt>
                <c:pt idx="78">
                  <c:v>3</c:v>
                </c:pt>
                <c:pt idx="79">
                  <c:v>4</c:v>
                </c:pt>
                <c:pt idx="80">
                  <c:v>1</c:v>
                </c:pt>
                <c:pt idx="81">
                  <c:v>2</c:v>
                </c:pt>
                <c:pt idx="82">
                  <c:v>3</c:v>
                </c:pt>
                <c:pt idx="83">
                  <c:v>4</c:v>
                </c:pt>
                <c:pt idx="84">
                  <c:v>1</c:v>
                </c:pt>
                <c:pt idx="85">
                  <c:v>2</c:v>
                </c:pt>
                <c:pt idx="86">
                  <c:v>3</c:v>
                </c:pt>
                <c:pt idx="87">
                  <c:v>4</c:v>
                </c:pt>
                <c:pt idx="88">
                  <c:v>1</c:v>
                </c:pt>
                <c:pt idx="89">
                  <c:v>2</c:v>
                </c:pt>
                <c:pt idx="90">
                  <c:v>3</c:v>
                </c:pt>
                <c:pt idx="91">
                  <c:v>4</c:v>
                </c:pt>
                <c:pt idx="92">
                  <c:v>1</c:v>
                </c:pt>
                <c:pt idx="93">
                  <c:v>2</c:v>
                </c:pt>
                <c:pt idx="94">
                  <c:v>3</c:v>
                </c:pt>
                <c:pt idx="95">
                  <c:v>4</c:v>
                </c:pt>
                <c:pt idx="96">
                  <c:v>1</c:v>
                </c:pt>
                <c:pt idx="97">
                  <c:v>2</c:v>
                </c:pt>
                <c:pt idx="98">
                  <c:v>3</c:v>
                </c:pt>
                <c:pt idx="99">
                  <c:v>4</c:v>
                </c:pt>
                <c:pt idx="100">
                  <c:v>1</c:v>
                </c:pt>
                <c:pt idx="101">
                  <c:v>2</c:v>
                </c:pt>
                <c:pt idx="102">
                  <c:v>3</c:v>
                </c:pt>
                <c:pt idx="103">
                  <c:v>4</c:v>
                </c:pt>
                <c:pt idx="104">
                  <c:v>1</c:v>
                </c:pt>
                <c:pt idx="105">
                  <c:v>2</c:v>
                </c:pt>
                <c:pt idx="106">
                  <c:v>3</c:v>
                </c:pt>
                <c:pt idx="107">
                  <c:v>4</c:v>
                </c:pt>
                <c:pt idx="108">
                  <c:v>1</c:v>
                </c:pt>
                <c:pt idx="109">
                  <c:v>2</c:v>
                </c:pt>
                <c:pt idx="110">
                  <c:v>3</c:v>
                </c:pt>
                <c:pt idx="111">
                  <c:v>4</c:v>
                </c:pt>
                <c:pt idx="112">
                  <c:v>1</c:v>
                </c:pt>
                <c:pt idx="113">
                  <c:v>2</c:v>
                </c:pt>
                <c:pt idx="114">
                  <c:v>3</c:v>
                </c:pt>
                <c:pt idx="115">
                  <c:v>4</c:v>
                </c:pt>
                <c:pt idx="116">
                  <c:v>1</c:v>
                </c:pt>
                <c:pt idx="117">
                  <c:v>2</c:v>
                </c:pt>
                <c:pt idx="118">
                  <c:v>3</c:v>
                </c:pt>
                <c:pt idx="119">
                  <c:v>4</c:v>
                </c:pt>
                <c:pt idx="120">
                  <c:v>1</c:v>
                </c:pt>
                <c:pt idx="121">
                  <c:v>2</c:v>
                </c:pt>
                <c:pt idx="122">
                  <c:v>3</c:v>
                </c:pt>
                <c:pt idx="123">
                  <c:v>4</c:v>
                </c:pt>
                <c:pt idx="124">
                  <c:v>1</c:v>
                </c:pt>
                <c:pt idx="125">
                  <c:v>2</c:v>
                </c:pt>
                <c:pt idx="126">
                  <c:v>3</c:v>
                </c:pt>
                <c:pt idx="127">
                  <c:v>4</c:v>
                </c:pt>
                <c:pt idx="128">
                  <c:v>1</c:v>
                </c:pt>
                <c:pt idx="129">
                  <c:v>2</c:v>
                </c:pt>
                <c:pt idx="130">
                  <c:v>3</c:v>
                </c:pt>
                <c:pt idx="131">
                  <c:v>4</c:v>
                </c:pt>
                <c:pt idx="132">
                  <c:v>1</c:v>
                </c:pt>
                <c:pt idx="133">
                  <c:v>2</c:v>
                </c:pt>
                <c:pt idx="134">
                  <c:v>3</c:v>
                </c:pt>
                <c:pt idx="135">
                  <c:v>4</c:v>
                </c:pt>
                <c:pt idx="136">
                  <c:v>1</c:v>
                </c:pt>
                <c:pt idx="137">
                  <c:v>2</c:v>
                </c:pt>
                <c:pt idx="138">
                  <c:v>3</c:v>
                </c:pt>
                <c:pt idx="139">
                  <c:v>4</c:v>
                </c:pt>
                <c:pt idx="140">
                  <c:v>1</c:v>
                </c:pt>
                <c:pt idx="141">
                  <c:v>2</c:v>
                </c:pt>
                <c:pt idx="142">
                  <c:v>3</c:v>
                </c:pt>
                <c:pt idx="143">
                  <c:v>4</c:v>
                </c:pt>
                <c:pt idx="144">
                  <c:v>1</c:v>
                </c:pt>
                <c:pt idx="145">
                  <c:v>2</c:v>
                </c:pt>
                <c:pt idx="146">
                  <c:v>3</c:v>
                </c:pt>
                <c:pt idx="147">
                  <c:v>4</c:v>
                </c:pt>
                <c:pt idx="148">
                  <c:v>1</c:v>
                </c:pt>
                <c:pt idx="149">
                  <c:v>2</c:v>
                </c:pt>
                <c:pt idx="150">
                  <c:v>3</c:v>
                </c:pt>
                <c:pt idx="151">
                  <c:v>4</c:v>
                </c:pt>
                <c:pt idx="152">
                  <c:v>1</c:v>
                </c:pt>
                <c:pt idx="153">
                  <c:v>2</c:v>
                </c:pt>
                <c:pt idx="154">
                  <c:v>3</c:v>
                </c:pt>
                <c:pt idx="155">
                  <c:v>4</c:v>
                </c:pt>
                <c:pt idx="156">
                  <c:v>1</c:v>
                </c:pt>
                <c:pt idx="157">
                  <c:v>2</c:v>
                </c:pt>
                <c:pt idx="158">
                  <c:v>3</c:v>
                </c:pt>
                <c:pt idx="159">
                  <c:v>4</c:v>
                </c:pt>
                <c:pt idx="160">
                  <c:v>1</c:v>
                </c:pt>
                <c:pt idx="161">
                  <c:v>2</c:v>
                </c:pt>
                <c:pt idx="162">
                  <c:v>3</c:v>
                </c:pt>
                <c:pt idx="163">
                  <c:v>4</c:v>
                </c:pt>
                <c:pt idx="164">
                  <c:v>1</c:v>
                </c:pt>
                <c:pt idx="165">
                  <c:v>2</c:v>
                </c:pt>
                <c:pt idx="166">
                  <c:v>3</c:v>
                </c:pt>
                <c:pt idx="167">
                  <c:v>4</c:v>
                </c:pt>
                <c:pt idx="168">
                  <c:v>1</c:v>
                </c:pt>
                <c:pt idx="169">
                  <c:v>2</c:v>
                </c:pt>
                <c:pt idx="170">
                  <c:v>3</c:v>
                </c:pt>
                <c:pt idx="171">
                  <c:v>4</c:v>
                </c:pt>
                <c:pt idx="172">
                  <c:v>1</c:v>
                </c:pt>
                <c:pt idx="173">
                  <c:v>2</c:v>
                </c:pt>
                <c:pt idx="174">
                  <c:v>3</c:v>
                </c:pt>
                <c:pt idx="175">
                  <c:v>4</c:v>
                </c:pt>
                <c:pt idx="176">
                  <c:v>1</c:v>
                </c:pt>
                <c:pt idx="177">
                  <c:v>2</c:v>
                </c:pt>
                <c:pt idx="178">
                  <c:v>3</c:v>
                </c:pt>
                <c:pt idx="179">
                  <c:v>4</c:v>
                </c:pt>
                <c:pt idx="180">
                  <c:v>1</c:v>
                </c:pt>
                <c:pt idx="181">
                  <c:v>2</c:v>
                </c:pt>
                <c:pt idx="182">
                  <c:v>3</c:v>
                </c:pt>
                <c:pt idx="183">
                  <c:v>4</c:v>
                </c:pt>
                <c:pt idx="184">
                  <c:v>1</c:v>
                </c:pt>
                <c:pt idx="185">
                  <c:v>2</c:v>
                </c:pt>
                <c:pt idx="186">
                  <c:v>3</c:v>
                </c:pt>
                <c:pt idx="187">
                  <c:v>4</c:v>
                </c:pt>
                <c:pt idx="188">
                  <c:v>1</c:v>
                </c:pt>
                <c:pt idx="189">
                  <c:v>2</c:v>
                </c:pt>
                <c:pt idx="190">
                  <c:v>3</c:v>
                </c:pt>
                <c:pt idx="191">
                  <c:v>4</c:v>
                </c:pt>
                <c:pt idx="192">
                  <c:v>1</c:v>
                </c:pt>
                <c:pt idx="193">
                  <c:v>2</c:v>
                </c:pt>
                <c:pt idx="194">
                  <c:v>3</c:v>
                </c:pt>
                <c:pt idx="195">
                  <c:v>4</c:v>
                </c:pt>
                <c:pt idx="196">
                  <c:v>1</c:v>
                </c:pt>
                <c:pt idx="197">
                  <c:v>2</c:v>
                </c:pt>
                <c:pt idx="198">
                  <c:v>3</c:v>
                </c:pt>
                <c:pt idx="199">
                  <c:v>4</c:v>
                </c:pt>
                <c:pt idx="200">
                  <c:v>1</c:v>
                </c:pt>
                <c:pt idx="201">
                  <c:v>2</c:v>
                </c:pt>
                <c:pt idx="202">
                  <c:v>3</c:v>
                </c:pt>
                <c:pt idx="203">
                  <c:v>4</c:v>
                </c:pt>
                <c:pt idx="204">
                  <c:v>1</c:v>
                </c:pt>
                <c:pt idx="205">
                  <c:v>2</c:v>
                </c:pt>
                <c:pt idx="206">
                  <c:v>3</c:v>
                </c:pt>
                <c:pt idx="207">
                  <c:v>4</c:v>
                </c:pt>
                <c:pt idx="208">
                  <c:v>1</c:v>
                </c:pt>
                <c:pt idx="209">
                  <c:v>2</c:v>
                </c:pt>
                <c:pt idx="210">
                  <c:v>3</c:v>
                </c:pt>
                <c:pt idx="211">
                  <c:v>4</c:v>
                </c:pt>
                <c:pt idx="212">
                  <c:v>1</c:v>
                </c:pt>
                <c:pt idx="213">
                  <c:v>2</c:v>
                </c:pt>
                <c:pt idx="214">
                  <c:v>3</c:v>
                </c:pt>
                <c:pt idx="215">
                  <c:v>4</c:v>
                </c:pt>
                <c:pt idx="216">
                  <c:v>1</c:v>
                </c:pt>
                <c:pt idx="217">
                  <c:v>2</c:v>
                </c:pt>
                <c:pt idx="218">
                  <c:v>3</c:v>
                </c:pt>
                <c:pt idx="219">
                  <c:v>4</c:v>
                </c:pt>
                <c:pt idx="220">
                  <c:v>1</c:v>
                </c:pt>
                <c:pt idx="221">
                  <c:v>2</c:v>
                </c:pt>
                <c:pt idx="222">
                  <c:v>3</c:v>
                </c:pt>
                <c:pt idx="223">
                  <c:v>4</c:v>
                </c:pt>
                <c:pt idx="224">
                  <c:v>1</c:v>
                </c:pt>
                <c:pt idx="225">
                  <c:v>2</c:v>
                </c:pt>
                <c:pt idx="226">
                  <c:v>3</c:v>
                </c:pt>
                <c:pt idx="227">
                  <c:v>4</c:v>
                </c:pt>
                <c:pt idx="228">
                  <c:v>1</c:v>
                </c:pt>
                <c:pt idx="229">
                  <c:v>2</c:v>
                </c:pt>
                <c:pt idx="230">
                  <c:v>3</c:v>
                </c:pt>
                <c:pt idx="231">
                  <c:v>4</c:v>
                </c:pt>
                <c:pt idx="232">
                  <c:v>1</c:v>
                </c:pt>
                <c:pt idx="233">
                  <c:v>2</c:v>
                </c:pt>
                <c:pt idx="234">
                  <c:v>3</c:v>
                </c:pt>
                <c:pt idx="235">
                  <c:v>4</c:v>
                </c:pt>
                <c:pt idx="236">
                  <c:v>1</c:v>
                </c:pt>
                <c:pt idx="237">
                  <c:v>2</c:v>
                </c:pt>
                <c:pt idx="238">
                  <c:v>3</c:v>
                </c:pt>
                <c:pt idx="239">
                  <c:v>4</c:v>
                </c:pt>
                <c:pt idx="240">
                  <c:v>1</c:v>
                </c:pt>
                <c:pt idx="241">
                  <c:v>2</c:v>
                </c:pt>
                <c:pt idx="242">
                  <c:v>3</c:v>
                </c:pt>
                <c:pt idx="243">
                  <c:v>4</c:v>
                </c:pt>
                <c:pt idx="244">
                  <c:v>1</c:v>
                </c:pt>
                <c:pt idx="245">
                  <c:v>2</c:v>
                </c:pt>
                <c:pt idx="246">
                  <c:v>3</c:v>
                </c:pt>
                <c:pt idx="247">
                  <c:v>4</c:v>
                </c:pt>
                <c:pt idx="248">
                  <c:v>1</c:v>
                </c:pt>
                <c:pt idx="249">
                  <c:v>2</c:v>
                </c:pt>
                <c:pt idx="250">
                  <c:v>3</c:v>
                </c:pt>
                <c:pt idx="251">
                  <c:v>4</c:v>
                </c:pt>
                <c:pt idx="252">
                  <c:v>1</c:v>
                </c:pt>
                <c:pt idx="253">
                  <c:v>2</c:v>
                </c:pt>
                <c:pt idx="254">
                  <c:v>3</c:v>
                </c:pt>
                <c:pt idx="255">
                  <c:v>4</c:v>
                </c:pt>
                <c:pt idx="256">
                  <c:v>1</c:v>
                </c:pt>
                <c:pt idx="257">
                  <c:v>2</c:v>
                </c:pt>
                <c:pt idx="258">
                  <c:v>3</c:v>
                </c:pt>
                <c:pt idx="259">
                  <c:v>4</c:v>
                </c:pt>
                <c:pt idx="260">
                  <c:v>1</c:v>
                </c:pt>
                <c:pt idx="261">
                  <c:v>2</c:v>
                </c:pt>
                <c:pt idx="262">
                  <c:v>3</c:v>
                </c:pt>
                <c:pt idx="263">
                  <c:v>4</c:v>
                </c:pt>
                <c:pt idx="264">
                  <c:v>1</c:v>
                </c:pt>
                <c:pt idx="265">
                  <c:v>2</c:v>
                </c:pt>
                <c:pt idx="266">
                  <c:v>3</c:v>
                </c:pt>
                <c:pt idx="267">
                  <c:v>4</c:v>
                </c:pt>
                <c:pt idx="268">
                  <c:v>1</c:v>
                </c:pt>
                <c:pt idx="269">
                  <c:v>2</c:v>
                </c:pt>
                <c:pt idx="270">
                  <c:v>3</c:v>
                </c:pt>
                <c:pt idx="271">
                  <c:v>4</c:v>
                </c:pt>
                <c:pt idx="272">
                  <c:v>1</c:v>
                </c:pt>
                <c:pt idx="273">
                  <c:v>2</c:v>
                </c:pt>
                <c:pt idx="274">
                  <c:v>3</c:v>
                </c:pt>
                <c:pt idx="275">
                  <c:v>4</c:v>
                </c:pt>
                <c:pt idx="276">
                  <c:v>1</c:v>
                </c:pt>
                <c:pt idx="277">
                  <c:v>2</c:v>
                </c:pt>
                <c:pt idx="278">
                  <c:v>3</c:v>
                </c:pt>
                <c:pt idx="279">
                  <c:v>4</c:v>
                </c:pt>
                <c:pt idx="280">
                  <c:v>1</c:v>
                </c:pt>
                <c:pt idx="281">
                  <c:v>2</c:v>
                </c:pt>
                <c:pt idx="282">
                  <c:v>3</c:v>
                </c:pt>
                <c:pt idx="283">
                  <c:v>4</c:v>
                </c:pt>
                <c:pt idx="284">
                  <c:v>1</c:v>
                </c:pt>
                <c:pt idx="285">
                  <c:v>2</c:v>
                </c:pt>
                <c:pt idx="286">
                  <c:v>3</c:v>
                </c:pt>
                <c:pt idx="287">
                  <c:v>4</c:v>
                </c:pt>
                <c:pt idx="288">
                  <c:v>1</c:v>
                </c:pt>
                <c:pt idx="289">
                  <c:v>2</c:v>
                </c:pt>
                <c:pt idx="290">
                  <c:v>3</c:v>
                </c:pt>
                <c:pt idx="291">
                  <c:v>4</c:v>
                </c:pt>
                <c:pt idx="292">
                  <c:v>1</c:v>
                </c:pt>
                <c:pt idx="293">
                  <c:v>2</c:v>
                </c:pt>
                <c:pt idx="294">
                  <c:v>3</c:v>
                </c:pt>
                <c:pt idx="295">
                  <c:v>4</c:v>
                </c:pt>
                <c:pt idx="296">
                  <c:v>1</c:v>
                </c:pt>
                <c:pt idx="297">
                  <c:v>2</c:v>
                </c:pt>
                <c:pt idx="298">
                  <c:v>3</c:v>
                </c:pt>
                <c:pt idx="299">
                  <c:v>4</c:v>
                </c:pt>
              </c:numCache>
            </c:numRef>
          </c:yVal>
          <c:smooth val="0"/>
          <c:extLst>
            <c:ext xmlns:c16="http://schemas.microsoft.com/office/drawing/2014/chart" uri="{C3380CC4-5D6E-409C-BE32-E72D297353CC}">
              <c16:uniqueId val="{00000000-32D3-4F4A-827A-7E6CAFF2D4DC}"/>
            </c:ext>
          </c:extLst>
        </c:ser>
        <c:ser>
          <c:idx val="1"/>
          <c:order val="1"/>
          <c:tx>
            <c:v>LRVs</c:v>
          </c:tx>
          <c:spPr>
            <a:ln w="25400" cap="rnd">
              <a:noFill/>
              <a:round/>
            </a:ln>
            <a:effectLst/>
          </c:spPr>
          <c:marker>
            <c:symbol val="diamond"/>
            <c:size val="5"/>
            <c:spPr>
              <a:solidFill>
                <a:srgbClr val="C00000"/>
              </a:solidFill>
              <a:ln w="9525">
                <a:noFill/>
              </a:ln>
              <a:effectLst/>
            </c:spPr>
          </c:marker>
          <c:xVal>
            <c:numRef>
              <c:f>Chlorine!$AQ$22:$AQ$321</c:f>
              <c:numCache>
                <c:formatCode>General</c:formatCode>
                <c:ptCount val="300"/>
                <c:pt idx="0">
                  <c:v>179.4</c:v>
                </c:pt>
                <c:pt idx="1">
                  <c:v>179.4</c:v>
                </c:pt>
                <c:pt idx="2">
                  <c:v>179.4</c:v>
                </c:pt>
                <c:pt idx="3">
                  <c:v>179.4</c:v>
                </c:pt>
                <c:pt idx="4">
                  <c:v>179.4</c:v>
                </c:pt>
                <c:pt idx="5">
                  <c:v>179.4</c:v>
                </c:pt>
                <c:pt idx="6">
                  <c:v>192</c:v>
                </c:pt>
                <c:pt idx="7">
                  <c:v>14.49</c:v>
                </c:pt>
                <c:pt idx="8">
                  <c:v>18.3</c:v>
                </c:pt>
                <c:pt idx="9">
                  <c:v>22.13</c:v>
                </c:pt>
                <c:pt idx="10">
                  <c:v>2.0499999999999998</c:v>
                </c:pt>
                <c:pt idx="11">
                  <c:v>3.29</c:v>
                </c:pt>
                <c:pt idx="12">
                  <c:v>4.41</c:v>
                </c:pt>
                <c:pt idx="13">
                  <c:v>5.44</c:v>
                </c:pt>
                <c:pt idx="14">
                  <c:v>2.13</c:v>
                </c:pt>
                <c:pt idx="15">
                  <c:v>3.37</c:v>
                </c:pt>
                <c:pt idx="16">
                  <c:v>4.75</c:v>
                </c:pt>
                <c:pt idx="17">
                  <c:v>5.46</c:v>
                </c:pt>
                <c:pt idx="18">
                  <c:v>2.2400000000000002</c:v>
                </c:pt>
                <c:pt idx="19">
                  <c:v>3.71</c:v>
                </c:pt>
                <c:pt idx="20">
                  <c:v>4.88</c:v>
                </c:pt>
                <c:pt idx="21">
                  <c:v>5.99</c:v>
                </c:pt>
                <c:pt idx="22">
                  <c:v>2.5499999999999998</c:v>
                </c:pt>
                <c:pt idx="23">
                  <c:v>5.95</c:v>
                </c:pt>
                <c:pt idx="24">
                  <c:v>16.47</c:v>
                </c:pt>
                <c:pt idx="25">
                  <c:v>25.81</c:v>
                </c:pt>
                <c:pt idx="26">
                  <c:v>5.72</c:v>
                </c:pt>
                <c:pt idx="27">
                  <c:v>9.6</c:v>
                </c:pt>
                <c:pt idx="28">
                  <c:v>12.8</c:v>
                </c:pt>
                <c:pt idx="29">
                  <c:v>15.49</c:v>
                </c:pt>
                <c:pt idx="30">
                  <c:v>6.67</c:v>
                </c:pt>
                <c:pt idx="31">
                  <c:v>10.32</c:v>
                </c:pt>
                <c:pt idx="32">
                  <c:v>12.9</c:v>
                </c:pt>
                <c:pt idx="33">
                  <c:v>15.68</c:v>
                </c:pt>
                <c:pt idx="34">
                  <c:v>7.78</c:v>
                </c:pt>
                <c:pt idx="35">
                  <c:v>13.16</c:v>
                </c:pt>
                <c:pt idx="36">
                  <c:v>17.79</c:v>
                </c:pt>
                <c:pt idx="37">
                  <c:v>21.94</c:v>
                </c:pt>
                <c:pt idx="38">
                  <c:v>7.99</c:v>
                </c:pt>
                <c:pt idx="39">
                  <c:v>15.09</c:v>
                </c:pt>
                <c:pt idx="40">
                  <c:v>24.81</c:v>
                </c:pt>
                <c:pt idx="41">
                  <c:v>34.520000000000003</c:v>
                </c:pt>
                <c:pt idx="42">
                  <c:v>8.25</c:v>
                </c:pt>
                <c:pt idx="43">
                  <c:v>14.06</c:v>
                </c:pt>
                <c:pt idx="44">
                  <c:v>19.100000000000001</c:v>
                </c:pt>
                <c:pt idx="45">
                  <c:v>23.97</c:v>
                </c:pt>
                <c:pt idx="46">
                  <c:v>8.94</c:v>
                </c:pt>
                <c:pt idx="47">
                  <c:v>15.5</c:v>
                </c:pt>
                <c:pt idx="48">
                  <c:v>20.88</c:v>
                </c:pt>
                <c:pt idx="49">
                  <c:v>26</c:v>
                </c:pt>
                <c:pt idx="50">
                  <c:v>9.66</c:v>
                </c:pt>
                <c:pt idx="51">
                  <c:v>16.329999999999998</c:v>
                </c:pt>
                <c:pt idx="52">
                  <c:v>22.03</c:v>
                </c:pt>
                <c:pt idx="53">
                  <c:v>27.93</c:v>
                </c:pt>
                <c:pt idx="54">
                  <c:v>13.7</c:v>
                </c:pt>
                <c:pt idx="55">
                  <c:v>28.73</c:v>
                </c:pt>
                <c:pt idx="56">
                  <c:v>41.32</c:v>
                </c:pt>
                <c:pt idx="57">
                  <c:v>51.89</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45</c:v>
                </c:pt>
                <c:pt idx="73">
                  <c:v>45</c:v>
                </c:pt>
                <c:pt idx="74">
                  <c:v>90</c:v>
                </c:pt>
                <c:pt idx="75">
                  <c:v>200</c:v>
                </c:pt>
                <c:pt idx="76">
                  <c:v>100</c:v>
                </c:pt>
                <c:pt idx="77">
                  <c:v>280</c:v>
                </c:pt>
                <c:pt idx="78">
                  <c:v>300</c:v>
                </c:pt>
                <c:pt idx="79">
                  <c:v>430</c:v>
                </c:pt>
                <c:pt idx="80">
                  <c:v>460</c:v>
                </c:pt>
                <c:pt idx="81">
                  <c:v>500</c:v>
                </c:pt>
                <c:pt idx="82">
                  <c:v>474</c:v>
                </c:pt>
                <c:pt idx="83">
                  <c:v>0</c:v>
                </c:pt>
                <c:pt idx="84">
                  <c:v>0</c:v>
                </c:pt>
              </c:numCache>
            </c:numRef>
          </c:xVal>
          <c:yVal>
            <c:numRef>
              <c:f>Chlorine!$AR$22:$AR$321</c:f>
              <c:numCache>
                <c:formatCode>General</c:formatCode>
                <c:ptCount val="300"/>
                <c:pt idx="0">
                  <c:v>1.03</c:v>
                </c:pt>
                <c:pt idx="1">
                  <c:v>1.45</c:v>
                </c:pt>
                <c:pt idx="2">
                  <c:v>2.92</c:v>
                </c:pt>
                <c:pt idx="3">
                  <c:v>1.49</c:v>
                </c:pt>
                <c:pt idx="4">
                  <c:v>1.03</c:v>
                </c:pt>
                <c:pt idx="5">
                  <c:v>1.44</c:v>
                </c:pt>
                <c:pt idx="6">
                  <c:v>0.08</c:v>
                </c:pt>
                <c:pt idx="7">
                  <c:v>2</c:v>
                </c:pt>
                <c:pt idx="8">
                  <c:v>3</c:v>
                </c:pt>
                <c:pt idx="9">
                  <c:v>4</c:v>
                </c:pt>
                <c:pt idx="10">
                  <c:v>1</c:v>
                </c:pt>
                <c:pt idx="11">
                  <c:v>2</c:v>
                </c:pt>
                <c:pt idx="12">
                  <c:v>3</c:v>
                </c:pt>
                <c:pt idx="13">
                  <c:v>4</c:v>
                </c:pt>
                <c:pt idx="14">
                  <c:v>1</c:v>
                </c:pt>
                <c:pt idx="15">
                  <c:v>2</c:v>
                </c:pt>
                <c:pt idx="16">
                  <c:v>3</c:v>
                </c:pt>
                <c:pt idx="17">
                  <c:v>4</c:v>
                </c:pt>
                <c:pt idx="18">
                  <c:v>1</c:v>
                </c:pt>
                <c:pt idx="19">
                  <c:v>2</c:v>
                </c:pt>
                <c:pt idx="20">
                  <c:v>3</c:v>
                </c:pt>
                <c:pt idx="21">
                  <c:v>4</c:v>
                </c:pt>
                <c:pt idx="22">
                  <c:v>1</c:v>
                </c:pt>
                <c:pt idx="23">
                  <c:v>2</c:v>
                </c:pt>
                <c:pt idx="24">
                  <c:v>3</c:v>
                </c:pt>
                <c:pt idx="25">
                  <c:v>4</c:v>
                </c:pt>
                <c:pt idx="26">
                  <c:v>1</c:v>
                </c:pt>
                <c:pt idx="27">
                  <c:v>2</c:v>
                </c:pt>
                <c:pt idx="28">
                  <c:v>3</c:v>
                </c:pt>
                <c:pt idx="29">
                  <c:v>4</c:v>
                </c:pt>
                <c:pt idx="30">
                  <c:v>1</c:v>
                </c:pt>
                <c:pt idx="31">
                  <c:v>2</c:v>
                </c:pt>
                <c:pt idx="32">
                  <c:v>3</c:v>
                </c:pt>
                <c:pt idx="33">
                  <c:v>4</c:v>
                </c:pt>
                <c:pt idx="34">
                  <c:v>1</c:v>
                </c:pt>
                <c:pt idx="35">
                  <c:v>2</c:v>
                </c:pt>
                <c:pt idx="36">
                  <c:v>3</c:v>
                </c:pt>
                <c:pt idx="37">
                  <c:v>4</c:v>
                </c:pt>
                <c:pt idx="38">
                  <c:v>1</c:v>
                </c:pt>
                <c:pt idx="39">
                  <c:v>2</c:v>
                </c:pt>
                <c:pt idx="40">
                  <c:v>3</c:v>
                </c:pt>
                <c:pt idx="41">
                  <c:v>4</c:v>
                </c:pt>
                <c:pt idx="42">
                  <c:v>1</c:v>
                </c:pt>
                <c:pt idx="43">
                  <c:v>2</c:v>
                </c:pt>
                <c:pt idx="44">
                  <c:v>3</c:v>
                </c:pt>
                <c:pt idx="45">
                  <c:v>4</c:v>
                </c:pt>
                <c:pt idx="46">
                  <c:v>1</c:v>
                </c:pt>
                <c:pt idx="47">
                  <c:v>2</c:v>
                </c:pt>
                <c:pt idx="48">
                  <c:v>3</c:v>
                </c:pt>
                <c:pt idx="49">
                  <c:v>4</c:v>
                </c:pt>
                <c:pt idx="50">
                  <c:v>1</c:v>
                </c:pt>
                <c:pt idx="51">
                  <c:v>2</c:v>
                </c:pt>
                <c:pt idx="52">
                  <c:v>3</c:v>
                </c:pt>
                <c:pt idx="53">
                  <c:v>4</c:v>
                </c:pt>
                <c:pt idx="54">
                  <c:v>1</c:v>
                </c:pt>
                <c:pt idx="55">
                  <c:v>2</c:v>
                </c:pt>
                <c:pt idx="56">
                  <c:v>3</c:v>
                </c:pt>
                <c:pt idx="57">
                  <c:v>4</c:v>
                </c:pt>
                <c:pt idx="58">
                  <c:v>0.60205999132796229</c:v>
                </c:pt>
                <c:pt idx="59">
                  <c:v>0.81291335664285569</c:v>
                </c:pt>
                <c:pt idx="60">
                  <c:v>1.5185139398778875</c:v>
                </c:pt>
                <c:pt idx="61">
                  <c:v>0.51097952198062968</c:v>
                </c:pt>
                <c:pt idx="62">
                  <c:v>1.9208187539523753</c:v>
                </c:pt>
                <c:pt idx="63">
                  <c:v>1.2180557605992171</c:v>
                </c:pt>
                <c:pt idx="64">
                  <c:v>2.0791812460476251</c:v>
                </c:pt>
                <c:pt idx="65">
                  <c:v>1.4311083719246924</c:v>
                </c:pt>
                <c:pt idx="66">
                  <c:v>0.89354466908571317</c:v>
                </c:pt>
                <c:pt idx="67">
                  <c:v>-0.4242689473943867</c:v>
                </c:pt>
                <c:pt idx="68">
                  <c:v>0.92941892571429263</c:v>
                </c:pt>
                <c:pt idx="69">
                  <c:v>0.72699872793626241</c:v>
                </c:pt>
                <c:pt idx="70">
                  <c:v>0.74472749489669399</c:v>
                </c:pt>
                <c:pt idx="71">
                  <c:v>1.03</c:v>
                </c:pt>
                <c:pt idx="72">
                  <c:v>5.5</c:v>
                </c:pt>
                <c:pt idx="73">
                  <c:v>5.5</c:v>
                </c:pt>
                <c:pt idx="74">
                  <c:v>4.4000000000000004</c:v>
                </c:pt>
                <c:pt idx="75">
                  <c:v>5.5</c:v>
                </c:pt>
                <c:pt idx="76">
                  <c:v>6.2</c:v>
                </c:pt>
                <c:pt idx="77">
                  <c:v>5.5</c:v>
                </c:pt>
                <c:pt idx="78">
                  <c:v>6.1</c:v>
                </c:pt>
                <c:pt idx="79">
                  <c:v>5.5</c:v>
                </c:pt>
                <c:pt idx="80">
                  <c:v>6.5</c:v>
                </c:pt>
                <c:pt idx="81">
                  <c:v>6.1</c:v>
                </c:pt>
                <c:pt idx="82">
                  <c:v>3.8</c:v>
                </c:pt>
                <c:pt idx="83">
                  <c:v>0</c:v>
                </c:pt>
                <c:pt idx="84">
                  <c:v>0</c:v>
                </c:pt>
              </c:numCache>
            </c:numRef>
          </c:yVal>
          <c:smooth val="0"/>
          <c:extLst>
            <c:ext xmlns:c16="http://schemas.microsoft.com/office/drawing/2014/chart" uri="{C3380CC4-5D6E-409C-BE32-E72D297353CC}">
              <c16:uniqueId val="{00000001-32D3-4F4A-827A-7E6CAFF2D4DC}"/>
            </c:ext>
          </c:extLst>
        </c:ser>
        <c:dLbls>
          <c:showLegendKey val="0"/>
          <c:showVal val="0"/>
          <c:showCatName val="0"/>
          <c:showSerName val="0"/>
          <c:showPercent val="0"/>
          <c:showBubbleSize val="0"/>
        </c:dLbls>
        <c:axId val="103437599"/>
        <c:axId val="115940223"/>
      </c:scatterChart>
      <c:valAx>
        <c:axId val="10343759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a:t>CT (mg-min/L)</a:t>
                </a:r>
              </a:p>
            </c:rich>
          </c:tx>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15940223"/>
        <c:crosses val="autoZero"/>
        <c:crossBetween val="midCat"/>
      </c:valAx>
      <c:valAx>
        <c:axId val="11594022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a:t>LRC</a:t>
                </a:r>
                <a:r>
                  <a:rPr lang="en-US" baseline="0"/>
                  <a:t> &amp; LRV</a:t>
                </a:r>
                <a:endParaRPr lang="en-US"/>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03437599"/>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14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LRCs</c:v>
          </c:tx>
          <c:spPr>
            <a:ln w="25400" cap="rnd">
              <a:noFill/>
              <a:round/>
            </a:ln>
            <a:effectLst/>
          </c:spPr>
          <c:marker>
            <c:symbol val="square"/>
            <c:size val="6"/>
            <c:spPr>
              <a:solidFill>
                <a:schemeClr val="tx1"/>
              </a:solidFill>
              <a:ln w="9525">
                <a:solidFill>
                  <a:schemeClr val="tx1"/>
                </a:solidFill>
              </a:ln>
              <a:effectLst/>
            </c:spPr>
          </c:marker>
          <c:xVal>
            <c:numRef>
              <c:f>Chlorine!$AU$22:$AU$321</c:f>
              <c:numCache>
                <c:formatCode>General</c:formatCode>
                <c:ptCount val="300"/>
                <c:pt idx="0">
                  <c:v>0</c:v>
                </c:pt>
              </c:numCache>
            </c:numRef>
          </c:xVal>
          <c:yVal>
            <c:numRef>
              <c:f>Chlorine!$AV$22:$AV$321</c:f>
              <c:numCache>
                <c:formatCode>General</c:formatCode>
                <c:ptCount val="300"/>
                <c:pt idx="0">
                  <c:v>0</c:v>
                </c:pt>
              </c:numCache>
            </c:numRef>
          </c:yVal>
          <c:smooth val="0"/>
          <c:extLst>
            <c:ext xmlns:c16="http://schemas.microsoft.com/office/drawing/2014/chart" uri="{C3380CC4-5D6E-409C-BE32-E72D297353CC}">
              <c16:uniqueId val="{00000000-C879-47A1-9C53-442B8558193A}"/>
            </c:ext>
          </c:extLst>
        </c:ser>
        <c:ser>
          <c:idx val="1"/>
          <c:order val="1"/>
          <c:tx>
            <c:v>LRVs</c:v>
          </c:tx>
          <c:spPr>
            <a:ln w="25400" cap="rnd">
              <a:noFill/>
              <a:round/>
            </a:ln>
            <a:effectLst/>
          </c:spPr>
          <c:marker>
            <c:symbol val="diamond"/>
            <c:size val="5"/>
            <c:spPr>
              <a:solidFill>
                <a:srgbClr val="C00000"/>
              </a:solidFill>
              <a:ln w="9525">
                <a:noFill/>
              </a:ln>
              <a:effectLst/>
            </c:spPr>
          </c:marker>
          <c:xVal>
            <c:numRef>
              <c:f>Chlorine!$AY$22:$AY$321</c:f>
              <c:numCache>
                <c:formatCode>General</c:formatCode>
                <c:ptCount val="300"/>
                <c:pt idx="0">
                  <c:v>179.4</c:v>
                </c:pt>
                <c:pt idx="1">
                  <c:v>179.4</c:v>
                </c:pt>
              </c:numCache>
            </c:numRef>
          </c:xVal>
          <c:yVal>
            <c:numRef>
              <c:f>Chlorine!$AZ$22:$AZ$321</c:f>
              <c:numCache>
                <c:formatCode>General</c:formatCode>
                <c:ptCount val="300"/>
                <c:pt idx="0">
                  <c:v>0.65</c:v>
                </c:pt>
                <c:pt idx="1">
                  <c:v>0.41</c:v>
                </c:pt>
              </c:numCache>
            </c:numRef>
          </c:yVal>
          <c:smooth val="0"/>
          <c:extLst>
            <c:ext xmlns:c16="http://schemas.microsoft.com/office/drawing/2014/chart" uri="{C3380CC4-5D6E-409C-BE32-E72D297353CC}">
              <c16:uniqueId val="{00000001-C879-47A1-9C53-442B8558193A}"/>
            </c:ext>
          </c:extLst>
        </c:ser>
        <c:dLbls>
          <c:showLegendKey val="0"/>
          <c:showVal val="0"/>
          <c:showCatName val="0"/>
          <c:showSerName val="0"/>
          <c:showPercent val="0"/>
          <c:showBubbleSize val="0"/>
        </c:dLbls>
        <c:axId val="103437599"/>
        <c:axId val="115940223"/>
      </c:scatterChart>
      <c:valAx>
        <c:axId val="10343759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a:t>CT (mg-min/L)</a:t>
                </a:r>
              </a:p>
            </c:rich>
          </c:tx>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15940223"/>
        <c:crosses val="autoZero"/>
        <c:crossBetween val="midCat"/>
      </c:valAx>
      <c:valAx>
        <c:axId val="11594022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a:t>LRC=V</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03437599"/>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1400"/>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25400" cap="rnd">
              <a:noFill/>
              <a:round/>
            </a:ln>
            <a:effectLst/>
          </c:spPr>
          <c:marker>
            <c:symbol val="square"/>
            <c:size val="6"/>
            <c:spPr>
              <a:solidFill>
                <a:schemeClr val="tx1"/>
              </a:solidFill>
              <a:ln w="9525">
                <a:solidFill>
                  <a:schemeClr val="tx1"/>
                </a:solidFill>
              </a:ln>
              <a:effectLst/>
            </c:spPr>
          </c:marker>
          <c:xVal>
            <c:numRef>
              <c:f>Chlorine!$BD$22:$BD$321</c:f>
              <c:numCache>
                <c:formatCode>General</c:formatCode>
                <c:ptCount val="300"/>
                <c:pt idx="0">
                  <c:v>4</c:v>
                </c:pt>
                <c:pt idx="1">
                  <c:v>5</c:v>
                </c:pt>
                <c:pt idx="2">
                  <c:v>7</c:v>
                </c:pt>
                <c:pt idx="3">
                  <c:v>8</c:v>
                </c:pt>
                <c:pt idx="4">
                  <c:v>7</c:v>
                </c:pt>
                <c:pt idx="5">
                  <c:v>10</c:v>
                </c:pt>
                <c:pt idx="6">
                  <c:v>13</c:v>
                </c:pt>
                <c:pt idx="7">
                  <c:v>16</c:v>
                </c:pt>
                <c:pt idx="8">
                  <c:v>9</c:v>
                </c:pt>
                <c:pt idx="9">
                  <c:v>14</c:v>
                </c:pt>
                <c:pt idx="10">
                  <c:v>18</c:v>
                </c:pt>
                <c:pt idx="11">
                  <c:v>23</c:v>
                </c:pt>
                <c:pt idx="12">
                  <c:v>11</c:v>
                </c:pt>
                <c:pt idx="13">
                  <c:v>17</c:v>
                </c:pt>
                <c:pt idx="14">
                  <c:v>23</c:v>
                </c:pt>
                <c:pt idx="15">
                  <c:v>29</c:v>
                </c:pt>
                <c:pt idx="16">
                  <c:v>13</c:v>
                </c:pt>
                <c:pt idx="17">
                  <c:v>20</c:v>
                </c:pt>
                <c:pt idx="18">
                  <c:v>28</c:v>
                </c:pt>
                <c:pt idx="19">
                  <c:v>35</c:v>
                </c:pt>
                <c:pt idx="20">
                  <c:v>3</c:v>
                </c:pt>
                <c:pt idx="21">
                  <c:v>4</c:v>
                </c:pt>
                <c:pt idx="22">
                  <c:v>5</c:v>
                </c:pt>
                <c:pt idx="23">
                  <c:v>6</c:v>
                </c:pt>
                <c:pt idx="24">
                  <c:v>5</c:v>
                </c:pt>
                <c:pt idx="25">
                  <c:v>7</c:v>
                </c:pt>
                <c:pt idx="26">
                  <c:v>9</c:v>
                </c:pt>
                <c:pt idx="27">
                  <c:v>11</c:v>
                </c:pt>
                <c:pt idx="28">
                  <c:v>7</c:v>
                </c:pt>
                <c:pt idx="29">
                  <c:v>10</c:v>
                </c:pt>
                <c:pt idx="30">
                  <c:v>13</c:v>
                </c:pt>
                <c:pt idx="31">
                  <c:v>16</c:v>
                </c:pt>
                <c:pt idx="32">
                  <c:v>8</c:v>
                </c:pt>
                <c:pt idx="33">
                  <c:v>12</c:v>
                </c:pt>
                <c:pt idx="34">
                  <c:v>16</c:v>
                </c:pt>
                <c:pt idx="35">
                  <c:v>21</c:v>
                </c:pt>
                <c:pt idx="36">
                  <c:v>9</c:v>
                </c:pt>
                <c:pt idx="37">
                  <c:v>14</c:v>
                </c:pt>
                <c:pt idx="38">
                  <c:v>19</c:v>
                </c:pt>
                <c:pt idx="39">
                  <c:v>25</c:v>
                </c:pt>
                <c:pt idx="40">
                  <c:v>2</c:v>
                </c:pt>
                <c:pt idx="41">
                  <c:v>3</c:v>
                </c:pt>
                <c:pt idx="42">
                  <c:v>4</c:v>
                </c:pt>
                <c:pt idx="43">
                  <c:v>4</c:v>
                </c:pt>
                <c:pt idx="44">
                  <c:v>4</c:v>
                </c:pt>
                <c:pt idx="45">
                  <c:v>5</c:v>
                </c:pt>
                <c:pt idx="46">
                  <c:v>7</c:v>
                </c:pt>
                <c:pt idx="47">
                  <c:v>8</c:v>
                </c:pt>
                <c:pt idx="48">
                  <c:v>5</c:v>
                </c:pt>
                <c:pt idx="49">
                  <c:v>7</c:v>
                </c:pt>
                <c:pt idx="50">
                  <c:v>9</c:v>
                </c:pt>
                <c:pt idx="51">
                  <c:v>12</c:v>
                </c:pt>
                <c:pt idx="52">
                  <c:v>6</c:v>
                </c:pt>
                <c:pt idx="53">
                  <c:v>9</c:v>
                </c:pt>
                <c:pt idx="54">
                  <c:v>12</c:v>
                </c:pt>
                <c:pt idx="55">
                  <c:v>15</c:v>
                </c:pt>
                <c:pt idx="56">
                  <c:v>6</c:v>
                </c:pt>
                <c:pt idx="57">
                  <c:v>10</c:v>
                </c:pt>
                <c:pt idx="58">
                  <c:v>14</c:v>
                </c:pt>
                <c:pt idx="59">
                  <c:v>17</c:v>
                </c:pt>
                <c:pt idx="60">
                  <c:v>2</c:v>
                </c:pt>
                <c:pt idx="61">
                  <c:v>2</c:v>
                </c:pt>
                <c:pt idx="62">
                  <c:v>3</c:v>
                </c:pt>
                <c:pt idx="63">
                  <c:v>3</c:v>
                </c:pt>
                <c:pt idx="64">
                  <c:v>3</c:v>
                </c:pt>
                <c:pt idx="65">
                  <c:v>4</c:v>
                </c:pt>
                <c:pt idx="66">
                  <c:v>5</c:v>
                </c:pt>
                <c:pt idx="67">
                  <c:v>6</c:v>
                </c:pt>
                <c:pt idx="68">
                  <c:v>3</c:v>
                </c:pt>
                <c:pt idx="69">
                  <c:v>5</c:v>
                </c:pt>
                <c:pt idx="70">
                  <c:v>7</c:v>
                </c:pt>
                <c:pt idx="71">
                  <c:v>8</c:v>
                </c:pt>
                <c:pt idx="72">
                  <c:v>4</c:v>
                </c:pt>
                <c:pt idx="73">
                  <c:v>6</c:v>
                </c:pt>
                <c:pt idx="74">
                  <c:v>9</c:v>
                </c:pt>
                <c:pt idx="75">
                  <c:v>10</c:v>
                </c:pt>
                <c:pt idx="76">
                  <c:v>5</c:v>
                </c:pt>
                <c:pt idx="77">
                  <c:v>7</c:v>
                </c:pt>
                <c:pt idx="78">
                  <c:v>10</c:v>
                </c:pt>
                <c:pt idx="79">
                  <c:v>12</c:v>
                </c:pt>
                <c:pt idx="80">
                  <c:v>1</c:v>
                </c:pt>
                <c:pt idx="81">
                  <c:v>2</c:v>
                </c:pt>
                <c:pt idx="82">
                  <c:v>2</c:v>
                </c:pt>
                <c:pt idx="83">
                  <c:v>2</c:v>
                </c:pt>
                <c:pt idx="84">
                  <c:v>2</c:v>
                </c:pt>
                <c:pt idx="85">
                  <c:v>3</c:v>
                </c:pt>
                <c:pt idx="86">
                  <c:v>4</c:v>
                </c:pt>
                <c:pt idx="87">
                  <c:v>4</c:v>
                </c:pt>
                <c:pt idx="88">
                  <c:v>3</c:v>
                </c:pt>
                <c:pt idx="89">
                  <c:v>4</c:v>
                </c:pt>
                <c:pt idx="90">
                  <c:v>5</c:v>
                </c:pt>
                <c:pt idx="91">
                  <c:v>6</c:v>
                </c:pt>
                <c:pt idx="92">
                  <c:v>3</c:v>
                </c:pt>
                <c:pt idx="93">
                  <c:v>5</c:v>
                </c:pt>
                <c:pt idx="94">
                  <c:v>6</c:v>
                </c:pt>
                <c:pt idx="95">
                  <c:v>8</c:v>
                </c:pt>
                <c:pt idx="96">
                  <c:v>3</c:v>
                </c:pt>
                <c:pt idx="97">
                  <c:v>5</c:v>
                </c:pt>
                <c:pt idx="98">
                  <c:v>7</c:v>
                </c:pt>
                <c:pt idx="99">
                  <c:v>9</c:v>
                </c:pt>
                <c:pt idx="100">
                  <c:v>4</c:v>
                </c:pt>
                <c:pt idx="101">
                  <c:v>5</c:v>
                </c:pt>
                <c:pt idx="102">
                  <c:v>7</c:v>
                </c:pt>
                <c:pt idx="103">
                  <c:v>9</c:v>
                </c:pt>
                <c:pt idx="104">
                  <c:v>7</c:v>
                </c:pt>
                <c:pt idx="105">
                  <c:v>10</c:v>
                </c:pt>
                <c:pt idx="106">
                  <c:v>13</c:v>
                </c:pt>
                <c:pt idx="107">
                  <c:v>16</c:v>
                </c:pt>
                <c:pt idx="108">
                  <c:v>10</c:v>
                </c:pt>
                <c:pt idx="109">
                  <c:v>15</c:v>
                </c:pt>
                <c:pt idx="110">
                  <c:v>19</c:v>
                </c:pt>
                <c:pt idx="111">
                  <c:v>23</c:v>
                </c:pt>
                <c:pt idx="112">
                  <c:v>12</c:v>
                </c:pt>
                <c:pt idx="113">
                  <c:v>19</c:v>
                </c:pt>
                <c:pt idx="114">
                  <c:v>25</c:v>
                </c:pt>
                <c:pt idx="115">
                  <c:v>31</c:v>
                </c:pt>
                <c:pt idx="116">
                  <c:v>14</c:v>
                </c:pt>
                <c:pt idx="117">
                  <c:v>22</c:v>
                </c:pt>
                <c:pt idx="118">
                  <c:v>30</c:v>
                </c:pt>
                <c:pt idx="119">
                  <c:v>38</c:v>
                </c:pt>
                <c:pt idx="120">
                  <c:v>3</c:v>
                </c:pt>
                <c:pt idx="121">
                  <c:v>4</c:v>
                </c:pt>
                <c:pt idx="122">
                  <c:v>5</c:v>
                </c:pt>
                <c:pt idx="123">
                  <c:v>6</c:v>
                </c:pt>
                <c:pt idx="124">
                  <c:v>5</c:v>
                </c:pt>
                <c:pt idx="125">
                  <c:v>7</c:v>
                </c:pt>
                <c:pt idx="126">
                  <c:v>9</c:v>
                </c:pt>
                <c:pt idx="127">
                  <c:v>11</c:v>
                </c:pt>
                <c:pt idx="128">
                  <c:v>7</c:v>
                </c:pt>
                <c:pt idx="129">
                  <c:v>10</c:v>
                </c:pt>
                <c:pt idx="130">
                  <c:v>13</c:v>
                </c:pt>
                <c:pt idx="131">
                  <c:v>16</c:v>
                </c:pt>
                <c:pt idx="132">
                  <c:v>9</c:v>
                </c:pt>
                <c:pt idx="133">
                  <c:v>13</c:v>
                </c:pt>
                <c:pt idx="134">
                  <c:v>17</c:v>
                </c:pt>
                <c:pt idx="135">
                  <c:v>22</c:v>
                </c:pt>
                <c:pt idx="136">
                  <c:v>10</c:v>
                </c:pt>
                <c:pt idx="137">
                  <c:v>16</c:v>
                </c:pt>
                <c:pt idx="138">
                  <c:v>21</c:v>
                </c:pt>
                <c:pt idx="139">
                  <c:v>27</c:v>
                </c:pt>
                <c:pt idx="140">
                  <c:v>2</c:v>
                </c:pt>
                <c:pt idx="141">
                  <c:v>3</c:v>
                </c:pt>
                <c:pt idx="142">
                  <c:v>4</c:v>
                </c:pt>
                <c:pt idx="143">
                  <c:v>4</c:v>
                </c:pt>
                <c:pt idx="144">
                  <c:v>4</c:v>
                </c:pt>
                <c:pt idx="145">
                  <c:v>5</c:v>
                </c:pt>
                <c:pt idx="146">
                  <c:v>7</c:v>
                </c:pt>
                <c:pt idx="147">
                  <c:v>8</c:v>
                </c:pt>
                <c:pt idx="148">
                  <c:v>5</c:v>
                </c:pt>
                <c:pt idx="149">
                  <c:v>7</c:v>
                </c:pt>
                <c:pt idx="150">
                  <c:v>10</c:v>
                </c:pt>
                <c:pt idx="151">
                  <c:v>12</c:v>
                </c:pt>
                <c:pt idx="152">
                  <c:v>6</c:v>
                </c:pt>
                <c:pt idx="153">
                  <c:v>9</c:v>
                </c:pt>
                <c:pt idx="154">
                  <c:v>13</c:v>
                </c:pt>
                <c:pt idx="155">
                  <c:v>16</c:v>
                </c:pt>
                <c:pt idx="156">
                  <c:v>7</c:v>
                </c:pt>
                <c:pt idx="157">
                  <c:v>11</c:v>
                </c:pt>
                <c:pt idx="158">
                  <c:v>15</c:v>
                </c:pt>
                <c:pt idx="159">
                  <c:v>19</c:v>
                </c:pt>
                <c:pt idx="160">
                  <c:v>2</c:v>
                </c:pt>
                <c:pt idx="161">
                  <c:v>2</c:v>
                </c:pt>
                <c:pt idx="162">
                  <c:v>3</c:v>
                </c:pt>
                <c:pt idx="163">
                  <c:v>3</c:v>
                </c:pt>
                <c:pt idx="164">
                  <c:v>3</c:v>
                </c:pt>
                <c:pt idx="165">
                  <c:v>4</c:v>
                </c:pt>
                <c:pt idx="166">
                  <c:v>5</c:v>
                </c:pt>
                <c:pt idx="167">
                  <c:v>6</c:v>
                </c:pt>
                <c:pt idx="168">
                  <c:v>4</c:v>
                </c:pt>
                <c:pt idx="169">
                  <c:v>5</c:v>
                </c:pt>
                <c:pt idx="170">
                  <c:v>7</c:v>
                </c:pt>
                <c:pt idx="171">
                  <c:v>8</c:v>
                </c:pt>
                <c:pt idx="172">
                  <c:v>5</c:v>
                </c:pt>
                <c:pt idx="173">
                  <c:v>7</c:v>
                </c:pt>
                <c:pt idx="174">
                  <c:v>9</c:v>
                </c:pt>
                <c:pt idx="175">
                  <c:v>11</c:v>
                </c:pt>
                <c:pt idx="176">
                  <c:v>5</c:v>
                </c:pt>
                <c:pt idx="177">
                  <c:v>8</c:v>
                </c:pt>
                <c:pt idx="178">
                  <c:v>11</c:v>
                </c:pt>
                <c:pt idx="179">
                  <c:v>13</c:v>
                </c:pt>
                <c:pt idx="180">
                  <c:v>1</c:v>
                </c:pt>
                <c:pt idx="181">
                  <c:v>2</c:v>
                </c:pt>
                <c:pt idx="182">
                  <c:v>2</c:v>
                </c:pt>
                <c:pt idx="183">
                  <c:v>2</c:v>
                </c:pt>
                <c:pt idx="184">
                  <c:v>2</c:v>
                </c:pt>
                <c:pt idx="185">
                  <c:v>3</c:v>
                </c:pt>
                <c:pt idx="186">
                  <c:v>4</c:v>
                </c:pt>
                <c:pt idx="187">
                  <c:v>4</c:v>
                </c:pt>
                <c:pt idx="188">
                  <c:v>3</c:v>
                </c:pt>
                <c:pt idx="189">
                  <c:v>4</c:v>
                </c:pt>
                <c:pt idx="190">
                  <c:v>5</c:v>
                </c:pt>
                <c:pt idx="191">
                  <c:v>6</c:v>
                </c:pt>
                <c:pt idx="192">
                  <c:v>4</c:v>
                </c:pt>
                <c:pt idx="193">
                  <c:v>5</c:v>
                </c:pt>
                <c:pt idx="194">
                  <c:v>7</c:v>
                </c:pt>
                <c:pt idx="195">
                  <c:v>8</c:v>
                </c:pt>
                <c:pt idx="196">
                  <c:v>4</c:v>
                </c:pt>
                <c:pt idx="197">
                  <c:v>6</c:v>
                </c:pt>
                <c:pt idx="198">
                  <c:v>8</c:v>
                </c:pt>
                <c:pt idx="199">
                  <c:v>10</c:v>
                </c:pt>
                <c:pt idx="200">
                  <c:v>4</c:v>
                </c:pt>
                <c:pt idx="201">
                  <c:v>6</c:v>
                </c:pt>
                <c:pt idx="202">
                  <c:v>7</c:v>
                </c:pt>
                <c:pt idx="203">
                  <c:v>9</c:v>
                </c:pt>
                <c:pt idx="204">
                  <c:v>8</c:v>
                </c:pt>
                <c:pt idx="205">
                  <c:v>13</c:v>
                </c:pt>
                <c:pt idx="206">
                  <c:v>16</c:v>
                </c:pt>
                <c:pt idx="207">
                  <c:v>21</c:v>
                </c:pt>
                <c:pt idx="208">
                  <c:v>12</c:v>
                </c:pt>
                <c:pt idx="209">
                  <c:v>19</c:v>
                </c:pt>
                <c:pt idx="210">
                  <c:v>25</c:v>
                </c:pt>
                <c:pt idx="211">
                  <c:v>32</c:v>
                </c:pt>
                <c:pt idx="212">
                  <c:v>14</c:v>
                </c:pt>
                <c:pt idx="213">
                  <c:v>21</c:v>
                </c:pt>
                <c:pt idx="214">
                  <c:v>29</c:v>
                </c:pt>
                <c:pt idx="215">
                  <c:v>37</c:v>
                </c:pt>
                <c:pt idx="216">
                  <c:v>15</c:v>
                </c:pt>
                <c:pt idx="217">
                  <c:v>23</c:v>
                </c:pt>
                <c:pt idx="218">
                  <c:v>32</c:v>
                </c:pt>
                <c:pt idx="219">
                  <c:v>41</c:v>
                </c:pt>
                <c:pt idx="220">
                  <c:v>3</c:v>
                </c:pt>
                <c:pt idx="221">
                  <c:v>4</c:v>
                </c:pt>
                <c:pt idx="222">
                  <c:v>5</c:v>
                </c:pt>
                <c:pt idx="223">
                  <c:v>7</c:v>
                </c:pt>
                <c:pt idx="224">
                  <c:v>6</c:v>
                </c:pt>
                <c:pt idx="225">
                  <c:v>9</c:v>
                </c:pt>
                <c:pt idx="226">
                  <c:v>12</c:v>
                </c:pt>
                <c:pt idx="227">
                  <c:v>15</c:v>
                </c:pt>
                <c:pt idx="228">
                  <c:v>9</c:v>
                </c:pt>
                <c:pt idx="229">
                  <c:v>13</c:v>
                </c:pt>
                <c:pt idx="230">
                  <c:v>18</c:v>
                </c:pt>
                <c:pt idx="231">
                  <c:v>23</c:v>
                </c:pt>
                <c:pt idx="232">
                  <c:v>10</c:v>
                </c:pt>
                <c:pt idx="233">
                  <c:v>15</c:v>
                </c:pt>
                <c:pt idx="234">
                  <c:v>21</c:v>
                </c:pt>
                <c:pt idx="235">
                  <c:v>26</c:v>
                </c:pt>
                <c:pt idx="236">
                  <c:v>10</c:v>
                </c:pt>
                <c:pt idx="237">
                  <c:v>16</c:v>
                </c:pt>
                <c:pt idx="238">
                  <c:v>23</c:v>
                </c:pt>
                <c:pt idx="239">
                  <c:v>29</c:v>
                </c:pt>
                <c:pt idx="240">
                  <c:v>2</c:v>
                </c:pt>
                <c:pt idx="241">
                  <c:v>3</c:v>
                </c:pt>
                <c:pt idx="242">
                  <c:v>4</c:v>
                </c:pt>
                <c:pt idx="243">
                  <c:v>5</c:v>
                </c:pt>
                <c:pt idx="244">
                  <c:v>4</c:v>
                </c:pt>
                <c:pt idx="245">
                  <c:v>6</c:v>
                </c:pt>
                <c:pt idx="246">
                  <c:v>9</c:v>
                </c:pt>
                <c:pt idx="247">
                  <c:v>11</c:v>
                </c:pt>
                <c:pt idx="248">
                  <c:v>6</c:v>
                </c:pt>
                <c:pt idx="249">
                  <c:v>9</c:v>
                </c:pt>
                <c:pt idx="250">
                  <c:v>13</c:v>
                </c:pt>
                <c:pt idx="251">
                  <c:v>16</c:v>
                </c:pt>
                <c:pt idx="252">
                  <c:v>7</c:v>
                </c:pt>
                <c:pt idx="253">
                  <c:v>11</c:v>
                </c:pt>
                <c:pt idx="254">
                  <c:v>15</c:v>
                </c:pt>
                <c:pt idx="255">
                  <c:v>18</c:v>
                </c:pt>
                <c:pt idx="256">
                  <c:v>7</c:v>
                </c:pt>
                <c:pt idx="257">
                  <c:v>12</c:v>
                </c:pt>
                <c:pt idx="258">
                  <c:v>16</c:v>
                </c:pt>
                <c:pt idx="259">
                  <c:v>20</c:v>
                </c:pt>
                <c:pt idx="260">
                  <c:v>2</c:v>
                </c:pt>
                <c:pt idx="261">
                  <c:v>2</c:v>
                </c:pt>
                <c:pt idx="262">
                  <c:v>3</c:v>
                </c:pt>
                <c:pt idx="263">
                  <c:v>3</c:v>
                </c:pt>
                <c:pt idx="264">
                  <c:v>3</c:v>
                </c:pt>
                <c:pt idx="265">
                  <c:v>5</c:v>
                </c:pt>
                <c:pt idx="266">
                  <c:v>6</c:v>
                </c:pt>
                <c:pt idx="267">
                  <c:v>7</c:v>
                </c:pt>
                <c:pt idx="268">
                  <c:v>4</c:v>
                </c:pt>
                <c:pt idx="269">
                  <c:v>7</c:v>
                </c:pt>
                <c:pt idx="270">
                  <c:v>9</c:v>
                </c:pt>
                <c:pt idx="271">
                  <c:v>11</c:v>
                </c:pt>
                <c:pt idx="272">
                  <c:v>5</c:v>
                </c:pt>
                <c:pt idx="273">
                  <c:v>8</c:v>
                </c:pt>
                <c:pt idx="274">
                  <c:v>10</c:v>
                </c:pt>
                <c:pt idx="275">
                  <c:v>13</c:v>
                </c:pt>
                <c:pt idx="276">
                  <c:v>5</c:v>
                </c:pt>
                <c:pt idx="277">
                  <c:v>8</c:v>
                </c:pt>
                <c:pt idx="278">
                  <c:v>11</c:v>
                </c:pt>
                <c:pt idx="279">
                  <c:v>14</c:v>
                </c:pt>
                <c:pt idx="280">
                  <c:v>1</c:v>
                </c:pt>
                <c:pt idx="281">
                  <c:v>2</c:v>
                </c:pt>
                <c:pt idx="282">
                  <c:v>2</c:v>
                </c:pt>
                <c:pt idx="283">
                  <c:v>3</c:v>
                </c:pt>
                <c:pt idx="284">
                  <c:v>2</c:v>
                </c:pt>
                <c:pt idx="285">
                  <c:v>4</c:v>
                </c:pt>
                <c:pt idx="286">
                  <c:v>5</c:v>
                </c:pt>
                <c:pt idx="287">
                  <c:v>6</c:v>
                </c:pt>
                <c:pt idx="288">
                  <c:v>3</c:v>
                </c:pt>
                <c:pt idx="289">
                  <c:v>5</c:v>
                </c:pt>
                <c:pt idx="290">
                  <c:v>7</c:v>
                </c:pt>
                <c:pt idx="291">
                  <c:v>8</c:v>
                </c:pt>
                <c:pt idx="292">
                  <c:v>4</c:v>
                </c:pt>
                <c:pt idx="293">
                  <c:v>6</c:v>
                </c:pt>
                <c:pt idx="294">
                  <c:v>8</c:v>
                </c:pt>
                <c:pt idx="295">
                  <c:v>9</c:v>
                </c:pt>
                <c:pt idx="296">
                  <c:v>4</c:v>
                </c:pt>
                <c:pt idx="297">
                  <c:v>6</c:v>
                </c:pt>
                <c:pt idx="298">
                  <c:v>8</c:v>
                </c:pt>
                <c:pt idx="299">
                  <c:v>10</c:v>
                </c:pt>
              </c:numCache>
            </c:numRef>
          </c:xVal>
          <c:yVal>
            <c:numRef>
              <c:f>Chlorine!$BE$22:$BE$321</c:f>
              <c:numCache>
                <c:formatCode>General</c:formatCode>
                <c:ptCount val="300"/>
                <c:pt idx="0">
                  <c:v>1</c:v>
                </c:pt>
                <c:pt idx="1">
                  <c:v>2</c:v>
                </c:pt>
                <c:pt idx="2">
                  <c:v>3</c:v>
                </c:pt>
                <c:pt idx="3">
                  <c:v>4</c:v>
                </c:pt>
                <c:pt idx="4">
                  <c:v>1</c:v>
                </c:pt>
                <c:pt idx="5">
                  <c:v>2</c:v>
                </c:pt>
                <c:pt idx="6">
                  <c:v>3</c:v>
                </c:pt>
                <c:pt idx="7">
                  <c:v>4</c:v>
                </c:pt>
                <c:pt idx="8">
                  <c:v>1</c:v>
                </c:pt>
                <c:pt idx="9">
                  <c:v>2</c:v>
                </c:pt>
                <c:pt idx="10">
                  <c:v>3</c:v>
                </c:pt>
                <c:pt idx="11">
                  <c:v>4</c:v>
                </c:pt>
                <c:pt idx="12">
                  <c:v>1</c:v>
                </c:pt>
                <c:pt idx="13">
                  <c:v>2</c:v>
                </c:pt>
                <c:pt idx="14">
                  <c:v>3</c:v>
                </c:pt>
                <c:pt idx="15">
                  <c:v>4</c:v>
                </c:pt>
                <c:pt idx="16">
                  <c:v>1</c:v>
                </c:pt>
                <c:pt idx="17">
                  <c:v>2</c:v>
                </c:pt>
                <c:pt idx="18">
                  <c:v>3</c:v>
                </c:pt>
                <c:pt idx="19">
                  <c:v>4</c:v>
                </c:pt>
                <c:pt idx="20">
                  <c:v>1</c:v>
                </c:pt>
                <c:pt idx="21">
                  <c:v>2</c:v>
                </c:pt>
                <c:pt idx="22">
                  <c:v>3</c:v>
                </c:pt>
                <c:pt idx="23">
                  <c:v>4</c:v>
                </c:pt>
                <c:pt idx="24">
                  <c:v>1</c:v>
                </c:pt>
                <c:pt idx="25">
                  <c:v>2</c:v>
                </c:pt>
                <c:pt idx="26">
                  <c:v>3</c:v>
                </c:pt>
                <c:pt idx="27">
                  <c:v>4</c:v>
                </c:pt>
                <c:pt idx="28">
                  <c:v>1</c:v>
                </c:pt>
                <c:pt idx="29">
                  <c:v>2</c:v>
                </c:pt>
                <c:pt idx="30">
                  <c:v>3</c:v>
                </c:pt>
                <c:pt idx="31">
                  <c:v>4</c:v>
                </c:pt>
                <c:pt idx="32">
                  <c:v>1</c:v>
                </c:pt>
                <c:pt idx="33">
                  <c:v>2</c:v>
                </c:pt>
                <c:pt idx="34">
                  <c:v>3</c:v>
                </c:pt>
                <c:pt idx="35">
                  <c:v>4</c:v>
                </c:pt>
                <c:pt idx="36">
                  <c:v>1</c:v>
                </c:pt>
                <c:pt idx="37">
                  <c:v>2</c:v>
                </c:pt>
                <c:pt idx="38">
                  <c:v>3</c:v>
                </c:pt>
                <c:pt idx="39">
                  <c:v>4</c:v>
                </c:pt>
                <c:pt idx="40">
                  <c:v>1</c:v>
                </c:pt>
                <c:pt idx="41">
                  <c:v>2</c:v>
                </c:pt>
                <c:pt idx="42">
                  <c:v>3</c:v>
                </c:pt>
                <c:pt idx="43">
                  <c:v>4</c:v>
                </c:pt>
                <c:pt idx="44">
                  <c:v>1</c:v>
                </c:pt>
                <c:pt idx="45">
                  <c:v>2</c:v>
                </c:pt>
                <c:pt idx="46">
                  <c:v>3</c:v>
                </c:pt>
                <c:pt idx="47">
                  <c:v>4</c:v>
                </c:pt>
                <c:pt idx="48">
                  <c:v>1</c:v>
                </c:pt>
                <c:pt idx="49">
                  <c:v>2</c:v>
                </c:pt>
                <c:pt idx="50">
                  <c:v>3</c:v>
                </c:pt>
                <c:pt idx="51">
                  <c:v>4</c:v>
                </c:pt>
                <c:pt idx="52">
                  <c:v>1</c:v>
                </c:pt>
                <c:pt idx="53">
                  <c:v>2</c:v>
                </c:pt>
                <c:pt idx="54">
                  <c:v>3</c:v>
                </c:pt>
                <c:pt idx="55">
                  <c:v>4</c:v>
                </c:pt>
                <c:pt idx="56">
                  <c:v>1</c:v>
                </c:pt>
                <c:pt idx="57">
                  <c:v>2</c:v>
                </c:pt>
                <c:pt idx="58">
                  <c:v>3</c:v>
                </c:pt>
                <c:pt idx="59">
                  <c:v>4</c:v>
                </c:pt>
                <c:pt idx="60">
                  <c:v>1</c:v>
                </c:pt>
                <c:pt idx="61">
                  <c:v>2</c:v>
                </c:pt>
                <c:pt idx="62">
                  <c:v>3</c:v>
                </c:pt>
                <c:pt idx="63">
                  <c:v>4</c:v>
                </c:pt>
                <c:pt idx="64">
                  <c:v>1</c:v>
                </c:pt>
                <c:pt idx="65">
                  <c:v>2</c:v>
                </c:pt>
                <c:pt idx="66">
                  <c:v>3</c:v>
                </c:pt>
                <c:pt idx="67">
                  <c:v>4</c:v>
                </c:pt>
                <c:pt idx="68">
                  <c:v>1</c:v>
                </c:pt>
                <c:pt idx="69">
                  <c:v>2</c:v>
                </c:pt>
                <c:pt idx="70">
                  <c:v>3</c:v>
                </c:pt>
                <c:pt idx="71">
                  <c:v>4</c:v>
                </c:pt>
                <c:pt idx="72">
                  <c:v>1</c:v>
                </c:pt>
                <c:pt idx="73">
                  <c:v>2</c:v>
                </c:pt>
                <c:pt idx="74">
                  <c:v>3</c:v>
                </c:pt>
                <c:pt idx="75">
                  <c:v>4</c:v>
                </c:pt>
                <c:pt idx="76">
                  <c:v>1</c:v>
                </c:pt>
                <c:pt idx="77">
                  <c:v>2</c:v>
                </c:pt>
                <c:pt idx="78">
                  <c:v>3</c:v>
                </c:pt>
                <c:pt idx="79">
                  <c:v>4</c:v>
                </c:pt>
                <c:pt idx="80">
                  <c:v>1</c:v>
                </c:pt>
                <c:pt idx="81">
                  <c:v>2</c:v>
                </c:pt>
                <c:pt idx="82">
                  <c:v>3</c:v>
                </c:pt>
                <c:pt idx="83">
                  <c:v>4</c:v>
                </c:pt>
                <c:pt idx="84">
                  <c:v>1</c:v>
                </c:pt>
                <c:pt idx="85">
                  <c:v>2</c:v>
                </c:pt>
                <c:pt idx="86">
                  <c:v>3</c:v>
                </c:pt>
                <c:pt idx="87">
                  <c:v>4</c:v>
                </c:pt>
                <c:pt idx="88">
                  <c:v>1</c:v>
                </c:pt>
                <c:pt idx="89">
                  <c:v>2</c:v>
                </c:pt>
                <c:pt idx="90">
                  <c:v>3</c:v>
                </c:pt>
                <c:pt idx="91">
                  <c:v>4</c:v>
                </c:pt>
                <c:pt idx="92">
                  <c:v>1</c:v>
                </c:pt>
                <c:pt idx="93">
                  <c:v>2</c:v>
                </c:pt>
                <c:pt idx="94">
                  <c:v>3</c:v>
                </c:pt>
                <c:pt idx="95">
                  <c:v>4</c:v>
                </c:pt>
                <c:pt idx="96">
                  <c:v>1</c:v>
                </c:pt>
                <c:pt idx="97">
                  <c:v>2</c:v>
                </c:pt>
                <c:pt idx="98">
                  <c:v>3</c:v>
                </c:pt>
                <c:pt idx="99">
                  <c:v>4</c:v>
                </c:pt>
                <c:pt idx="100">
                  <c:v>1</c:v>
                </c:pt>
                <c:pt idx="101">
                  <c:v>2</c:v>
                </c:pt>
                <c:pt idx="102">
                  <c:v>3</c:v>
                </c:pt>
                <c:pt idx="103">
                  <c:v>4</c:v>
                </c:pt>
                <c:pt idx="104">
                  <c:v>1</c:v>
                </c:pt>
                <c:pt idx="105">
                  <c:v>2</c:v>
                </c:pt>
                <c:pt idx="106">
                  <c:v>3</c:v>
                </c:pt>
                <c:pt idx="107">
                  <c:v>4</c:v>
                </c:pt>
                <c:pt idx="108">
                  <c:v>1</c:v>
                </c:pt>
                <c:pt idx="109">
                  <c:v>2</c:v>
                </c:pt>
                <c:pt idx="110">
                  <c:v>3</c:v>
                </c:pt>
                <c:pt idx="111">
                  <c:v>4</c:v>
                </c:pt>
                <c:pt idx="112">
                  <c:v>1</c:v>
                </c:pt>
                <c:pt idx="113">
                  <c:v>2</c:v>
                </c:pt>
                <c:pt idx="114">
                  <c:v>3</c:v>
                </c:pt>
                <c:pt idx="115">
                  <c:v>4</c:v>
                </c:pt>
                <c:pt idx="116">
                  <c:v>1</c:v>
                </c:pt>
                <c:pt idx="117">
                  <c:v>2</c:v>
                </c:pt>
                <c:pt idx="118">
                  <c:v>3</c:v>
                </c:pt>
                <c:pt idx="119">
                  <c:v>4</c:v>
                </c:pt>
                <c:pt idx="120">
                  <c:v>1</c:v>
                </c:pt>
                <c:pt idx="121">
                  <c:v>2</c:v>
                </c:pt>
                <c:pt idx="122">
                  <c:v>3</c:v>
                </c:pt>
                <c:pt idx="123">
                  <c:v>4</c:v>
                </c:pt>
                <c:pt idx="124">
                  <c:v>1</c:v>
                </c:pt>
                <c:pt idx="125">
                  <c:v>2</c:v>
                </c:pt>
                <c:pt idx="126">
                  <c:v>3</c:v>
                </c:pt>
                <c:pt idx="127">
                  <c:v>4</c:v>
                </c:pt>
                <c:pt idx="128">
                  <c:v>1</c:v>
                </c:pt>
                <c:pt idx="129">
                  <c:v>2</c:v>
                </c:pt>
                <c:pt idx="130">
                  <c:v>3</c:v>
                </c:pt>
                <c:pt idx="131">
                  <c:v>4</c:v>
                </c:pt>
                <c:pt idx="132">
                  <c:v>1</c:v>
                </c:pt>
                <c:pt idx="133">
                  <c:v>2</c:v>
                </c:pt>
                <c:pt idx="134">
                  <c:v>3</c:v>
                </c:pt>
                <c:pt idx="135">
                  <c:v>4</c:v>
                </c:pt>
                <c:pt idx="136">
                  <c:v>1</c:v>
                </c:pt>
                <c:pt idx="137">
                  <c:v>2</c:v>
                </c:pt>
                <c:pt idx="138">
                  <c:v>3</c:v>
                </c:pt>
                <c:pt idx="139">
                  <c:v>4</c:v>
                </c:pt>
                <c:pt idx="140">
                  <c:v>1</c:v>
                </c:pt>
                <c:pt idx="141">
                  <c:v>2</c:v>
                </c:pt>
                <c:pt idx="142">
                  <c:v>3</c:v>
                </c:pt>
                <c:pt idx="143">
                  <c:v>4</c:v>
                </c:pt>
                <c:pt idx="144">
                  <c:v>1</c:v>
                </c:pt>
                <c:pt idx="145">
                  <c:v>2</c:v>
                </c:pt>
                <c:pt idx="146">
                  <c:v>3</c:v>
                </c:pt>
                <c:pt idx="147">
                  <c:v>4</c:v>
                </c:pt>
                <c:pt idx="148">
                  <c:v>1</c:v>
                </c:pt>
                <c:pt idx="149">
                  <c:v>2</c:v>
                </c:pt>
                <c:pt idx="150">
                  <c:v>3</c:v>
                </c:pt>
                <c:pt idx="151">
                  <c:v>4</c:v>
                </c:pt>
                <c:pt idx="152">
                  <c:v>1</c:v>
                </c:pt>
                <c:pt idx="153">
                  <c:v>2</c:v>
                </c:pt>
                <c:pt idx="154">
                  <c:v>3</c:v>
                </c:pt>
                <c:pt idx="155">
                  <c:v>4</c:v>
                </c:pt>
                <c:pt idx="156">
                  <c:v>1</c:v>
                </c:pt>
                <c:pt idx="157">
                  <c:v>2</c:v>
                </c:pt>
                <c:pt idx="158">
                  <c:v>3</c:v>
                </c:pt>
                <c:pt idx="159">
                  <c:v>4</c:v>
                </c:pt>
                <c:pt idx="160">
                  <c:v>1</c:v>
                </c:pt>
                <c:pt idx="161">
                  <c:v>2</c:v>
                </c:pt>
                <c:pt idx="162">
                  <c:v>3</c:v>
                </c:pt>
                <c:pt idx="163">
                  <c:v>4</c:v>
                </c:pt>
                <c:pt idx="164">
                  <c:v>1</c:v>
                </c:pt>
                <c:pt idx="165">
                  <c:v>2</c:v>
                </c:pt>
                <c:pt idx="166">
                  <c:v>3</c:v>
                </c:pt>
                <c:pt idx="167">
                  <c:v>4</c:v>
                </c:pt>
                <c:pt idx="168">
                  <c:v>1</c:v>
                </c:pt>
                <c:pt idx="169">
                  <c:v>2</c:v>
                </c:pt>
                <c:pt idx="170">
                  <c:v>3</c:v>
                </c:pt>
                <c:pt idx="171">
                  <c:v>4</c:v>
                </c:pt>
                <c:pt idx="172">
                  <c:v>1</c:v>
                </c:pt>
                <c:pt idx="173">
                  <c:v>2</c:v>
                </c:pt>
                <c:pt idx="174">
                  <c:v>3</c:v>
                </c:pt>
                <c:pt idx="175">
                  <c:v>4</c:v>
                </c:pt>
                <c:pt idx="176">
                  <c:v>1</c:v>
                </c:pt>
                <c:pt idx="177">
                  <c:v>2</c:v>
                </c:pt>
                <c:pt idx="178">
                  <c:v>3</c:v>
                </c:pt>
                <c:pt idx="179">
                  <c:v>4</c:v>
                </c:pt>
                <c:pt idx="180">
                  <c:v>1</c:v>
                </c:pt>
                <c:pt idx="181">
                  <c:v>2</c:v>
                </c:pt>
                <c:pt idx="182">
                  <c:v>3</c:v>
                </c:pt>
                <c:pt idx="183">
                  <c:v>4</c:v>
                </c:pt>
                <c:pt idx="184">
                  <c:v>1</c:v>
                </c:pt>
                <c:pt idx="185">
                  <c:v>2</c:v>
                </c:pt>
                <c:pt idx="186">
                  <c:v>3</c:v>
                </c:pt>
                <c:pt idx="187">
                  <c:v>4</c:v>
                </c:pt>
                <c:pt idx="188">
                  <c:v>1</c:v>
                </c:pt>
                <c:pt idx="189">
                  <c:v>2</c:v>
                </c:pt>
                <c:pt idx="190">
                  <c:v>3</c:v>
                </c:pt>
                <c:pt idx="191">
                  <c:v>4</c:v>
                </c:pt>
                <c:pt idx="192">
                  <c:v>1</c:v>
                </c:pt>
                <c:pt idx="193">
                  <c:v>2</c:v>
                </c:pt>
                <c:pt idx="194">
                  <c:v>3</c:v>
                </c:pt>
                <c:pt idx="195">
                  <c:v>4</c:v>
                </c:pt>
                <c:pt idx="196">
                  <c:v>1</c:v>
                </c:pt>
                <c:pt idx="197">
                  <c:v>2</c:v>
                </c:pt>
                <c:pt idx="198">
                  <c:v>3</c:v>
                </c:pt>
                <c:pt idx="199">
                  <c:v>4</c:v>
                </c:pt>
                <c:pt idx="200">
                  <c:v>1</c:v>
                </c:pt>
                <c:pt idx="201">
                  <c:v>2</c:v>
                </c:pt>
                <c:pt idx="202">
                  <c:v>3</c:v>
                </c:pt>
                <c:pt idx="203">
                  <c:v>4</c:v>
                </c:pt>
                <c:pt idx="204">
                  <c:v>1</c:v>
                </c:pt>
                <c:pt idx="205">
                  <c:v>2</c:v>
                </c:pt>
                <c:pt idx="206">
                  <c:v>3</c:v>
                </c:pt>
                <c:pt idx="207">
                  <c:v>4</c:v>
                </c:pt>
                <c:pt idx="208">
                  <c:v>1</c:v>
                </c:pt>
                <c:pt idx="209">
                  <c:v>2</c:v>
                </c:pt>
                <c:pt idx="210">
                  <c:v>3</c:v>
                </c:pt>
                <c:pt idx="211">
                  <c:v>4</c:v>
                </c:pt>
                <c:pt idx="212">
                  <c:v>1</c:v>
                </c:pt>
                <c:pt idx="213">
                  <c:v>2</c:v>
                </c:pt>
                <c:pt idx="214">
                  <c:v>3</c:v>
                </c:pt>
                <c:pt idx="215">
                  <c:v>4</c:v>
                </c:pt>
                <c:pt idx="216">
                  <c:v>1</c:v>
                </c:pt>
                <c:pt idx="217">
                  <c:v>2</c:v>
                </c:pt>
                <c:pt idx="218">
                  <c:v>3</c:v>
                </c:pt>
                <c:pt idx="219">
                  <c:v>4</c:v>
                </c:pt>
                <c:pt idx="220">
                  <c:v>1</c:v>
                </c:pt>
                <c:pt idx="221">
                  <c:v>2</c:v>
                </c:pt>
                <c:pt idx="222">
                  <c:v>3</c:v>
                </c:pt>
                <c:pt idx="223">
                  <c:v>4</c:v>
                </c:pt>
                <c:pt idx="224">
                  <c:v>1</c:v>
                </c:pt>
                <c:pt idx="225">
                  <c:v>2</c:v>
                </c:pt>
                <c:pt idx="226">
                  <c:v>3</c:v>
                </c:pt>
                <c:pt idx="227">
                  <c:v>4</c:v>
                </c:pt>
                <c:pt idx="228">
                  <c:v>1</c:v>
                </c:pt>
                <c:pt idx="229">
                  <c:v>2</c:v>
                </c:pt>
                <c:pt idx="230">
                  <c:v>3</c:v>
                </c:pt>
                <c:pt idx="231">
                  <c:v>4</c:v>
                </c:pt>
                <c:pt idx="232">
                  <c:v>1</c:v>
                </c:pt>
                <c:pt idx="233">
                  <c:v>2</c:v>
                </c:pt>
                <c:pt idx="234">
                  <c:v>3</c:v>
                </c:pt>
                <c:pt idx="235">
                  <c:v>4</c:v>
                </c:pt>
                <c:pt idx="236">
                  <c:v>1</c:v>
                </c:pt>
                <c:pt idx="237">
                  <c:v>2</c:v>
                </c:pt>
                <c:pt idx="238">
                  <c:v>3</c:v>
                </c:pt>
                <c:pt idx="239">
                  <c:v>4</c:v>
                </c:pt>
                <c:pt idx="240">
                  <c:v>1</c:v>
                </c:pt>
                <c:pt idx="241">
                  <c:v>2</c:v>
                </c:pt>
                <c:pt idx="242">
                  <c:v>3</c:v>
                </c:pt>
                <c:pt idx="243">
                  <c:v>4</c:v>
                </c:pt>
                <c:pt idx="244">
                  <c:v>1</c:v>
                </c:pt>
                <c:pt idx="245">
                  <c:v>2</c:v>
                </c:pt>
                <c:pt idx="246">
                  <c:v>3</c:v>
                </c:pt>
                <c:pt idx="247">
                  <c:v>4</c:v>
                </c:pt>
                <c:pt idx="248">
                  <c:v>1</c:v>
                </c:pt>
                <c:pt idx="249">
                  <c:v>2</c:v>
                </c:pt>
                <c:pt idx="250">
                  <c:v>3</c:v>
                </c:pt>
                <c:pt idx="251">
                  <c:v>4</c:v>
                </c:pt>
                <c:pt idx="252">
                  <c:v>1</c:v>
                </c:pt>
                <c:pt idx="253">
                  <c:v>2</c:v>
                </c:pt>
                <c:pt idx="254">
                  <c:v>3</c:v>
                </c:pt>
                <c:pt idx="255">
                  <c:v>4</c:v>
                </c:pt>
                <c:pt idx="256">
                  <c:v>1</c:v>
                </c:pt>
                <c:pt idx="257">
                  <c:v>2</c:v>
                </c:pt>
                <c:pt idx="258">
                  <c:v>3</c:v>
                </c:pt>
                <c:pt idx="259">
                  <c:v>4</c:v>
                </c:pt>
                <c:pt idx="260">
                  <c:v>1</c:v>
                </c:pt>
                <c:pt idx="261">
                  <c:v>2</c:v>
                </c:pt>
                <c:pt idx="262">
                  <c:v>3</c:v>
                </c:pt>
                <c:pt idx="263">
                  <c:v>4</c:v>
                </c:pt>
                <c:pt idx="264">
                  <c:v>1</c:v>
                </c:pt>
                <c:pt idx="265">
                  <c:v>2</c:v>
                </c:pt>
                <c:pt idx="266">
                  <c:v>3</c:v>
                </c:pt>
                <c:pt idx="267">
                  <c:v>4</c:v>
                </c:pt>
                <c:pt idx="268">
                  <c:v>1</c:v>
                </c:pt>
                <c:pt idx="269">
                  <c:v>2</c:v>
                </c:pt>
                <c:pt idx="270">
                  <c:v>3</c:v>
                </c:pt>
                <c:pt idx="271">
                  <c:v>4</c:v>
                </c:pt>
                <c:pt idx="272">
                  <c:v>1</c:v>
                </c:pt>
                <c:pt idx="273">
                  <c:v>2</c:v>
                </c:pt>
                <c:pt idx="274">
                  <c:v>3</c:v>
                </c:pt>
                <c:pt idx="275">
                  <c:v>4</c:v>
                </c:pt>
                <c:pt idx="276">
                  <c:v>1</c:v>
                </c:pt>
                <c:pt idx="277">
                  <c:v>2</c:v>
                </c:pt>
                <c:pt idx="278">
                  <c:v>3</c:v>
                </c:pt>
                <c:pt idx="279">
                  <c:v>4</c:v>
                </c:pt>
                <c:pt idx="280">
                  <c:v>1</c:v>
                </c:pt>
                <c:pt idx="281">
                  <c:v>2</c:v>
                </c:pt>
                <c:pt idx="282">
                  <c:v>3</c:v>
                </c:pt>
                <c:pt idx="283">
                  <c:v>4</c:v>
                </c:pt>
                <c:pt idx="284">
                  <c:v>1</c:v>
                </c:pt>
                <c:pt idx="285">
                  <c:v>2</c:v>
                </c:pt>
                <c:pt idx="286">
                  <c:v>3</c:v>
                </c:pt>
                <c:pt idx="287">
                  <c:v>4</c:v>
                </c:pt>
                <c:pt idx="288">
                  <c:v>1</c:v>
                </c:pt>
                <c:pt idx="289">
                  <c:v>2</c:v>
                </c:pt>
                <c:pt idx="290">
                  <c:v>3</c:v>
                </c:pt>
                <c:pt idx="291">
                  <c:v>4</c:v>
                </c:pt>
                <c:pt idx="292">
                  <c:v>1</c:v>
                </c:pt>
                <c:pt idx="293">
                  <c:v>2</c:v>
                </c:pt>
                <c:pt idx="294">
                  <c:v>3</c:v>
                </c:pt>
                <c:pt idx="295">
                  <c:v>4</c:v>
                </c:pt>
                <c:pt idx="296">
                  <c:v>1</c:v>
                </c:pt>
                <c:pt idx="297">
                  <c:v>2</c:v>
                </c:pt>
                <c:pt idx="298">
                  <c:v>3</c:v>
                </c:pt>
                <c:pt idx="299">
                  <c:v>4</c:v>
                </c:pt>
              </c:numCache>
            </c:numRef>
          </c:yVal>
          <c:smooth val="0"/>
          <c:extLst>
            <c:ext xmlns:c16="http://schemas.microsoft.com/office/drawing/2014/chart" uri="{C3380CC4-5D6E-409C-BE32-E72D297353CC}">
              <c16:uniqueId val="{00000000-8D67-4415-9DE6-E38F47D1B0FB}"/>
            </c:ext>
          </c:extLst>
        </c:ser>
        <c:ser>
          <c:idx val="1"/>
          <c:order val="1"/>
          <c:spPr>
            <a:ln w="25400" cap="rnd">
              <a:noFill/>
              <a:round/>
            </a:ln>
            <a:effectLst/>
          </c:spPr>
          <c:marker>
            <c:symbol val="diamond"/>
            <c:size val="5"/>
            <c:spPr>
              <a:solidFill>
                <a:srgbClr val="C00000"/>
              </a:solidFill>
              <a:ln w="9525">
                <a:noFill/>
              </a:ln>
              <a:effectLst/>
            </c:spPr>
          </c:marker>
          <c:xVal>
            <c:numRef>
              <c:f>Chlorine!$BH$22:$BH$321</c:f>
              <c:numCache>
                <c:formatCode>General</c:formatCode>
                <c:ptCount val="300"/>
                <c:pt idx="0">
                  <c:v>179.4</c:v>
                </c:pt>
                <c:pt idx="1">
                  <c:v>179.4</c:v>
                </c:pt>
                <c:pt idx="2">
                  <c:v>179.4</c:v>
                </c:pt>
                <c:pt idx="3">
                  <c:v>0</c:v>
                </c:pt>
                <c:pt idx="4">
                  <c:v>0</c:v>
                </c:pt>
                <c:pt idx="5">
                  <c:v>0</c:v>
                </c:pt>
                <c:pt idx="6">
                  <c:v>0</c:v>
                </c:pt>
                <c:pt idx="7">
                  <c:v>0</c:v>
                </c:pt>
                <c:pt idx="8">
                  <c:v>0</c:v>
                </c:pt>
                <c:pt idx="9">
                  <c:v>0</c:v>
                </c:pt>
                <c:pt idx="10">
                  <c:v>0</c:v>
                </c:pt>
                <c:pt idx="11">
                  <c:v>0</c:v>
                </c:pt>
                <c:pt idx="12">
                  <c:v>0</c:v>
                </c:pt>
                <c:pt idx="13">
                  <c:v>0</c:v>
                </c:pt>
                <c:pt idx="14">
                  <c:v>0</c:v>
                </c:pt>
                <c:pt idx="15">
                  <c:v>120</c:v>
                </c:pt>
                <c:pt idx="16">
                  <c:v>180</c:v>
                </c:pt>
                <c:pt idx="17">
                  <c:v>180</c:v>
                </c:pt>
              </c:numCache>
            </c:numRef>
          </c:xVal>
          <c:yVal>
            <c:numRef>
              <c:f>Chlorine!$BI$22:$BI$321</c:f>
              <c:numCache>
                <c:formatCode>General</c:formatCode>
                <c:ptCount val="300"/>
                <c:pt idx="0">
                  <c:v>4.2300000000000004</c:v>
                </c:pt>
                <c:pt idx="1">
                  <c:v>4.95</c:v>
                </c:pt>
                <c:pt idx="2">
                  <c:v>3.77</c:v>
                </c:pt>
                <c:pt idx="3">
                  <c:v>2.7781512503836439</c:v>
                </c:pt>
                <c:pt idx="4">
                  <c:v>3.1461280356782382</c:v>
                </c:pt>
                <c:pt idx="5">
                  <c:v>2.3010299956639813</c:v>
                </c:pt>
                <c:pt idx="6">
                  <c:v>2.3679767852945943</c:v>
                </c:pt>
                <c:pt idx="7">
                  <c:v>2.5642714304385628</c:v>
                </c:pt>
                <c:pt idx="8">
                  <c:v>3.2632414347745815</c:v>
                </c:pt>
                <c:pt idx="9">
                  <c:v>2.1165055690714376</c:v>
                </c:pt>
                <c:pt idx="10">
                  <c:v>2.106455330914287</c:v>
                </c:pt>
                <c:pt idx="11">
                  <c:v>0.97979661391171291</c:v>
                </c:pt>
                <c:pt idx="12">
                  <c:v>1.2218487496163566</c:v>
                </c:pt>
                <c:pt idx="13">
                  <c:v>1.1383026981662816</c:v>
                </c:pt>
                <c:pt idx="14">
                  <c:v>1.5740312677277191</c:v>
                </c:pt>
                <c:pt idx="15">
                  <c:v>2.69</c:v>
                </c:pt>
                <c:pt idx="16">
                  <c:v>0.28000000000000003</c:v>
                </c:pt>
                <c:pt idx="17">
                  <c:v>0.44</c:v>
                </c:pt>
              </c:numCache>
            </c:numRef>
          </c:yVal>
          <c:smooth val="0"/>
          <c:extLst>
            <c:ext xmlns:c16="http://schemas.microsoft.com/office/drawing/2014/chart" uri="{C3380CC4-5D6E-409C-BE32-E72D297353CC}">
              <c16:uniqueId val="{00000001-8D67-4415-9DE6-E38F47D1B0FB}"/>
            </c:ext>
          </c:extLst>
        </c:ser>
        <c:dLbls>
          <c:showLegendKey val="0"/>
          <c:showVal val="0"/>
          <c:showCatName val="0"/>
          <c:showSerName val="0"/>
          <c:showPercent val="0"/>
          <c:showBubbleSize val="0"/>
        </c:dLbls>
        <c:axId val="103437599"/>
        <c:axId val="115940223"/>
      </c:scatterChart>
      <c:valAx>
        <c:axId val="10343759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a:t>CT (mg-min/L)</a:t>
                </a:r>
              </a:p>
            </c:rich>
          </c:tx>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15940223"/>
        <c:crosses val="autoZero"/>
        <c:crossBetween val="midCat"/>
      </c:valAx>
      <c:valAx>
        <c:axId val="11594022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a:t>LRC=V</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03437599"/>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14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ocumenttasks/documenttask1.xml><?xml version="1.0" encoding="utf-8"?>
<Tasks xmlns="http://schemas.microsoft.com/office/tasks/2019/documenttasks">
  <Task id="{1B917375-EFAB-4688-9111-E9678E151542}">
    <Anchor>
      <Comment id="{1007872D-92D4-4818-A441-AFB68AAC8BA0}"/>
    </Anchor>
    <History>
      <Event time="2023-05-10T16:32:47.03" id="{A3FAF65A-900C-46C0-8D5C-1C20E7DD8E3F}">
        <Attribution userId="S::Sam.Arden@erg.com::0ee462ad-b135-4ac0-9ede-56f3be19b1ed" userName="Sam Arden" userProvider="AD"/>
        <Anchor>
          <Comment id="{1007872D-92D4-4818-A441-AFB68AAC8BA0}"/>
        </Anchor>
        <Create/>
      </Event>
      <Event time="2023-05-10T16:32:47.03" id="{551E4C39-40E2-4982-ABD0-AF179860DBBD}">
        <Attribution userId="S::Sam.Arden@erg.com::0ee462ad-b135-4ac0-9ede-56f3be19b1ed" userName="Sam Arden" userProvider="AD"/>
        <Anchor>
          <Comment id="{1007872D-92D4-4818-A441-AFB68AAC8BA0}"/>
        </Anchor>
        <Assign userId="S::James.Phillips@erg.com::8d0451eb-f33b-4029-95f2-4a2555c8f378" userName="James Phillips" userProvider="AD"/>
      </Event>
      <Event time="2023-05-10T16:32:47.03" id="{14B3B7F6-AD91-4EE2-ABAB-A82B20195E1A}">
        <Attribution userId="S::Sam.Arden@erg.com::0ee462ad-b135-4ac0-9ede-56f3be19b1ed" userName="Sam Arden" userProvider="AD"/>
        <Anchor>
          <Comment id="{1007872D-92D4-4818-A441-AFB68AAC8BA0}"/>
        </Anchor>
        <SetTitle title="@James Phillips primary design value for ozone should be CT, or concentration multiplied by time. It is also helpful to have the two variables in the brief description. Move temperature over to the temperature column"/>
      </Event>
      <Event time="2023-05-17T18:54:50.11" id="{B90AC55B-E821-4690-8979-1748FA16BE5B}">
        <Attribution userId="S::James.Phillips@erg.com::8d0451eb-f33b-4029-95f2-4a2555c8f378" userName="James Phillips" userProvider="AD"/>
        <Progress percentComplete="100"/>
      </Event>
    </History>
  </Task>
  <Task id="{A174D9D2-634C-422B-982B-FDD91A7C4536}">
    <Anchor>
      <Comment id="{83EC6D7A-B2B9-4BAE-BC16-266BD9896FA7}"/>
    </Anchor>
    <History>
      <Event time="2023-05-10T16:34:11.62" id="{D684C49F-6910-41EC-BE25-66A7B24282DF}">
        <Attribution userId="S::Sam.Arden@erg.com::0ee462ad-b135-4ac0-9ede-56f3be19b1ed" userName="Sam Arden" userProvider="AD"/>
        <Anchor>
          <Comment id="{83EC6D7A-B2B9-4BAE-BC16-266BD9896FA7}"/>
        </Anchor>
        <Create/>
      </Event>
      <Event time="2023-05-10T16:34:11.62" id="{3F9AF670-F96D-410B-8D1D-5744730612AC}">
        <Attribution userId="S::Sam.Arden@erg.com::0ee462ad-b135-4ac0-9ede-56f3be19b1ed" userName="Sam Arden" userProvider="AD"/>
        <Anchor>
          <Comment id="{83EC6D7A-B2B9-4BAE-BC16-266BD9896FA7}"/>
        </Anchor>
        <Assign userId="S::James.Phillips@erg.com::8d0451eb-f33b-4029-95f2-4a2555c8f378" userName="James Phillips" userProvider="AD"/>
      </Event>
      <Event time="2023-05-10T16:34:11.62" id="{9F677CFF-DC80-44E4-8404-B381C71BBB98}">
        <Attribution userId="S::Sam.Arden@erg.com::0ee462ad-b135-4ac0-9ede-56f3be19b1ed" userName="Sam Arden" userProvider="AD"/>
        <Anchor>
          <Comment id="{83EC6D7A-B2B9-4BAE-BC16-266BD9896FA7}"/>
        </Anchor>
        <SetTitle title="@James Phillips update dosage/design values following the first four recommendations"/>
      </Event>
    </History>
  </Task>
  <Task id="{CB07A3E9-C957-4F95-AC2F-02D5FB7F0AC4}">
    <Anchor>
      <Comment id="{D6E47458-C18B-4B5E-8114-E2DA00F58FF4}"/>
    </Anchor>
    <History>
      <Event time="2023-05-10T16:23:50.98" id="{F4B4B888-00BA-45A3-B3ED-B141F1B8A2A2}">
        <Attribution userId="S::Sam.Arden@erg.com::0ee462ad-b135-4ac0-9ede-56f3be19b1ed" userName="Sam Arden" userProvider="AD"/>
        <Anchor>
          <Comment id="{D6E47458-C18B-4B5E-8114-E2DA00F58FF4}"/>
        </Anchor>
        <Create/>
      </Event>
      <Event time="2023-05-10T16:23:50.98" id="{D9797712-EE22-4623-A10A-B707C690E8A0}">
        <Attribution userId="S::Sam.Arden@erg.com::0ee462ad-b135-4ac0-9ede-56f3be19b1ed" userName="Sam Arden" userProvider="AD"/>
        <Anchor>
          <Comment id="{D6E47458-C18B-4B5E-8114-E2DA00F58FF4}"/>
        </Anchor>
        <Assign userId="S::James.Phillips@erg.com::8d0451eb-f33b-4029-95f2-4a2555c8f378" userName="James Phillips" userProvider="AD"/>
      </Event>
      <Event time="2023-05-10T16:23:50.98" id="{56A7B4FE-B190-468D-99D7-CFA68711DF56}">
        <Attribution userId="S::Sam.Arden@erg.com::0ee462ad-b135-4ac0-9ede-56f3be19b1ed" userName="Sam Arden" userProvider="AD"/>
        <Anchor>
          <Comment id="{D6E47458-C18B-4B5E-8114-E2DA00F58FF4}"/>
        </Anchor>
        <SetTitle title="@James Phillips HRT? MLSS?"/>
      </Event>
    </History>
  </Task>
  <Task id="{006A59F4-77D5-4070-A475-E4804F3D5AA8}">
    <Anchor>
      <Comment id="{482790D7-B826-4E50-8EF7-1429A0E204A1}"/>
    </Anchor>
    <History>
      <Event time="2023-05-10T15:05:20.41" id="{FCDA5362-0D5C-4C8F-B913-F9215463CF5F}">
        <Attribution userId="S::Sam.Arden@erg.com::0ee462ad-b135-4ac0-9ede-56f3be19b1ed" userName="Sam Arden" userProvider="AD"/>
        <Anchor>
          <Comment id="{482790D7-B826-4E50-8EF7-1429A0E204A1}"/>
        </Anchor>
        <Create/>
      </Event>
      <Event time="2023-05-10T15:05:20.41" id="{5ADB3056-F9BE-4368-BA4B-6BE4751B5AFB}">
        <Attribution userId="S::Sam.Arden@erg.com::0ee462ad-b135-4ac0-9ede-56f3be19b1ed" userName="Sam Arden" userProvider="AD"/>
        <Anchor>
          <Comment id="{482790D7-B826-4E50-8EF7-1429A0E204A1}"/>
        </Anchor>
        <Assign userId="S::James.Phillips@erg.com::8d0451eb-f33b-4029-95f2-4a2555c8f378" userName="James Phillips" userProvider="AD"/>
      </Event>
      <Event time="2023-05-10T15:05:20.41" id="{3E982CF2-2F52-47DC-A42B-B6E99F01D8F6}">
        <Attribution userId="S::Sam.Arden@erg.com::0ee462ad-b135-4ac0-9ede-56f3be19b1ed" userName="Sam Arden" userProvider="AD"/>
        <Anchor>
          <Comment id="{482790D7-B826-4E50-8EF7-1429A0E204A1}"/>
        </Anchor>
        <SetTitle title="@James Phillips need design data. I see in the comments we may not have access to the right paper to get this info. If that is the case, can you start a list of papers we need access to and send out to #ERG at the end of this week?"/>
      </Event>
      <Event time="2023-05-17T17:33:21.85" id="{A65E23B7-D08A-4220-959D-CBF141ED64B8}">
        <Attribution userId="S::James.Phillips@erg.com::8d0451eb-f33b-4029-95f2-4a2555c8f378" userName="James Phillips" userProvider="AD"/>
        <Progress percentComplete="100"/>
      </Event>
      <Event time="2023-05-17T17:33:31.45" id="{6CDD4AE8-05CC-412B-B80A-70E912AC275A}">
        <Attribution userId="S::James.Phillips@erg.com::8d0451eb-f33b-4029-95f2-4a2555c8f378" userName="James Phillips" userProvider="AD"/>
        <Progress percentComplete="0"/>
      </Event>
    </History>
  </Task>
</Tasks>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24</xdr:col>
      <xdr:colOff>0</xdr:colOff>
      <xdr:row>25</xdr:row>
      <xdr:rowOff>0</xdr:rowOff>
    </xdr:from>
    <xdr:to>
      <xdr:col>29</xdr:col>
      <xdr:colOff>169816</xdr:colOff>
      <xdr:row>47</xdr:row>
      <xdr:rowOff>135527</xdr:rowOff>
    </xdr:to>
    <xdr:graphicFrame macro="">
      <xdr:nvGraphicFramePr>
        <xdr:cNvPr id="9" name="Chart 5">
          <a:extLst>
            <a:ext uri="{FF2B5EF4-FFF2-40B4-BE49-F238E27FC236}">
              <a16:creationId xmlns:a16="http://schemas.microsoft.com/office/drawing/2014/main" id="{C109DE39-9F71-4866-8FDE-FBB890B5A1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31</xdr:col>
      <xdr:colOff>0</xdr:colOff>
      <xdr:row>25</xdr:row>
      <xdr:rowOff>0</xdr:rowOff>
    </xdr:from>
    <xdr:to>
      <xdr:col>38</xdr:col>
      <xdr:colOff>116478</xdr:colOff>
      <xdr:row>47</xdr:row>
      <xdr:rowOff>131717</xdr:rowOff>
    </xdr:to>
    <xdr:graphicFrame macro="">
      <xdr:nvGraphicFramePr>
        <xdr:cNvPr id="10" name="Chart 6">
          <a:extLst>
            <a:ext uri="{FF2B5EF4-FFF2-40B4-BE49-F238E27FC236}">
              <a16:creationId xmlns:a16="http://schemas.microsoft.com/office/drawing/2014/main" id="{907DFBB7-D91F-4D38-8457-78F74CE4EB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38</xdr:col>
      <xdr:colOff>931268</xdr:colOff>
      <xdr:row>25</xdr:row>
      <xdr:rowOff>0</xdr:rowOff>
    </xdr:from>
    <xdr:to>
      <xdr:col>43</xdr:col>
      <xdr:colOff>98510</xdr:colOff>
      <xdr:row>46</xdr:row>
      <xdr:rowOff>133350</xdr:rowOff>
    </xdr:to>
    <xdr:graphicFrame macro="">
      <xdr:nvGraphicFramePr>
        <xdr:cNvPr id="11" name="Chart 7">
          <a:extLst>
            <a:ext uri="{FF2B5EF4-FFF2-40B4-BE49-F238E27FC236}">
              <a16:creationId xmlns:a16="http://schemas.microsoft.com/office/drawing/2014/main" id="{050FB882-FEFD-4FD9-B810-633D375BA2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159474</xdr:colOff>
      <xdr:row>50</xdr:row>
      <xdr:rowOff>37010</xdr:rowOff>
    </xdr:from>
    <xdr:to>
      <xdr:col>29</xdr:col>
      <xdr:colOff>87629</xdr:colOff>
      <xdr:row>62</xdr:row>
      <xdr:rowOff>102324</xdr:rowOff>
    </xdr:to>
    <xdr:graphicFrame macro="">
      <xdr:nvGraphicFramePr>
        <xdr:cNvPr id="2" name="Chart 5">
          <a:extLst>
            <a:ext uri="{FF2B5EF4-FFF2-40B4-BE49-F238E27FC236}">
              <a16:creationId xmlns:a16="http://schemas.microsoft.com/office/drawing/2014/main" id="{7D1136B8-1D1F-4A92-969F-6E6EFE6914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31</xdr:col>
      <xdr:colOff>820238</xdr:colOff>
      <xdr:row>49</xdr:row>
      <xdr:rowOff>62319</xdr:rowOff>
    </xdr:from>
    <xdr:to>
      <xdr:col>35</xdr:col>
      <xdr:colOff>302078</xdr:colOff>
      <xdr:row>61</xdr:row>
      <xdr:rowOff>127634</xdr:rowOff>
    </xdr:to>
    <xdr:graphicFrame macro="">
      <xdr:nvGraphicFramePr>
        <xdr:cNvPr id="3" name="Chart 6">
          <a:extLst>
            <a:ext uri="{FF2B5EF4-FFF2-40B4-BE49-F238E27FC236}">
              <a16:creationId xmlns:a16="http://schemas.microsoft.com/office/drawing/2014/main" id="{E428607F-E0D7-41C6-B61D-E764BE21EC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38</xdr:col>
      <xdr:colOff>598715</xdr:colOff>
      <xdr:row>48</xdr:row>
      <xdr:rowOff>173082</xdr:rowOff>
    </xdr:from>
    <xdr:to>
      <xdr:col>43</xdr:col>
      <xdr:colOff>320040</xdr:colOff>
      <xdr:row>61</xdr:row>
      <xdr:rowOff>53340</xdr:rowOff>
    </xdr:to>
    <xdr:graphicFrame macro="">
      <xdr:nvGraphicFramePr>
        <xdr:cNvPr id="4" name="Chart 7">
          <a:extLst>
            <a:ext uri="{FF2B5EF4-FFF2-40B4-BE49-F238E27FC236}">
              <a16:creationId xmlns:a16="http://schemas.microsoft.com/office/drawing/2014/main" id="{7E8FC5D5-F89F-4356-B13F-A210F4FEF0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37</xdr:col>
      <xdr:colOff>7509</xdr:colOff>
      <xdr:row>1</xdr:row>
      <xdr:rowOff>165622</xdr:rowOff>
    </xdr:from>
    <xdr:to>
      <xdr:col>44</xdr:col>
      <xdr:colOff>774999</xdr:colOff>
      <xdr:row>17</xdr:row>
      <xdr:rowOff>30591</xdr:rowOff>
    </xdr:to>
    <xdr:graphicFrame macro="">
      <xdr:nvGraphicFramePr>
        <xdr:cNvPr id="43" name="Chart 1">
          <a:extLst>
            <a:ext uri="{FF2B5EF4-FFF2-40B4-BE49-F238E27FC236}">
              <a16:creationId xmlns:a16="http://schemas.microsoft.com/office/drawing/2014/main" id="{307F0032-78EB-C81F-E765-4C7A3E80B9B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45</xdr:col>
      <xdr:colOff>0</xdr:colOff>
      <xdr:row>2</xdr:row>
      <xdr:rowOff>0</xdr:rowOff>
    </xdr:from>
    <xdr:to>
      <xdr:col>53</xdr:col>
      <xdr:colOff>74632</xdr:colOff>
      <xdr:row>17</xdr:row>
      <xdr:rowOff>38548</xdr:rowOff>
    </xdr:to>
    <xdr:graphicFrame macro="">
      <xdr:nvGraphicFramePr>
        <xdr:cNvPr id="42" name="Chart 2">
          <a:extLst>
            <a:ext uri="{FF2B5EF4-FFF2-40B4-BE49-F238E27FC236}">
              <a16:creationId xmlns:a16="http://schemas.microsoft.com/office/drawing/2014/main" id="{BA3D61A1-CD03-4E06-8C17-C27C999C0D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54</xdr:col>
      <xdr:colOff>0</xdr:colOff>
      <xdr:row>2</xdr:row>
      <xdr:rowOff>0</xdr:rowOff>
    </xdr:from>
    <xdr:to>
      <xdr:col>62</xdr:col>
      <xdr:colOff>63425</xdr:colOff>
      <xdr:row>17</xdr:row>
      <xdr:rowOff>38548</xdr:rowOff>
    </xdr:to>
    <xdr:graphicFrame macro="">
      <xdr:nvGraphicFramePr>
        <xdr:cNvPr id="48" name="Chart 3">
          <a:extLst>
            <a:ext uri="{FF2B5EF4-FFF2-40B4-BE49-F238E27FC236}">
              <a16:creationId xmlns:a16="http://schemas.microsoft.com/office/drawing/2014/main" id="{EE3454EA-4BE8-42E7-A332-E63EEAF830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easternresearchgroup.sharepoint.com/sites/ERGLCA/Shared%20Documents/Integrated%20Sustainability%20ORD%20SSWW/Task%201%20DPR/7.31.23%20DELIVERABLES/Gwinnett%20IPR.DPR%20LCI%20Workbook.v7.31.23.xlsx" TargetMode="External"/><Relationship Id="rId1" Type="http://schemas.openxmlformats.org/officeDocument/2006/relationships/externalLinkPath" Target="https://usepa-my.sharepoint.com/sites/ERGLCA/Shared%20Documents/Integrated%20Sustainability%20ORD%20SSWW/Task%201%20DPR/7.31.23%20DELIVERABLES/Gwinnett%20IPR.DPR%20LCI%20Workbook.v7.31.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sepa-my.sharepoint.com/sites/ERGLCA/Shared%20Documents/Integrated%20Sustainability%20ORD%20SSWW/Task%201%20DPR/7.31.23%20DELIVERABLES/Literature%20resources/RO/wbs-ronf-063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TOC"/>
      <sheetName val="MCLs"/>
      <sheetName val="H2O Quality"/>
      <sheetName val="LRV_LRT"/>
      <sheetName val="TDS_50"/>
      <sheetName val="TDS_80"/>
      <sheetName val="LCI"/>
      <sheetName val="FWH WRC - IPR"/>
      <sheetName val="FWH WRC - ozone DPR"/>
      <sheetName val="FWH WRC - FAT DPR"/>
      <sheetName val="SCFP"/>
      <sheetName val="Cost"/>
      <sheetName val="LCCA"/>
      <sheetName val="Sources"/>
      <sheetName val="Lookups"/>
      <sheetName val="Report Tables - Link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Page"/>
      <sheetName val="Index"/>
      <sheetName val="INPUT"/>
      <sheetName val="OUTPUT"/>
      <sheetName val="Critical Design Assumptions"/>
      <sheetName val="O&amp;M Assumptions"/>
      <sheetName val="Indirect Assumptions"/>
      <sheetName val="Influent and Booster Pumping"/>
      <sheetName val="Pretreatment"/>
      <sheetName val="Feed Water"/>
      <sheetName val="Train Design"/>
      <sheetName val="Pressure Tuning"/>
      <sheetName val="Calc System"/>
      <sheetName val="Calc One Element"/>
      <sheetName val="Membrane Capital"/>
      <sheetName val="Cleaning"/>
      <sheetName val="Pipes and Structure"/>
      <sheetName val="Instrumentation and Control"/>
      <sheetName val="Residuals Management"/>
      <sheetName val="O&amp;M"/>
      <sheetName val="HVAC"/>
      <sheetName val="Indirect"/>
      <sheetName val="Conversions"/>
      <sheetName val="Membrane Specs"/>
      <sheetName val="Water Specs"/>
      <sheetName val="Concentrate Scaling"/>
      <sheetName val="Standard Inputs"/>
      <sheetName val="Cost Coefficients"/>
      <sheetName val="Cost Equations"/>
      <sheetName val="Cost Data"/>
      <sheetName val="Engineering Data"/>
      <sheetName val="Lookup 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persons/person.xml><?xml version="1.0" encoding="utf-8"?>
<personList xmlns="http://schemas.microsoft.com/office/spreadsheetml/2018/threadedcomments" xmlns:x="http://schemas.openxmlformats.org/spreadsheetml/2006/main">
  <person displayName="Sam Arden" id="{EB460C95-2BEE-4368-A13A-99DBABF10B0A}" userId="Sam.Arden@erg.com" providerId="PeoplePicker"/>
  <person displayName="Emelyn Chiang" id="{8CC52D16-7736-4544-B6FA-52FCC8E42595}" userId="Emelyn.Chiang@erg.com" providerId="PeoplePicker"/>
  <person displayName="James Phillips" id="{D387DF62-84A9-44BA-8BE6-60C0D977E61C}" userId="James.Phillips@erg.com" providerId="PeoplePicker"/>
  <person displayName="Morgan Anderson" id="{F47525D2-1F54-4E21-B133-24B3F9227FD7}" userId="Morgan.Anderson@erg.com" providerId="PeoplePicker"/>
  <person displayName="Sam Arden" id="{B15B3BF7-0E2E-4995-A69C-B2A4D940C290}" userId="S::Sam.Arden@erg.com::0ee462ad-b135-4ac0-9ede-56f3be19b1ed" providerId="AD"/>
  <person displayName="Linda Hills" id="{C7B9415F-FDA7-412F-B15E-449033686123}" userId="S::Linda.Hills@erg.com::b6d6e7a5-377a-47e2-aebc-e334ad9f1e62" providerId="AD"/>
  <person displayName="Emelyn Chiang" id="{696286F5-F339-4230-91A2-B0A12684C469}" userId="S::Emelyn.Chiang@erg.com::9b6cbc16-e3a4-4413-b70e-3bedec30ad40" providerId="AD"/>
  <person displayName="Kyle McGaughy" id="{9C500932-DB26-426A-9DE3-8D696B2A115E}" userId="S::Kyle.McGaughy@erg.com::96825d68-8152-4f63-8b83-0cd7d682ce1b" providerId="AD"/>
  <person displayName="James Phillips" id="{0B38EF92-49F6-4379-9F51-A49BAE6FECD5}" userId="S::James.Phillips@erg.com::8d0451eb-f33b-4029-95f2-4a2555c8f378"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877D8CE-F922-4D9B-BAC9-225417B1DD17}" name="LRV" displayName="LRV" ref="A4:CH9564" totalsRowShown="0" headerRowDxfId="28">
  <autoFilter ref="A4:CH9564" xr:uid="{8877D8CE-F922-4D9B-BAC9-225417B1DD17}"/>
  <sortState xmlns:xlrd2="http://schemas.microsoft.com/office/spreadsheetml/2017/richdata2" ref="A5:CH1084">
    <sortCondition ref="A4:A9564"/>
  </sortState>
  <tableColumns count="86">
    <tableColumn id="1" xr3:uid="{94397B60-4005-4E40-B266-4423B4D4B4DA}" name="id"/>
    <tableColumn id="2" xr3:uid="{43744F06-CCA5-4A9C-BCFC-914A97A441CE}" name="source"/>
    <tableColumn id="3" xr3:uid="{3F2A3A22-538D-4F49-8527-47FED1E97297}" name="unitprocess"/>
    <tableColumn id="4" xr3:uid="{A9FE5083-F8BA-4C86-8DA8-843BE29F1D1C}" name="description"/>
    <tableColumn id="90" xr3:uid="{12E4B068-58E8-47B0-8E5E-2E3A2FECDC5F}" name="location"/>
    <tableColumn id="93" xr3:uid="{A650CDBF-CBAE-4EAA-ABF9-39570AE22306}" name="sourcewater"/>
    <tableColumn id="91" xr3:uid="{13A6CF8D-D6A3-4102-B365-1BB81E5EC32D}" name="influent"/>
    <tableColumn id="88" xr3:uid="{5F70BC05-66FA-4DFC-A00A-26234F2548FE}" name="enduse"/>
    <tableColumn id="87" xr3:uid="{70D30D4F-0193-4437-B575-3162B6F3CF17}" name="scale"/>
    <tableColumn id="5" xr3:uid="{805D91F9-BA09-4BBE-8ECC-95B8608AAEA7}" name="mb_psz_msr"/>
    <tableColumn id="6" xr3:uid="{F9729B6F-0564-40E6-8360-DF98CD03104D}" name="mb_psz"/>
    <tableColumn id="7" xr3:uid="{15A5871D-E2EA-4877-9385-A0FE5A6FA0D8}" name="mb_mwco"/>
    <tableColumn id="8" xr3:uid="{2662312E-823A-4AE9-B9F7-691E6C232124}" name="mb_tmp"/>
    <tableColumn id="9" xr3:uid="{24FEF9DD-472C-40EF-899D-583292DAF230}" name="ch_dose"/>
    <tableColumn id="10" xr3:uid="{E6A32CC3-56E1-4AE5-98A8-D51C6328E0D4}" name="ch_resid"/>
    <tableColumn id="11" xr3:uid="{073B5A6F-2326-4D16-B4DC-BEE99446CD4D}" name="ch_time"/>
    <tableColumn id="12" xr3:uid="{113A8C9E-2E3E-4029-A186-71D8B3143FA2}" name="ch_ct"/>
    <tableColumn id="27" xr3:uid="{050DF2BC-CE28-4161-8DFA-B8B795D04F76}" name="ch_ctflag" dataDxfId="27"/>
    <tableColumn id="13" xr3:uid="{5C84FF2A-EBED-401A-BF01-E1E5750589EC}" name="uv_dose"/>
    <tableColumn id="28" xr3:uid="{807AE3E3-9C15-49F8-AD59-00B18FDC9969}" name="uv_int"/>
    <tableColumn id="14" xr3:uid="{21F5DEDF-F7A7-4A00-9FA1-028287AA9E55}" name="med_type"/>
    <tableColumn id="15" xr3:uid="{A65681A9-87CE-4508-AD31-5C216F5B2177}" name="med_hlr"/>
    <tableColumn id="16" xr3:uid="{1DEDF2EA-5241-469B-8CFA-1B14577E2C9C}" name="med_depth"/>
    <tableColumn id="17" xr3:uid="{2EE16F46-57EF-4E7E-B804-D4281A3936D2}" name="med_gsmsr"/>
    <tableColumn id="18" xr3:uid="{ADDF9BD0-C7C7-4527-8A7E-1930D440F840}" name="med_gs"/>
    <tableColumn id="19" xr3:uid="{06570312-4B9D-4B04-87F4-B5C544846FAF}" name="dt_hrt"/>
    <tableColumn id="20" xr3:uid="{F51537E4-748F-4E3E-8586-E32B5D0D1865}" name="dt_srt"/>
    <tableColumn id="21" xr3:uid="{BEC54E71-2BC7-44E8-B268-AAAC8F47EFA4}" name="dt_mlss"/>
    <tableColumn id="22" xr3:uid="{D344EEC1-2748-4756-ABE5-8F75AB7AA95C}" name="ot_dsgnval"/>
    <tableColumn id="23" xr3:uid="{BB918089-75FF-4E77-8A6B-ED12EBEFA41C}" name="ot_val"/>
    <tableColumn id="24" xr3:uid="{A2212D8F-B8E9-4C02-8F2A-8F3FB8A08DA3}" name="ot_unit"/>
    <tableColumn id="25" xr3:uid="{6349D9E5-B7AB-41BB-A19C-477432C232C0}" name="processreqs"/>
    <tableColumn id="29" xr3:uid="{1F97DC8C-1BCC-47D9-BBB8-1916DA6DE8E2}" name="wqin_ph"/>
    <tableColumn id="30" xr3:uid="{09DBBDDA-A198-41FD-AF41-21DCC5E0A19E}" name="wqin_do"/>
    <tableColumn id="31" xr3:uid="{75D4B460-1A58-42FA-9CC9-8BF5A3D0D00F}" name="wqin_bod"/>
    <tableColumn id="32" xr3:uid="{B803CEBC-864C-4889-A1BC-B578574A14EF}" name="wqin_toc"/>
    <tableColumn id="33" xr3:uid="{899455E0-9F2B-4EB6-9D09-82C5BD8B8992}" name="wqin_tss"/>
    <tableColumn id="34" xr3:uid="{095ACE54-2BE4-453B-9096-85B8450565A5}" name="wqin_turb"/>
    <tableColumn id="26" xr3:uid="{B839F6B2-7245-4EFE-89F0-4BB1730EC05C}" name="wqin_alk"/>
    <tableColumn id="35" xr3:uid="{9834237B-1DC7-44D6-AEAD-B3CF18EC62FF}" name="wqin_uvt"/>
    <tableColumn id="36" xr3:uid="{2246757C-2D43-4583-9414-560AF1896F73}" name="wqin_uva"/>
    <tableColumn id="37" xr3:uid="{8CB30178-33D5-4145-8236-9CCA99A4C7AF}" name="wqin_temp"/>
    <tableColumn id="38" xr3:uid="{B5FFE6EB-CBFC-45BD-AA20-B71E2B6F3370}" name="wqin_tn"/>
    <tableColumn id="95" xr3:uid="{61512B47-1CA7-4D31-B6AD-F2C4A5176160}" name="wqin_orgn"/>
    <tableColumn id="39" xr3:uid="{B6FEFEBA-5687-480C-9BF8-DF68C758736A}" name="wqin_tdn"/>
    <tableColumn id="40" xr3:uid="{6C9D4264-1506-499D-AE07-AFBC30C28098}" name="wqin_nitrate"/>
    <tableColumn id="94" xr3:uid="{D607BCF2-DE54-4664-8CF9-340A0618F59C}" name="wqin_ammonia"/>
    <tableColumn id="41" xr3:uid="{F50A42D4-BE38-40E7-95F2-8D00D749ACC2}" name="wqin_tp"/>
    <tableColumn id="42" xr3:uid="{541B04D7-90E9-4E87-A799-A930597C8A2F}" name="wqef_bod"/>
    <tableColumn id="92" xr3:uid="{A0DD7081-04FA-4E77-B7C5-2A35CE6E3408}" name="wqef_toc"/>
    <tableColumn id="43" xr3:uid="{565A4B51-7D59-4A75-805A-CA4818AA1938}" name="wqef_tss"/>
    <tableColumn id="44" xr3:uid="{BF1899AA-7E7E-44C7-94E1-64E5029DAB76}" name="wqef_turb"/>
    <tableColumn id="45" xr3:uid="{A7E7E9B4-5AA9-4DC2-B73C-498CD59AFDC6}" name="wqef_trans"/>
    <tableColumn id="96" xr3:uid="{472E5980-FCCE-43CA-87FD-2EE1CA97C68E}" name="wqef_uva"/>
    <tableColumn id="46" xr3:uid="{BF74C438-AAF2-4108-9100-E091E1ADE7FF}" name="wqef_temp"/>
    <tableColumn id="47" xr3:uid="{8296D309-BAF5-4620-A636-D116A3700753}" name="wqef_tn"/>
    <tableColumn id="48" xr3:uid="{E3D79431-2355-4736-AA8D-0474481C3A73}" name="wqef_tp"/>
    <tableColumn id="52" xr3:uid="{E6C044E0-B1B0-407D-A29A-BA6F696CEAA7}" name="pct_rem"/>
    <tableColumn id="53" xr3:uid="{43A9E606-9536-4162-87D6-45B3A367B82F}" name="mo_type"/>
    <tableColumn id="54" xr3:uid="{F7B24AEA-00C2-40CD-BEB1-552B42AE357A}" name="mo_name"/>
    <tableColumn id="55" xr3:uid="{2CE9CF69-352C-407A-84C2-92B5F2272A21}" name="mo_method" dataDxfId="26"/>
    <tableColumn id="56" xr3:uid="{78A0B13F-DD43-48D6-943B-EE45A389531E}" name="mo_unit" dataDxfId="25"/>
    <tableColumn id="57" xr3:uid="{28275A15-E2CF-4CE4-84FC-55A603F1B163}" name="mo_data" dataDxfId="24"/>
    <tableColumn id="58" xr3:uid="{79D069EC-E71C-46A5-944A-409A3059863B}" name="lrv_ave" dataDxfId="23"/>
    <tableColumn id="59" xr3:uid="{9F35D5D7-FA4E-421B-ACC9-1186FEA3C49E}" name="lrv_n" dataDxfId="22"/>
    <tableColumn id="60" xr3:uid="{B9249E86-CF34-4942-B5BE-9C3EF533B983}" name="lrv_sd" dataDxfId="21"/>
    <tableColumn id="61" xr3:uid="{05C661A5-D6D6-4874-9788-EC47E5E7B4DD}" name="lrv_cv" dataDxfId="20"/>
    <tableColumn id="62" xr3:uid="{A6DA6B19-8AEC-4927-B89D-9C71EA62AB92}" name="lrv_min" dataDxfId="19"/>
    <tableColumn id="63" xr3:uid="{F0E30367-05BF-44F5-AC9F-F69FC259D88E}" name="lrv_max" dataDxfId="18"/>
    <tableColumn id="66" xr3:uid="{BB3B58DF-45B9-4518-83A0-63DD277874BC}" name="lrv_flag" dataDxfId="17"/>
    <tableColumn id="67" xr3:uid="{68194F0F-8D3D-445F-9C99-BBC53D6BBE38}" name="in_ave" dataDxfId="16"/>
    <tableColumn id="68" xr3:uid="{F6C4638C-92DA-4B0B-BA66-186DF7D366CC}" name="in_sd" dataDxfId="15"/>
    <tableColumn id="69" xr3:uid="{053A7571-1927-425C-997D-ADD63156DF20}" name="in_cv" dataDxfId="14"/>
    <tableColumn id="70" xr3:uid="{15D7451A-CEA1-4948-B17D-4A13B203E363}" name="in_min" dataDxfId="13"/>
    <tableColumn id="71" xr3:uid="{648472C2-6FEF-4746-B597-91D61C561CF5}" name="in_max" dataDxfId="12"/>
    <tableColumn id="74" xr3:uid="{4134BDD0-1DA4-4095-9C74-DD537AC7BEA3}" name="in_df" dataDxfId="11"/>
    <tableColumn id="75" xr3:uid="{337A92A3-5B26-435D-89B3-1E9C89E38391}" name="ef_ave" dataDxfId="10"/>
    <tableColumn id="76" xr3:uid="{A6852A7B-30C1-4C32-AE1E-72CDCBF8F2AC}" name="ef_sd" dataDxfId="9"/>
    <tableColumn id="77" xr3:uid="{5C02A14C-550F-4873-91F5-DA8072C164A0}" name="ef_cv" dataDxfId="8"/>
    <tableColumn id="78" xr3:uid="{42DEFC2C-97F6-4473-9547-CA8E08C718C2}" name="ef_min" dataDxfId="7"/>
    <tableColumn id="79" xr3:uid="{6A37F3BE-1B42-47F9-BD9F-F977F2C7C92E}" name="ef_max" dataDxfId="6"/>
    <tableColumn id="82" xr3:uid="{2EC48728-4BD7-412A-8FEE-144BDFE9FDF0}" name="ef_df" dataDxfId="5"/>
    <tableColumn id="83" xr3:uid="{C07C66FF-F936-4794-BC3F-C00F3E04501F}" name="data_location" dataDxfId="4"/>
    <tableColumn id="84" xr3:uid="{98127D0F-69AF-4FD3-BAB0-7D244431BDD4}" name="notes"/>
    <tableColumn id="85" xr3:uid="{B944A48A-14FD-4683-9976-728FD127EF45}" name="enteredby"/>
    <tableColumn id="86" xr3:uid="{52100B46-D4EA-460C-93B6-8E8C915CF41F}" name="checkedby"/>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FC4B56E-BDD3-4BD6-A535-167CCCDD404C}" name="LRC" displayName="LRC" ref="A4:AQ2007" totalsRowShown="0" headerRowDxfId="3">
  <autoFilter ref="A4:AQ2007" xr:uid="{5FC4B56E-BDD3-4BD6-A535-167CCCDD404C}">
    <filterColumn colId="2">
      <filters>
        <filter val="Reverse Osmosis"/>
        <filter val="Reverse Osmosis and nanofiltration"/>
      </filters>
    </filterColumn>
  </autoFilter>
  <tableColumns count="43">
    <tableColumn id="1" xr3:uid="{0EE16131-C45B-4452-BF42-E3930053FE3E}" name="id"/>
    <tableColumn id="2" xr3:uid="{B3421F49-9101-4923-A429-F18FD6E90EC0}" name="source"/>
    <tableColumn id="3" xr3:uid="{66A7BFAD-7B50-49A3-8E80-A4A962CEA715}" name="unitprocess"/>
    <tableColumn id="4" xr3:uid="{D4D29759-F4B8-42F1-8ADC-46A2B047045B}" name="mb_psz_msr"/>
    <tableColumn id="5" xr3:uid="{4D83D559-5C24-4585-9AF6-D776B1E9A998}" name="mb_psz"/>
    <tableColumn id="6" xr3:uid="{876C20D7-0D11-4612-9ABC-04E35BC4CBB0}" name="mb_mwco"/>
    <tableColumn id="7" xr3:uid="{D11ED4D9-A165-40F7-94CD-FD8EC1EE5487}" name="mb_tmp"/>
    <tableColumn id="8" xr3:uid="{7D6B79D1-8271-4EE2-A89B-0CE14C8D0CE4}" name="mb_flux"/>
    <tableColumn id="9" xr3:uid="{44B2A3E9-EE4E-41B8-97E6-FC16BD36E34A}" name="ch_dose"/>
    <tableColumn id="10" xr3:uid="{439F229F-9263-410A-99C8-9B4D1AAF17A9}" name="ch_resid"/>
    <tableColumn id="11" xr3:uid="{2517F68E-0225-4007-9787-66C8513935B4}" name="ch_time"/>
    <tableColumn id="12" xr3:uid="{96D8BF3B-6EA1-4EC2-B4A7-8FB100306736}" name="ch_ct"/>
    <tableColumn id="13" xr3:uid="{8746D01F-8D83-423B-A1B7-67F190DD27E1}" name="uv_dose"/>
    <tableColumn id="14" xr3:uid="{0692A624-9FD7-4EC3-8F46-7BE6A6BE0E98}" name="md_type"/>
    <tableColumn id="15" xr3:uid="{9DF0E9C8-6558-4421-AD2A-32E187A47FEE}" name="md_hlr"/>
    <tableColumn id="16" xr3:uid="{5A6426B3-B519-4B55-A57F-AD55413F2056}" name="md_depth"/>
    <tableColumn id="17" xr3:uid="{0B8F42C7-6A2C-423B-B722-22EEA1918E85}" name="md_gsmsr"/>
    <tableColumn id="18" xr3:uid="{B07B02CB-5A87-4587-94D4-B049BA88112F}" name="md_gs"/>
    <tableColumn id="19" xr3:uid="{67D3D200-41A2-4BB1-AFBA-225BE81F1B17}" name="dt_hrt"/>
    <tableColumn id="20" xr3:uid="{6F2C7978-0BE6-460C-BF94-839DC2B4DC4A}" name="dt_srt"/>
    <tableColumn id="21" xr3:uid="{C370A0FF-DD41-4F09-9950-89EE95A34AD0}" name="dt_mlss"/>
    <tableColumn id="22" xr3:uid="{0BAA9C44-A7CE-40B4-A291-0B49DF70D35F}" name="sourcewater"/>
    <tableColumn id="23" xr3:uid="{199FFAD6-6071-42F0-85C6-60B5235BF100}" name="enduse"/>
    <tableColumn id="24" xr3:uid="{C23638D5-7D3B-4E03-A875-23F77D7B3046}" name="wqin_ph" dataDxfId="2"/>
    <tableColumn id="25" xr3:uid="{D94A28A9-9E05-4847-8D57-9BFFA2BA33B3}" name="wqin_do" dataDxfId="1"/>
    <tableColumn id="26" xr3:uid="{27BB2F01-AB1A-42E2-83A1-152C0407FF71}" name="wqin_bod"/>
    <tableColumn id="27" xr3:uid="{39E41BFC-D2A2-4679-A891-B6FD7C5A7397}" name="wqin_tss"/>
    <tableColumn id="28" xr3:uid="{E6F4E154-D946-47E3-ACD8-E31EB825B620}" name="wqin_turb"/>
    <tableColumn id="29" xr3:uid="{7C853D54-9F58-4CB7-908B-5C74CA8DE849}" name="wqin_uvt"/>
    <tableColumn id="30" xr3:uid="{675540A6-0980-4AD4-B731-27ABF957F1D6}" name="wqin_uva"/>
    <tableColumn id="31" xr3:uid="{256F772D-2941-4F37-862A-D86C15F50482}" name="wqin_temp"/>
    <tableColumn id="32" xr3:uid="{5E74AF2C-43F5-4DC2-81AD-16106C895B7A}" name="wqin_tn"/>
    <tableColumn id="33" xr3:uid="{374B005A-8B20-40F3-96B1-75ACACA4D812}" name="wqin_tp"/>
    <tableColumn id="34" xr3:uid="{4B66F88C-A53F-4412-A174-699A6380CFEB}" name="mo_type"/>
    <tableColumn id="35" xr3:uid="{11C741E2-B0CB-419B-B2C6-BD80AC444747}" name="mo_name"/>
    <tableColumn id="36" xr3:uid="{2F089C53-784F-47ED-8070-FDCB0AE29343}" name="mo_surrogate"/>
    <tableColumn id="37" xr3:uid="{025906C0-5AEA-4352-9072-30E106994A48}" name="mo_method"/>
    <tableColumn id="38" xr3:uid="{07CB05C2-596B-4288-9E67-F499BC1DB71E}" name="lrc"/>
    <tableColumn id="39" xr3:uid="{FCDC9C66-C8EE-43BC-9633-CC0D75D73E07}" name="processreqs"/>
    <tableColumn id="40" xr3:uid="{9980FC45-619A-4F39-8631-D27C6E9F9CE5}" name="source_location"/>
    <tableColumn id="41" xr3:uid="{E16EC8C6-A147-4503-891F-3E025E5DD2E0}" name="notes"/>
    <tableColumn id="42" xr3:uid="{BD28D752-99FF-41DF-9D8B-252DE8E3914E}" name="enteredby"/>
    <tableColumn id="43" xr3:uid="{718F576C-B8DC-44B4-99CF-4E039C9CD7D3}" name="checkedby"/>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14890CC-C25B-4A76-AF23-D9EA203B198B}" name="LRC_Variables" displayName="LRC_Variables" ref="E2:F45" totalsRowShown="0" headerRowDxfId="0">
  <autoFilter ref="E2:F45" xr:uid="{A14890CC-C25B-4A76-AF23-D9EA203B198B}"/>
  <tableColumns count="2">
    <tableColumn id="1" xr3:uid="{617536E8-9AFD-4F89-A73D-0B42E3FD444E}" name="Variable"/>
    <tableColumn id="2" xr3:uid="{332C24BF-D683-46FA-900E-BFF52F7A8134}" name="Descriptio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AD6B286-07D6-4B8F-8147-DFC2325AE1D6}" name="LRV_Variables" displayName="LRV_Variables" ref="B2:C92" totalsRowShown="0">
  <autoFilter ref="B2:C92" xr:uid="{5AD6B286-07D6-4B8F-8147-DFC2325AE1D6}"/>
  <tableColumns count="2">
    <tableColumn id="1" xr3:uid="{1CD8519B-26E7-4DBA-B240-D68B01ABBCEF}" name="Variable"/>
    <tableColumn id="2" xr3:uid="{CD538313-89AF-4F9C-958B-F3AFF1C77569}" name="Descriptio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1" dT="2022-09-02T12:50:33.65" personId="{B15B3BF7-0E2E-4995-A69C-B2A4D940C290}" id="{02F590E6-EEB2-46BE-9DC3-2DC0B99E990F}">
    <text>we want to focus on actually demonstrated values, so don't use if it is just a review of other credits or "typical values"</text>
  </threadedComment>
  <threadedComment ref="I1" dT="2022-07-07T13:02:03.54" personId="{B15B3BF7-0E2E-4995-A69C-B2A4D940C290}" id="{5DB9DE17-0198-458D-9114-C031B0BCAC59}">
    <text>Have the data been extracted onto at least one of the LRT, LRC or LRV tabs?</text>
  </threadedComment>
  <threadedComment ref="A2" dT="2022-11-03T14:11:03.49" personId="{B15B3BF7-0E2E-4995-A69C-B2A4D940C290}" id="{D2A4362B-0F9E-4FA1-AE20-C8D727507549}">
    <text>@James Phillips add this one to the list as long as they isolate the LRV of the ultrafiltration process that follows the conventional activated sludge</text>
    <mentions>
      <mention mentionpersonId="{D387DF62-84A9-44BA-8BE6-60C0D977E61C}" mentionId="{AD1D7D0A-62B9-43BC-9D9D-B8184311B181}" startIndex="0" length="15"/>
    </mentions>
  </threadedComment>
  <threadedComment ref="I9" dT="2022-10-24T13:52:06.83" personId="{B15B3BF7-0E2E-4995-A69C-B2A4D940C290}" id="{D9B30689-FC6F-4840-B9A8-DD19E4DE253A}">
    <text>@James Phillips can you download this paper, review for ONLY total LRV (i.e., not individual subprocesses within the MBR)? Also, I'd like to use a short summary of this paper's findings as an overview of MBR removal mechanisms in our paper. If you have time, try and summarize in 1 or 2 paragraphs (the shorter the better) the important points about removal capabilities of MBRs in the MBR section of our paper (I'll flag the section). These paragraphs can also be supplemented with findings of Branch et al., 2021</text>
    <mentions>
      <mention mentionpersonId="{D387DF62-84A9-44BA-8BE6-60C0D977E61C}" mentionId="{6A3BE39B-CC4E-46C9-9E18-5B6444959D39}" startIndex="0" length="15"/>
    </mentions>
  </threadedComment>
  <threadedComment ref="A16" dT="2022-11-03T12:36:06.07" personId="{B15B3BF7-0E2E-4995-A69C-B2A4D940C290}" id="{79018D3D-41EB-4FBB-87F7-B4F45C8A0DEC}">
    <text>@James Phillips see if you have access to this, looks like just e coli and virus but we need bacteria for microfiltration</text>
    <mentions>
      <mention mentionpersonId="{D387DF62-84A9-44BA-8BE6-60C0D977E61C}" mentionId="{7823E419-8077-4960-A860-FC2306F8592F}" startIndex="0" length="15"/>
    </mentions>
  </threadedComment>
  <threadedComment ref="A24" dT="2022-11-04T14:49:31.96" personId="{B15B3BF7-0E2E-4995-A69C-B2A4D940C290}" id="{BB99335A-FDCB-4F67-B1EC-527BAE517395}">
    <text>@James Phillips Add this to the list if you have access and if they isolate the filter unit from the UV unit</text>
    <mentions>
      <mention mentionpersonId="{D387DF62-84A9-44BA-8BE6-60C0D977E61C}" mentionId="{9480D93A-E069-44F0-881E-BB0A7E41FA11}" startIndex="0" length="15"/>
    </mentions>
  </threadedComment>
  <threadedComment ref="H24" dT="2022-11-08T12:04:53.98" personId="{B15B3BF7-0E2E-4995-A69C-B2A4D940C290}" id="{D1355F35-B3A0-4F45-95BB-D74DA90FD8BC}">
    <text>@James Phillips take a look at the pdf in the UP folder, data is in the text, see the highlights for relevant information. For UV, make sure to note it’s a point of use system for a rainwater cistern</text>
    <mentions>
      <mention mentionpersonId="{D387DF62-84A9-44BA-8BE6-60C0D977E61C}" mentionId="{BD003AE4-2234-412D-BDD9-21BDEF4F4762}" startIndex="0" length="15"/>
    </mentions>
  </threadedComment>
  <threadedComment ref="A37" dT="2022-10-24T21:29:55.46" personId="{B15B3BF7-0E2E-4995-A69C-B2A4D940C290}" id="{5D206A90-05D0-498F-B5B0-BD53E34901E3}">
    <text xml:space="preserve">@James Phillips add this one to your list to review - pay particular attention to their conclusion that coliphage are not a good indicator of virus removal. This is contrary to other membrane or biofilm-based unit processes. 
https://cdnsciencepub.com/doi/abs/10.1139/W09-124
</text>
    <mentions>
      <mention mentionpersonId="{D387DF62-84A9-44BA-8BE6-60C0D977E61C}" mentionId="{ECFB5898-8F3E-4E58-8B81-2BE5BAE44E4A}" startIndex="0" length="15"/>
    </mentions>
  </threadedComment>
  <threadedComment ref="A39" dT="2022-11-03T19:35:42.12" personId="{B15B3BF7-0E2E-4995-A69C-B2A4D940C290}" id="{52B8C131-DD0A-44B9-824C-AB295D32DAA1}">
    <text>Classify as "cartridge filter" and note the range of pore sizes/filter materials that are included in that stage</text>
  </threadedComment>
  <threadedComment ref="A46" dT="2022-09-02T12:52:02.16" personId="{B15B3BF7-0E2E-4995-A69C-B2A4D940C290}" id="{85522C1A-FA7F-4915-9B22-D03B6B2D5614}">
    <text>this may be NRMMC; EPHC; NHMRC</text>
  </threadedComment>
  <threadedComment ref="A48" dT="2022-11-04T13:21:46.73" personId="{B15B3BF7-0E2E-4995-A69C-B2A4D940C290}" id="{68A3DC81-7950-4AD3-866D-6F7DC23FB58D}">
    <text>@James Phillips take a look at the SI, Table S2 for the nanofilter LRVs. Note they compared running secondary effluent through an existing reuse system, or through nanofiltration. Note bugs as Total Bacteria, Total Live Bacteria, Total Dead Bacteria. There's also an interesting discussion about how their sampling procedure likely underestimates the nanofilter effectiveness, as well as a discussion of antibiotic resistant genes - I don't think we want to go there in great detail (beyond scope) but it is something to be aware of as we will likely get there in future contracts</text>
    <mentions>
      <mention mentionpersonId="{D387DF62-84A9-44BA-8BE6-60C0D977E61C}" mentionId="{3D76DD6C-96CA-4066-8B1D-D0EBFE877AB7}" startIndex="0" length="15"/>
    </mentions>
  </threadedComment>
  <threadedComment ref="A48" dT="2022-11-04T13:22:08.63" personId="{B15B3BF7-0E2E-4995-A69C-B2A4D940C290}" id="{F700BB55-8D0B-4D4C-8896-D8DACA385D07}" parentId="{68A3DC81-7950-4AD3-866D-6F7DC23FB58D}">
    <text>Also I went ahead and downloaded this pdf and SI, in the UP folder</text>
  </threadedComment>
  <threadedComment ref="A49" dT="2022-10-25T14:54:09.59" personId="{B15B3BF7-0E2E-4995-A69C-B2A4D940C290}" id="{E59E012E-A0BF-4E9C-9682-FC2E9261B4EE}">
    <text>@James Phillips just input sand filter and peat filter, Morgan will do CW. Note discussion of pH and virus for peat filter</text>
    <mentions>
      <mention mentionpersonId="{D387DF62-84A9-44BA-8BE6-60C0D977E61C}" mentionId="{D532F70B-A157-4DAD-9CDD-C7128FE4E839}" startIndex="0" length="15"/>
    </mentions>
  </threadedComment>
  <threadedComment ref="A49" dT="2022-10-26T13:41:18.36" personId="{B15B3BF7-0E2E-4995-A69C-B2A4D940C290}" id="{0E2CB829-1594-4E52-BB6C-AB5AA555FB52}" parentId="{E59E012E-A0BF-4E9C-9682-FC2E9261B4EE}">
    <text>The author names are funky on this, seems like they milked the content for multiple papers. PDF is titled Olson et al., 2005 (Axler is the second author) but google scholar thinks the citation has Axler as first author</text>
  </threadedComment>
  <threadedComment ref="A56" dT="2022-10-26T13:47:28.93" personId="{B15B3BF7-0E2E-4995-A69C-B2A4D940C290}" id="{DC8E16F1-FFC2-4FBA-92D5-732B995A67E2}">
    <text>@James Phillips these are the same Minnesota systems as Axler/Olson et al., 2005, but with seeded salmonella. Ignore FC as I think we already have that from Axler/Olson (but may be worth checking)</text>
    <mentions>
      <mention mentionpersonId="{D387DF62-84A9-44BA-8BE6-60C0D977E61C}" mentionId="{F3532CEF-AF1A-4DE3-8092-2167FB230D69}" startIndex="0" length="15"/>
    </mentions>
  </threadedComment>
  <threadedComment ref="A56" dT="2022-10-28T19:42:44.21" personId="{0B38EF92-49F6-4379-9F51-A49BAE6FECD5}" id="{F57E29F2-78E3-457A-BF3C-AF6A704E374B}" parentId="{DC8E16F1-FFC2-4FBA-92D5-732B995A67E2}">
    <text>@Sam Arden I think the Salmonella results from this paper are actually the same ones in Olson. It does look like the fecal coliform results are different so I put that there instead</text>
    <mentions>
      <mention mentionpersonId="{EB460C95-2BEE-4368-A13A-99DBABF10B0A}" mentionId="{3C96355D-AD89-4524-84E4-7141481C17A1}" startIndex="0" length="10"/>
    </mentions>
  </threadedComment>
  <threadedComment ref="A58" dT="2022-10-04T16:50:27.07" personId="{B15B3BF7-0E2E-4995-A69C-B2A4D940C290}" id="{2431CBA7-03CE-42C0-8D4E-EEA4C93AB301}">
    <text>@James Phillips see if you have access to this one - if you do, see if there is sufficient design information for the processes that the study (MBR and AS). If yes, go ahead and review. Also, make sure to download a copy of the pdf for our records</text>
    <mentions>
      <mention mentionpersonId="{D387DF62-84A9-44BA-8BE6-60C0D977E61C}" mentionId="{AF5CFE02-5932-4063-ADD9-C8135E52D35B}" startIndex="0" length="15"/>
    </mentions>
  </threadedComment>
  <threadedComment ref="A61" dT="2022-09-29T21:29:54.98" personId="{B15B3BF7-0E2E-4995-A69C-B2A4D940C290}" id="{2574ED20-2493-4A1A-8D12-64AFF54D6CF7}">
    <text>@James Phillips @Morgan Anderson - James, pull this one into your list for the lagoon and UV components, see Table 3. Make sure to note UV dose and water transmittence. I think it may be interesting to compare UV performance when treating wetland/lagoon effluent vs more treated wastewater. Morgan is going to pull in the wetland components to her side of the house. PDF is in the resources folder.</text>
    <mentions>
      <mention mentionpersonId="{D387DF62-84A9-44BA-8BE6-60C0D977E61C}" mentionId="{09B71987-EB37-4F85-99E0-E2A14FA34DD7}" startIndex="0" length="15"/>
      <mention mentionpersonId="{F47525D2-1F54-4E21-B133-24B3F9227FD7}" mentionId="{F85471E4-2F57-4E50-9BFA-BB3A8D6D4004}" startIndex="16" length="16"/>
    </mentions>
  </threadedComment>
  <threadedComment ref="A63" dT="2022-11-03T21:37:19.72" personId="{B15B3BF7-0E2E-4995-A69C-B2A4D940C290}" id="{95F6FDDA-3221-4203-BB81-6A3F54E7D687}">
    <text>@James Phillips only review if they isolate the filtration unit, looking for cartridge filter or similar processes</text>
    <mentions>
      <mention mentionpersonId="{D387DF62-84A9-44BA-8BE6-60C0D977E61C}" mentionId="{F4B33078-1C73-4B1C-9228-C4BFE3446BA9}" startIndex="0" length="15"/>
    </mentions>
  </threadedComment>
  <threadedComment ref="A66" dT="2022-10-25T14:08:58.07" personId="{B15B3BF7-0E2E-4995-A69C-B2A4D940C290}" id="{4C1A54D2-4D08-4153-B72F-E2F98EB48546}">
    <text>@James Phillips one more for you</text>
    <mentions>
      <mention mentionpersonId="{D387DF62-84A9-44BA-8BE6-60C0D977E61C}" mentionId="{59080503-7C45-4F0B-88B5-9F20DE3A041C}" startIndex="0" length="15"/>
    </mentions>
  </threadedComment>
</ThreadedComments>
</file>

<file path=xl/threadedComments/threadedComment2.xml><?xml version="1.0" encoding="utf-8"?>
<ThreadedComments xmlns="http://schemas.microsoft.com/office/spreadsheetml/2018/threadedcomments" xmlns:x="http://schemas.openxmlformats.org/spreadsheetml/2006/main">
  <threadedComment ref="J2" dT="2023-05-10T17:08:36.14" personId="{B15B3BF7-0E2E-4995-A69C-B2A4D940C290}" id="{D73CD33D-A389-46B9-BCFD-7681FCBDA405}">
    <text xml:space="preserve">Note other parameters - MLSS, HRT, membrane flux, permeability in Other columns. </text>
  </threadedComment>
  <threadedComment ref="N2" dT="2023-05-10T17:07:56.80" personId="{B15B3BF7-0E2E-4995-A69C-B2A4D940C290}" id="{62C5DAB3-A3D2-4B9E-B2BF-52BB7744BBA2}">
    <text>Chemical type should be noted in Unit Process column</text>
  </threadedComment>
  <threadedComment ref="AW2" dT="2022-08-19T22:03:13.77" personId="{B15B3BF7-0E2E-4995-A69C-B2A4D940C290}" id="{C8A94DA7-34AD-49EC-BE92-8C6E5750DF4D}">
    <text>Only populate if readily available or if particularly important for the unit process (e.g., turbidity for UV)</text>
  </threadedComment>
  <threadedComment ref="I3" dT="2023-06-07T13:00:59.28" personId="{B15B3BF7-0E2E-4995-A69C-B2A4D940C290}" id="{7C557AED-4293-47CF-BBD4-317D8104C0E2}">
    <text>Lab, pilot or full</text>
  </threadedComment>
  <threadedComment ref="J3" dT="2023-05-10T17:40:19.49" personId="{B15B3BF7-0E2E-4995-A69C-B2A4D940C290}" id="{535E6670-5A24-480A-9C0F-12F3468E178F}">
    <text>Nominal, maximum, absolute, etc.</text>
  </threadedComment>
  <threadedComment ref="R3" dT="2023-07-27T17:37:28.07" personId="{B15B3BF7-0E2E-4995-A69C-B2A4D940C290}" id="{B98693F1-DC39-42EA-BD73-121C59C7AA7B}">
    <text>Enter X if we calculate CT from residual x time to note that we are estimating this value as opposed to taking a correct value that should be reported directly by the study</text>
  </threadedComment>
  <threadedComment ref="T3" dT="2023-07-27T17:41:38.46" personId="{B15B3BF7-0E2E-4995-A69C-B2A4D940C290}" id="{A93EEBF3-2BB6-4F8F-80C5-009D1CF4119F}">
    <text>UV intensity incorporates UVT, and is measured as Dose x UVT / t</text>
  </threadedComment>
  <threadedComment ref="AF3" dT="2022-08-22T20:21:12.63" personId="{B15B3BF7-0E2E-4995-A69C-B2A4D940C290}" id="{9EB82C87-EFF8-4256-AC98-8712B1A2200B}">
    <text>Only populate if the information is readily available.
e.g., requires pre-treatment for solids removal, requires influent TSS to be &lt; 10 mg/L.  If a quantitative requirement (e.g., TSS of 10 mg/L) is hard to identify that is OK, and we can just note qualitative requirements.</text>
  </threadedComment>
  <threadedComment ref="BF3" dT="2022-08-19T20:48:11.20" personId="{B15B3BF7-0E2E-4995-A69C-B2A4D940C290}" id="{A5DE2454-CCE7-42D9-97F0-29A87165832D}">
    <text>Sometimes data are reported as an influent concentration and a % removal, in which case you can use this column to calculate the effluent concentration and thus the log removal. In most cases, this will be left blank.</text>
  </threadedComment>
  <threadedComment ref="BK3" dT="2023-06-09T16:17:40.40" personId="{B15B3BF7-0E2E-4995-A69C-B2A4D940C290}" id="{990AF5E8-8E53-4800-93C0-C4EC2637A3E4}">
    <text>Table, figure or no/blank</text>
  </threadedComment>
  <threadedComment ref="BR3" dT="2023-06-07T18:17:11.90" personId="{B15B3BF7-0E2E-4995-A69C-B2A4D940C290}" id="{70FC24BF-C0DA-4804-B88F-D8B63C7F9C9A}">
    <text xml:space="preserve">Use the following codes:
BD - for concentrations less than method detection limit
</text>
  </threadedComment>
  <threadedComment ref="CF3" dT="2022-08-19T20:55:43.57" personId="{B15B3BF7-0E2E-4995-A69C-B2A4D940C290}" id="{6D9432E5-E490-4499-8734-6BE63CA15329}">
    <text xml:space="preserve">Note anything that is relevant here. For example, if the LR was particularly high or low and the study authors explained why, note that here. </text>
  </threadedComment>
  <threadedComment ref="BM129" dT="2023-06-27T01:39:21.33" personId="{696286F5-F339-4230-91A2-B0A12684C469}" id="{668AB2DF-183C-4F21-9984-DCCADE077C8E}">
    <text>Currently not including non-detects. @James Phillips  let me know if I should include them</text>
    <mentions>
      <mention mentionpersonId="{D387DF62-84A9-44BA-8BE6-60C0D977E61C}" mentionId="{2435A59A-70DA-40E7-9E26-D67130724863}" startIndex="37" length="15"/>
    </mentions>
  </threadedComment>
  <threadedComment ref="BM144" dT="2023-07-04T21:11:42.23" personId="{C7B9415F-FDA7-412F-B15E-449033686123}" id="{FEF6EDA0-D7CB-4028-BDA3-DADF5346E42D}">
    <text>@Emelyn Chiang 
Influent values are:
E coli 54, 31, 85
Clostridium 54, 23, 77
Coliphage 54, 23, 77
Outflow are:
E coli 71, 18, 89
Clos: 71, 14, 85, 
Coli: 71, 14, 85
See updated formula for preferred way of entering this information (average of the two values)</text>
    <mentions>
      <mention mentionpersonId="{8CC52D16-7736-4544-B6FA-52FCC8E42595}" mentionId="{621BF1A1-AC00-4193-B921-62CE4EF744AD}" startIndex="0" length="14"/>
    </mentions>
  </threadedComment>
  <threadedComment ref="BM144" dT="2023-07-06T03:32:32.82" personId="{696286F5-F339-4230-91A2-B0A12684C469}" id="{E8D430F6-D0CB-4C5A-97E8-E19245C369C8}" parentId="{FEF6EDA0-D7CB-4028-BDA3-DADF5346E42D}">
    <text>Thank you Linda, fixed this</text>
  </threadedComment>
  <threadedComment ref="AC165" dT="2023-05-10T15:05:20.41" personId="{B15B3BF7-0E2E-4995-A69C-B2A4D940C290}" id="{482790D7-B826-4E50-8EF7-1429A0E204A1}">
    <text>@James Phillips need design data. I see in the comments we may not have access to the right paper to get this info. If that is the case, can you start a list of papers we need access to and send out to #ERG at the end of this week?</text>
    <mentions>
      <mention mentionpersonId="{D387DF62-84A9-44BA-8BE6-60C0D977E61C}" mentionId="{842E6595-98B3-4E52-839C-DA00E34343F6}" startIndex="0" length="15"/>
    </mentions>
  </threadedComment>
  <threadedComment ref="AC165" dT="2023-05-17T17:34:58.29" personId="{0B38EF92-49F6-4379-9F51-A49BAE6FECD5}" id="{8B0BE412-D193-4E4D-80FF-0A5AA83162C1}" parentId="{482790D7-B826-4E50-8EF7-1429A0E204A1}">
    <text>No design data in this paper. Highlighted on left to delete if we can't get the paper from #ERG</text>
  </threadedComment>
  <threadedComment ref="BN173" dT="2023-07-06T18:05:24.54" personId="{696286F5-F339-4230-91A2-B0A12684C469}" id="{3B4AD7BB-7D22-48C7-A828-9BEBAE812D38}" done="1">
    <text>@James Phillips could you take Sun et al? I think there is more information here to be extracted but I am not sure how to read all these graphs.</text>
    <mentions>
      <mention mentionpersonId="{D387DF62-84A9-44BA-8BE6-60C0D977E61C}" mentionId="{7944B86F-CFCA-4DDD-B284-7BECAB9A7E4B}" startIndex="0" length="15"/>
    </mentions>
  </threadedComment>
  <threadedComment ref="AL178" dT="2023-05-10T15:08:03.82" personId="{B15B3BF7-0E2E-4995-A69C-B2A4D940C290}" id="{5514923E-FC0C-4C3C-9FF4-7DD6C93E0A41}">
    <text>@James Phillips add turbidity information</text>
    <mentions>
      <mention mentionpersonId="{D387DF62-84A9-44BA-8BE6-60C0D977E61C}" mentionId="{766139EC-91CA-4749-B8E3-D056CB91E016}" startIndex="0" length="15"/>
    </mentions>
  </threadedComment>
  <threadedComment ref="AL178" dT="2023-05-17T18:06:24.14" personId="{0B38EF92-49F6-4379-9F51-A49BAE6FECD5}" id="{74C26C94-C81B-4B67-A8E8-908E1B015D95}" parentId="{5514923E-FC0C-4C3C-9FF4-7DD6C93E0A41}">
    <text xml:space="preserve">@Sam Arden From the paper: "Activated sludge and settling tank overflow with suspended solids of 2000 mg/l and 20 mg/1 were mixed with 104/ml poliovirus and remained in contact for 30 min prior to the experiment." I'm not sure how to report this--any thoughts? </text>
    <mentions>
      <mention mentionpersonId="{EB460C95-2BEE-4368-A13A-99DBABF10B0A}" mentionId="{DFF09511-A5EC-4E38-9F09-2EDFDAB10A4C}" startIndex="0" length="10"/>
    </mentions>
  </threadedComment>
  <threadedComment ref="AD193" dT="2023-05-10T16:23:36.79" personId="{B15B3BF7-0E2E-4995-A69C-B2A4D940C290}" id="{EA63EE8B-2F5D-4032-B79A-EAC176D8172F}">
    <text>@James Phillips SRT, MLSS or HRT?</text>
    <mentions>
      <mention mentionpersonId="{D387DF62-84A9-44BA-8BE6-60C0D977E61C}" mentionId="{678FEC83-53AD-4941-B842-164BAB46F44F}" startIndex="0" length="15"/>
    </mentions>
  </threadedComment>
  <threadedComment ref="AD193" dT="2023-05-17T17:52:11.60" personId="{0B38EF92-49F6-4379-9F51-A49BAE6FECD5}" id="{A6EFE831-816E-40A5-82B7-C65B08D4AD2C}" parentId="{EA63EE8B-2F5D-4032-B79A-EAC176D8172F}">
    <text xml:space="preserve">@Sam Arden Can't find any design values for the WWTPs. We can delete. </text>
    <mentions>
      <mention mentionpersonId="{EB460C95-2BEE-4368-A13A-99DBABF10B0A}" mentionId="{A5B28F37-7BD8-4516-AE86-AD2E82BA697C}" startIndex="0" length="10"/>
    </mentions>
  </threadedComment>
  <threadedComment ref="AD195" dT="2023-05-10T16:23:50.98" personId="{B15B3BF7-0E2E-4995-A69C-B2A4D940C290}" id="{D6E47458-C18B-4B5E-8114-E2DA00F58FF4}">
    <text>@James Phillips HRT? MLSS?</text>
    <mentions>
      <mention mentionpersonId="{D387DF62-84A9-44BA-8BE6-60C0D977E61C}" mentionId="{136D81C1-B0E4-4578-8EF5-79A51DC03D7C}" startIndex="0" length="15"/>
    </mentions>
  </threadedComment>
  <threadedComment ref="AD197" dT="2023-05-10T16:24:08.64" personId="{B15B3BF7-0E2E-4995-A69C-B2A4D940C290}" id="{056B7607-F36F-466C-B865-DB3D167EDF86}">
    <text>@James Phillips SRT?</text>
    <mentions>
      <mention mentionpersonId="{D387DF62-84A9-44BA-8BE6-60C0D977E61C}" mentionId="{55B35391-1865-432E-9F5E-A9B13750100B}" startIndex="0" length="15"/>
    </mentions>
  </threadedComment>
  <threadedComment ref="AD197" dT="2023-05-17T18:16:45.93" personId="{0B38EF92-49F6-4379-9F51-A49BAE6FECD5}" id="{CB60F92B-1BEA-448F-AE0A-992AF1C2DC84}" parentId="{056B7607-F36F-466C-B865-DB3D167EDF86}">
    <text xml:space="preserve">@Sam Arden No design data for AS. We can delete. </text>
    <mentions>
      <mention mentionpersonId="{EB460C95-2BEE-4368-A13A-99DBABF10B0A}" mentionId="{5F1B1EAB-6A2E-4AA9-B0C5-36014B94D67F}" startIndex="0" length="10"/>
    </mentions>
  </threadedComment>
  <threadedComment ref="AI197" dT="2023-06-12T14:00:04.77" personId="{B15B3BF7-0E2E-4995-A69C-B2A4D940C290}" id="{CBDEC317-6053-40DF-B56C-8873870DFDF3}">
    <text>cbod</text>
  </threadedComment>
  <threadedComment ref="O211" dT="2023-06-12T13:04:30.08" personId="{B15B3BF7-0E2E-4995-A69C-B2A4D940C290}" id="{A06E4DFF-815B-400B-95FD-30373ACF1981}">
    <text>Average of residuals listed on page 2791</text>
  </threadedComment>
  <threadedComment ref="AC232" dT="2023-05-10T16:32:47.04" personId="{B15B3BF7-0E2E-4995-A69C-B2A4D940C290}" id="{1007872D-92D4-4818-A441-AFB68AAC8BA0}" done="1">
    <text>@James Phillips primary design value for ozone should be CT, or concentration multiplied by time. It is also helpful to have the two variables in the brief description. Move temperature over to the temperature column</text>
    <mentions>
      <mention mentionpersonId="{D387DF62-84A9-44BA-8BE6-60C0D977E61C}" mentionId="{E9146AF0-7A59-4838-B920-00EAFC1DB4C9}" startIndex="0" length="15"/>
    </mentions>
  </threadedComment>
  <threadedComment ref="B246" dT="2023-05-10T16:34:11.62" personId="{B15B3BF7-0E2E-4995-A69C-B2A4D940C290}" id="{83EC6D7A-B2B9-4BAE-BC16-266BD9896FA7}">
    <text>@James Phillips update dosage/design values following the first four recommendations</text>
    <mentions>
      <mention mentionpersonId="{D387DF62-84A9-44BA-8BE6-60C0D977E61C}" mentionId="{47A80985-A80D-4FFD-AEE3-C4F9BA905016}" startIndex="0" length="15"/>
    </mentions>
  </threadedComment>
  <threadedComment ref="B721" dT="2023-05-18T21:18:08.48" personId="{0B38EF92-49F6-4379-9F51-A49BAE6FECD5}" id="{C93BF71B-016F-4E2F-A166-8989CD46A111}">
    <text>From Arden &amp; Ma (2018)</text>
  </threadedComment>
  <threadedComment ref="B721" dT="2023-07-26T15:04:18.46" personId="{9C500932-DB26-426A-9DE3-8D696B2A115E}" id="{2775F634-492A-446A-92F0-39AC3BD85EA7}" parentId="{C93BF71B-016F-4E2F-A166-8989CD46A111}">
    <text>@James Phillips I added the SI from this paper to the resources folder. It has a few additional microorganisms and influent properties detailed</text>
    <mentions>
      <mention mentionpersonId="{D387DF62-84A9-44BA-8BE6-60C0D977E61C}" mentionId="{1E29F1C2-3281-4C6F-9000-CF04211FF06B}" startIndex="0" length="15"/>
    </mentions>
  </threadedComment>
  <threadedComment ref="B753" dT="2023-06-30T15:25:55.85" personId="{0B38EF92-49F6-4379-9F51-A49BAE6FECD5}" id="{A323A168-D83E-4E1A-89C2-460286379FBC}">
    <text>From Arden &amp; Ma, 2018</text>
  </threadedComment>
  <threadedComment ref="B756" dT="2023-06-30T15:25:41.45" personId="{0B38EF92-49F6-4379-9F51-A49BAE6FECD5}" id="{07A1762C-A39D-4D14-91FF-DA621B4CD76F}">
    <text>From Arden &amp; Ma, 2018</text>
  </threadedComment>
  <threadedComment ref="B766" dT="2023-06-30T15:18:45.05" personId="{0B38EF92-49F6-4379-9F51-A49BAE6FECD5}" id="{FB2227B3-9B42-4D4F-9CB3-56CE6E5F093E}">
    <text>From Arden &amp; Ma, 2018</text>
  </threadedComment>
  <threadedComment ref="B769" dT="2023-06-30T15:18:14.29" personId="{0B38EF92-49F6-4379-9F51-A49BAE6FECD5}" id="{8F37714B-95AF-4542-9505-7A70E03291F6}">
    <text>From Arden &amp; Ma, 2018</text>
  </threadedComment>
  <threadedComment ref="B821" dT="2023-06-30T15:12:03.26" personId="{0B38EF92-49F6-4379-9F51-A49BAE6FECD5}" id="{D375037C-81AB-4CF9-81BD-07A9D617B728}">
    <text>From Arden &amp; Ma, 2018</text>
  </threadedComment>
  <threadedComment ref="B829" dT="2023-06-30T15:11:51.70" personId="{0B38EF92-49F6-4379-9F51-A49BAE6FECD5}" id="{4E13D080-F37C-474C-87B7-5F27B0979D09}">
    <text>From Arden &amp; Ma, 2018</text>
  </threadedComment>
  <threadedComment ref="B847" dT="2023-06-30T15:11:35.65" personId="{0B38EF92-49F6-4379-9F51-A49BAE6FECD5}" id="{66570C5E-FB38-4F34-81D7-7875B77A195E}">
    <text>From Arden &amp; Ma, 2018</text>
  </threadedComment>
  <threadedComment ref="B851" dT="2023-06-30T15:08:43.13" personId="{0B38EF92-49F6-4379-9F51-A49BAE6FECD5}" id="{C57DCD95-DE8F-4571-9D8D-0427D188D229}">
    <text>From Arden &amp; Ma, 2018</text>
  </threadedComment>
  <threadedComment ref="B972" dT="2023-06-30T14:55:12.30" personId="{0B38EF92-49F6-4379-9F51-A49BAE6FECD5}" id="{C464C495-AE6D-4C2E-BA66-AAE594E13AB8}">
    <text xml:space="preserve">@Sam Arden I wasn't able to re-review this one since I think all the LRVs are from the SI and I can't access it. Any thoughts on how to move forward? </text>
    <mentions>
      <mention mentionpersonId="{EB460C95-2BEE-4368-A13A-99DBABF10B0A}" mentionId="{D12D2930-299B-4245-AFCC-0AAEA65EF4E7}" startIndex="0" length="10"/>
    </mentions>
  </threadedComment>
  <threadedComment ref="AO1032" dT="2023-06-09T16:01:01.49" personId="{B15B3BF7-0E2E-4995-A69C-B2A4D940C290}" id="{8829AEA2-8CBA-46ED-B61C-6D4BE2D7FFC7}">
    <text>254 nm UV absorbance</text>
  </threadedComment>
  <threadedComment ref="AO1038" dT="2023-06-09T16:01:01.49" personId="{B15B3BF7-0E2E-4995-A69C-B2A4D940C290}" id="{A5B3F1D7-D5DF-44E2-B9C3-BFE38A0BC0DF}">
    <text>254 nm UV absorbance</text>
  </threadedComment>
  <threadedComment ref="AO1044" dT="2023-06-09T16:01:01.49" personId="{B15B3BF7-0E2E-4995-A69C-B2A4D940C290}" id="{E1D5023F-E810-46E6-BC44-EFF52C1C8A5E}">
    <text>254 nm UV absorbance</text>
  </threadedComment>
  <threadedComment ref="AO1050" dT="2023-06-09T16:01:01.49" personId="{B15B3BF7-0E2E-4995-A69C-B2A4D940C290}" id="{2F76AB62-7E52-4896-B167-37A825321E30}">
    <text>254 nm UV absorbance</text>
  </threadedComment>
</ThreadedComments>
</file>

<file path=xl/threadedComments/threadedComment3.xml><?xml version="1.0" encoding="utf-8"?>
<ThreadedComments xmlns="http://schemas.microsoft.com/office/spreadsheetml/2018/threadedcomments" xmlns:x="http://schemas.openxmlformats.org/spreadsheetml/2006/main">
  <threadedComment ref="D2" dT="2023-05-10T17:08:36.14" personId="{B15B3BF7-0E2E-4995-A69C-B2A4D940C290}" id="{67322C2E-35EB-44B9-BC53-D99AC72311E6}">
    <text xml:space="preserve">Note other parameters - MLSS, HRT, membrane flux, permeability in Other columns. </text>
  </threadedComment>
  <threadedComment ref="I2" dT="2023-05-10T17:07:56.80" personId="{B15B3BF7-0E2E-4995-A69C-B2A4D940C290}" id="{332C14F2-99DB-429B-9E6B-A8B370C26CF5}">
    <text>Chemical type should be noted in Unit Process column</text>
  </threadedComment>
  <threadedComment ref="D3" dT="2023-05-10T17:40:19.49" personId="{B15B3BF7-0E2E-4995-A69C-B2A4D940C290}" id="{B1E5A300-FAE5-4F80-8ABA-030D4FCDAD32}">
    <text>Nominal, maximum, absolute, etc.</text>
  </threadedComment>
  <threadedComment ref="AM3" dT="2022-08-22T20:21:12.63" personId="{B15B3BF7-0E2E-4995-A69C-B2A4D940C290}" id="{C7261CA7-53CF-4A26-A693-1A5B49A5A770}">
    <text>Only populate if the information is readily available.
e.g., requires pre-treatment for solids removal, requires influent TSS to be &lt; 10 mg/L.  If a quantitative requirement (e.g., TSS of 10 mg/L) is hard to identify that is OK, and we can just note qualitative requirements.</text>
  </threadedComment>
  <threadedComment ref="AO3" dT="2022-08-19T20:55:43.57" personId="{B15B3BF7-0E2E-4995-A69C-B2A4D940C290}" id="{04216CBD-92F8-48D8-865C-869D66EE80E8}">
    <text>Note anything that is relevant here. For example, if the LR was particularly high or low and the study authors explained why, note that here. Alternatively, if this study provides a good discussion of important details, note that here so we can circle back.</text>
  </threadedComment>
</ThreadedComments>
</file>

<file path=xl/threadedComments/threadedComment4.xml><?xml version="1.0" encoding="utf-8"?>
<ThreadedComments xmlns="http://schemas.microsoft.com/office/spreadsheetml/2018/threadedcomments" xmlns:x="http://schemas.openxmlformats.org/spreadsheetml/2006/main">
  <threadedComment ref="B5" dT="2023-06-11T13:01:24.86" personId="{B15B3BF7-0E2E-4995-A69C-B2A4D940C290}" id="{6F175539-F301-4817-8373-CFCD7C72D73C}">
    <text>Space for 3 rows, as there are generally not more sources than that for a given UP</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sciencedirect.com/science/article/pii/B9780444531780000067"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6" Type="http://schemas.microsoft.com/office/2019/04/relationships/documenttask" Target="../documenttasks/documenttask1.xml"/><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39697-4AF8-469B-8A66-862ECC1CA4E6}">
  <sheetPr codeName="Sheet1"/>
  <dimension ref="B1:C37"/>
  <sheetViews>
    <sheetView tabSelected="1" workbookViewId="0">
      <selection activeCell="B2" sqref="B2:C2"/>
    </sheetView>
  </sheetViews>
  <sheetFormatPr defaultColWidth="8.88671875" defaultRowHeight="13.2" customHeight="1" zeroHeight="1" x14ac:dyDescent="0.25"/>
  <cols>
    <col min="1" max="1" width="3.44140625" style="54" customWidth="1"/>
    <col min="2" max="2" width="35.6640625" style="54" customWidth="1"/>
    <col min="3" max="3" width="125" style="54" customWidth="1"/>
    <col min="4" max="8" width="8.88671875" style="54" customWidth="1"/>
    <col min="9" max="16384" width="8.88671875" style="54"/>
  </cols>
  <sheetData>
    <row r="1" spans="2:3" x14ac:dyDescent="0.25"/>
    <row r="2" spans="2:3" ht="58.8" customHeight="1" x14ac:dyDescent="0.55000000000000004">
      <c r="B2" s="113" t="s">
        <v>1298</v>
      </c>
      <c r="C2" s="113"/>
    </row>
    <row r="3" spans="2:3" x14ac:dyDescent="0.25"/>
    <row r="4" spans="2:3" ht="29.4" thickBot="1" x14ac:dyDescent="0.6">
      <c r="B4" s="94" t="s">
        <v>0</v>
      </c>
      <c r="C4" s="55"/>
    </row>
    <row r="5" spans="2:3" ht="14.4" x14ac:dyDescent="0.25">
      <c r="B5" s="56" t="s">
        <v>1293</v>
      </c>
      <c r="C5" s="57" t="s">
        <v>1294</v>
      </c>
    </row>
    <row r="6" spans="2:3" s="56" customFormat="1" ht="14.4" x14ac:dyDescent="0.3">
      <c r="B6" s="56" t="s">
        <v>1</v>
      </c>
      <c r="C6" s="57" t="s">
        <v>2</v>
      </c>
    </row>
    <row r="7" spans="2:3" s="56" customFormat="1" ht="14.4" x14ac:dyDescent="0.3">
      <c r="B7" s="56" t="s">
        <v>3</v>
      </c>
      <c r="C7" s="57" t="s">
        <v>4</v>
      </c>
    </row>
    <row r="8" spans="2:3" s="56" customFormat="1" ht="14.4" x14ac:dyDescent="0.3">
      <c r="B8" s="56" t="s">
        <v>1147</v>
      </c>
      <c r="C8" s="57" t="s">
        <v>5</v>
      </c>
    </row>
    <row r="9" spans="2:3" s="56" customFormat="1" ht="14.4" x14ac:dyDescent="0.3">
      <c r="B9" s="56" t="s">
        <v>743</v>
      </c>
      <c r="C9" s="57" t="s">
        <v>1199</v>
      </c>
    </row>
    <row r="10" spans="2:3" s="56" customFormat="1" ht="14.4" x14ac:dyDescent="0.3">
      <c r="B10" s="56" t="s">
        <v>1148</v>
      </c>
      <c r="C10" s="57" t="s">
        <v>1200</v>
      </c>
    </row>
    <row r="11" spans="2:3" s="56" customFormat="1" ht="15" thickBot="1" x14ac:dyDescent="0.35">
      <c r="B11" s="56" t="s">
        <v>1149</v>
      </c>
      <c r="C11" s="57" t="s">
        <v>1217</v>
      </c>
    </row>
    <row r="12" spans="2:3" s="56" customFormat="1" ht="14.4" x14ac:dyDescent="0.3">
      <c r="B12" s="58"/>
      <c r="C12" s="59"/>
    </row>
    <row r="13" spans="2:3" x14ac:dyDescent="0.25"/>
    <row r="14" spans="2:3" x14ac:dyDescent="0.25"/>
    <row r="15" spans="2:3" x14ac:dyDescent="0.25"/>
    <row r="16" spans="2:3" x14ac:dyDescent="0.25"/>
    <row r="17" x14ac:dyDescent="0.25"/>
    <row r="18" x14ac:dyDescent="0.25"/>
    <row r="19" x14ac:dyDescent="0.25"/>
    <row r="20" x14ac:dyDescent="0.25"/>
    <row r="21" x14ac:dyDescent="0.25"/>
    <row r="22" x14ac:dyDescent="0.25"/>
    <row r="23" x14ac:dyDescent="0.25"/>
    <row r="24" x14ac:dyDescent="0.25"/>
    <row r="25" ht="13.2" customHeight="1" x14ac:dyDescent="0.25"/>
    <row r="26" ht="13.2" customHeight="1" x14ac:dyDescent="0.25"/>
    <row r="27" ht="13.2" customHeight="1" x14ac:dyDescent="0.25"/>
    <row r="28" ht="13.2" customHeight="1" x14ac:dyDescent="0.25"/>
    <row r="29" ht="13.2" customHeight="1" x14ac:dyDescent="0.25"/>
    <row r="30" ht="13.2" customHeight="1" x14ac:dyDescent="0.25"/>
    <row r="31" ht="13.2" customHeight="1" x14ac:dyDescent="0.25"/>
    <row r="32" ht="13.2" customHeight="1" x14ac:dyDescent="0.25"/>
    <row r="33" ht="13.2" customHeight="1" x14ac:dyDescent="0.25"/>
    <row r="34" ht="13.2" customHeight="1" x14ac:dyDescent="0.25"/>
    <row r="35" ht="13.2" customHeight="1" x14ac:dyDescent="0.25"/>
    <row r="36" ht="13.2" customHeight="1" x14ac:dyDescent="0.25"/>
    <row r="37" ht="13.2" customHeight="1" x14ac:dyDescent="0.25"/>
  </sheetData>
  <mergeCells count="1">
    <mergeCell ref="B2:C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3A85E-EC1D-46E3-87A2-FF6E989838F3}">
  <dimension ref="B2:H89"/>
  <sheetViews>
    <sheetView showGridLines="0" workbookViewId="0">
      <selection activeCell="C18" sqref="C18"/>
    </sheetView>
  </sheetViews>
  <sheetFormatPr defaultRowHeight="14.4" x14ac:dyDescent="0.3"/>
  <cols>
    <col min="1" max="1" width="4.88671875" customWidth="1"/>
    <col min="2" max="2" width="13.77734375" style="103" customWidth="1"/>
    <col min="3" max="3" width="33.6640625" customWidth="1"/>
    <col min="4" max="4" width="82.5546875" customWidth="1"/>
    <col min="5" max="5" width="4.5546875" customWidth="1"/>
    <col min="6" max="6" width="13.77734375" style="7" customWidth="1"/>
    <col min="7" max="7" width="28.33203125" bestFit="1" customWidth="1"/>
    <col min="8" max="8" width="45.88671875" customWidth="1"/>
  </cols>
  <sheetData>
    <row r="2" spans="2:8" x14ac:dyDescent="0.3">
      <c r="B2" s="106" t="s">
        <v>1097</v>
      </c>
      <c r="F2" s="106" t="s">
        <v>1096</v>
      </c>
    </row>
    <row r="3" spans="2:8" x14ac:dyDescent="0.3">
      <c r="B3" s="107" t="s">
        <v>1284</v>
      </c>
      <c r="C3" s="108" t="s">
        <v>1285</v>
      </c>
      <c r="D3" s="108" t="s">
        <v>1101</v>
      </c>
      <c r="F3" s="107" t="s">
        <v>1284</v>
      </c>
      <c r="G3" s="108" t="s">
        <v>1285</v>
      </c>
      <c r="H3" s="108" t="s">
        <v>1101</v>
      </c>
    </row>
    <row r="4" spans="2:8" x14ac:dyDescent="0.3">
      <c r="B4" s="104"/>
      <c r="C4" s="19" t="s">
        <v>292</v>
      </c>
      <c r="D4" s="19" t="s">
        <v>1226</v>
      </c>
      <c r="F4" s="109"/>
      <c r="G4" s="19" t="s">
        <v>292</v>
      </c>
      <c r="H4" s="19" t="s">
        <v>1226</v>
      </c>
    </row>
    <row r="5" spans="2:8" x14ac:dyDescent="0.3">
      <c r="B5" s="104"/>
      <c r="C5" s="19" t="s">
        <v>293</v>
      </c>
      <c r="D5" s="19" t="s">
        <v>1227</v>
      </c>
      <c r="F5" s="109"/>
      <c r="G5" s="19" t="s">
        <v>293</v>
      </c>
      <c r="H5" s="19" t="s">
        <v>1227</v>
      </c>
    </row>
    <row r="6" spans="2:8" x14ac:dyDescent="0.3">
      <c r="B6" s="104"/>
      <c r="C6" s="19" t="s">
        <v>421</v>
      </c>
      <c r="D6" s="19" t="s">
        <v>1228</v>
      </c>
      <c r="F6" s="109"/>
      <c r="G6" s="19" t="s">
        <v>421</v>
      </c>
      <c r="H6" s="19" t="s">
        <v>1228</v>
      </c>
    </row>
    <row r="7" spans="2:8" x14ac:dyDescent="0.3">
      <c r="B7" s="104"/>
      <c r="C7" s="19" t="s">
        <v>422</v>
      </c>
      <c r="D7" s="19" t="s">
        <v>1231</v>
      </c>
      <c r="F7" s="114" t="s">
        <v>409</v>
      </c>
      <c r="G7" s="19" t="s">
        <v>428</v>
      </c>
      <c r="H7" s="19" t="s">
        <v>1236</v>
      </c>
    </row>
    <row r="8" spans="2:8" x14ac:dyDescent="0.3">
      <c r="B8" s="104"/>
      <c r="C8" s="19" t="s">
        <v>423</v>
      </c>
      <c r="D8" s="19" t="s">
        <v>1230</v>
      </c>
      <c r="F8" s="114"/>
      <c r="G8" s="19" t="s">
        <v>429</v>
      </c>
      <c r="H8" s="19" t="s">
        <v>429</v>
      </c>
    </row>
    <row r="9" spans="2:8" x14ac:dyDescent="0.3">
      <c r="B9" s="104"/>
      <c r="C9" s="19" t="s">
        <v>425</v>
      </c>
      <c r="D9" s="19" t="s">
        <v>1232</v>
      </c>
      <c r="F9" s="114"/>
      <c r="G9" s="19" t="s">
        <v>430</v>
      </c>
      <c r="H9" s="19" t="s">
        <v>430</v>
      </c>
    </row>
    <row r="10" spans="2:8" x14ac:dyDescent="0.3">
      <c r="B10" s="104"/>
      <c r="C10" s="19" t="s">
        <v>419</v>
      </c>
      <c r="D10" s="19" t="s">
        <v>1233</v>
      </c>
      <c r="F10" s="114"/>
      <c r="G10" s="19" t="s">
        <v>431</v>
      </c>
      <c r="H10" s="19" t="s">
        <v>431</v>
      </c>
    </row>
    <row r="11" spans="2:8" x14ac:dyDescent="0.3">
      <c r="B11" s="104"/>
      <c r="C11" s="19" t="s">
        <v>426</v>
      </c>
      <c r="D11" s="19" t="s">
        <v>1234</v>
      </c>
      <c r="F11" s="114"/>
      <c r="G11" s="19" t="s">
        <v>984</v>
      </c>
      <c r="H11" s="19" t="s">
        <v>984</v>
      </c>
    </row>
    <row r="12" spans="2:8" x14ac:dyDescent="0.3">
      <c r="B12" s="104"/>
      <c r="C12" s="19" t="s">
        <v>427</v>
      </c>
      <c r="D12" s="19" t="s">
        <v>1235</v>
      </c>
      <c r="F12" s="114" t="s">
        <v>410</v>
      </c>
      <c r="G12" s="19" t="s">
        <v>432</v>
      </c>
      <c r="H12" s="19" t="s">
        <v>1237</v>
      </c>
    </row>
    <row r="13" spans="2:8" x14ac:dyDescent="0.3">
      <c r="B13" s="114" t="s">
        <v>409</v>
      </c>
      <c r="C13" s="19" t="s">
        <v>428</v>
      </c>
      <c r="D13" s="19" t="s">
        <v>1236</v>
      </c>
      <c r="F13" s="114"/>
      <c r="G13" s="19" t="s">
        <v>433</v>
      </c>
      <c r="H13" s="19" t="s">
        <v>1238</v>
      </c>
    </row>
    <row r="14" spans="2:8" x14ac:dyDescent="0.3">
      <c r="B14" s="114"/>
      <c r="C14" s="19" t="s">
        <v>429</v>
      </c>
      <c r="D14" s="19" t="s">
        <v>429</v>
      </c>
      <c r="F14" s="114"/>
      <c r="G14" s="19" t="s">
        <v>434</v>
      </c>
      <c r="H14" s="19" t="s">
        <v>1240</v>
      </c>
    </row>
    <row r="15" spans="2:8" x14ac:dyDescent="0.3">
      <c r="B15" s="114"/>
      <c r="C15" s="19" t="s">
        <v>430</v>
      </c>
      <c r="D15" s="19" t="s">
        <v>430</v>
      </c>
      <c r="F15" s="114"/>
      <c r="G15" s="19" t="s">
        <v>435</v>
      </c>
      <c r="H15" s="19" t="s">
        <v>1239</v>
      </c>
    </row>
    <row r="16" spans="2:8" x14ac:dyDescent="0.3">
      <c r="B16" s="114"/>
      <c r="C16" s="19" t="s">
        <v>431</v>
      </c>
      <c r="D16" s="19" t="s">
        <v>431</v>
      </c>
      <c r="F16" s="109" t="s">
        <v>329</v>
      </c>
      <c r="G16" s="19" t="s">
        <v>437</v>
      </c>
      <c r="H16" s="19" t="s">
        <v>437</v>
      </c>
    </row>
    <row r="17" spans="2:8" x14ac:dyDescent="0.3">
      <c r="B17" s="114" t="s">
        <v>410</v>
      </c>
      <c r="C17" s="19" t="s">
        <v>432</v>
      </c>
      <c r="D17" s="19" t="s">
        <v>1237</v>
      </c>
      <c r="F17" s="114" t="s">
        <v>411</v>
      </c>
      <c r="G17" s="19" t="s">
        <v>439</v>
      </c>
      <c r="H17" s="19" t="s">
        <v>439</v>
      </c>
    </row>
    <row r="18" spans="2:8" x14ac:dyDescent="0.3">
      <c r="B18" s="114"/>
      <c r="C18" s="19" t="s">
        <v>433</v>
      </c>
      <c r="D18" s="19" t="s">
        <v>1238</v>
      </c>
      <c r="F18" s="114"/>
      <c r="G18" s="19" t="s">
        <v>440</v>
      </c>
      <c r="H18" s="19" t="s">
        <v>1242</v>
      </c>
    </row>
    <row r="19" spans="2:8" x14ac:dyDescent="0.3">
      <c r="B19" s="114"/>
      <c r="C19" s="19" t="s">
        <v>434</v>
      </c>
      <c r="D19" s="19" t="s">
        <v>1240</v>
      </c>
      <c r="F19" s="114"/>
      <c r="G19" s="19" t="s">
        <v>441</v>
      </c>
      <c r="H19" s="19" t="s">
        <v>441</v>
      </c>
    </row>
    <row r="20" spans="2:8" x14ac:dyDescent="0.3">
      <c r="B20" s="114"/>
      <c r="C20" s="19" t="s">
        <v>435</v>
      </c>
      <c r="D20" s="19" t="s">
        <v>1239</v>
      </c>
      <c r="F20" s="114"/>
      <c r="G20" s="19" t="s">
        <v>442</v>
      </c>
      <c r="H20" s="19" t="s">
        <v>442</v>
      </c>
    </row>
    <row r="21" spans="2:8" x14ac:dyDescent="0.3">
      <c r="B21" s="114"/>
      <c r="C21" s="19" t="s">
        <v>436</v>
      </c>
      <c r="D21" s="19" t="s">
        <v>1241</v>
      </c>
      <c r="F21" s="114"/>
      <c r="G21" s="19" t="s">
        <v>443</v>
      </c>
      <c r="H21" s="19" t="s">
        <v>443</v>
      </c>
    </row>
    <row r="22" spans="2:8" x14ac:dyDescent="0.3">
      <c r="B22" s="114" t="s">
        <v>329</v>
      </c>
      <c r="C22" s="19" t="s">
        <v>437</v>
      </c>
      <c r="D22" s="19" t="s">
        <v>437</v>
      </c>
      <c r="F22" s="114" t="s">
        <v>412</v>
      </c>
      <c r="G22" s="19" t="s">
        <v>444</v>
      </c>
      <c r="H22" s="19" t="s">
        <v>1243</v>
      </c>
    </row>
    <row r="23" spans="2:8" x14ac:dyDescent="0.3">
      <c r="B23" s="114"/>
      <c r="C23" s="19" t="s">
        <v>438</v>
      </c>
      <c r="D23" s="19" t="s">
        <v>438</v>
      </c>
      <c r="F23" s="114"/>
      <c r="G23" s="19" t="s">
        <v>445</v>
      </c>
      <c r="H23" s="19" t="s">
        <v>1244</v>
      </c>
    </row>
    <row r="24" spans="2:8" x14ac:dyDescent="0.3">
      <c r="B24" s="114" t="s">
        <v>411</v>
      </c>
      <c r="C24" s="19" t="s">
        <v>439</v>
      </c>
      <c r="D24" s="19" t="s">
        <v>439</v>
      </c>
      <c r="F24" s="114"/>
      <c r="G24" s="19" t="s">
        <v>446</v>
      </c>
      <c r="H24" s="19" t="s">
        <v>1245</v>
      </c>
    </row>
    <row r="25" spans="2:8" x14ac:dyDescent="0.3">
      <c r="B25" s="114"/>
      <c r="C25" s="19" t="s">
        <v>440</v>
      </c>
      <c r="D25" s="19" t="s">
        <v>1242</v>
      </c>
      <c r="F25" s="114"/>
      <c r="G25" s="19" t="s">
        <v>425</v>
      </c>
      <c r="H25" s="19" t="s">
        <v>1229</v>
      </c>
    </row>
    <row r="26" spans="2:8" x14ac:dyDescent="0.3">
      <c r="B26" s="114"/>
      <c r="C26" s="19" t="s">
        <v>441</v>
      </c>
      <c r="D26" s="19" t="s">
        <v>441</v>
      </c>
      <c r="F26" s="114"/>
      <c r="G26" s="19" t="s">
        <v>426</v>
      </c>
      <c r="H26" s="19" t="s">
        <v>1286</v>
      </c>
    </row>
    <row r="27" spans="2:8" x14ac:dyDescent="0.3">
      <c r="B27" s="114"/>
      <c r="C27" s="19" t="s">
        <v>442</v>
      </c>
      <c r="D27" s="19" t="s">
        <v>442</v>
      </c>
      <c r="F27" s="114" t="s">
        <v>982</v>
      </c>
      <c r="G27" s="19" t="s">
        <v>400</v>
      </c>
      <c r="H27" s="19" t="s">
        <v>400</v>
      </c>
    </row>
    <row r="28" spans="2:8" x14ac:dyDescent="0.3">
      <c r="B28" s="114"/>
      <c r="C28" s="19" t="s">
        <v>443</v>
      </c>
      <c r="D28" s="19" t="s">
        <v>443</v>
      </c>
      <c r="F28" s="114"/>
      <c r="G28" s="19" t="s">
        <v>401</v>
      </c>
      <c r="H28" s="19" t="s">
        <v>1247</v>
      </c>
    </row>
    <row r="29" spans="2:8" x14ac:dyDescent="0.3">
      <c r="B29" s="114" t="s">
        <v>412</v>
      </c>
      <c r="C29" s="19" t="s">
        <v>444</v>
      </c>
      <c r="D29" s="19" t="s">
        <v>1243</v>
      </c>
      <c r="F29" s="114"/>
      <c r="G29" s="19" t="s">
        <v>402</v>
      </c>
      <c r="H29" s="19" t="s">
        <v>1248</v>
      </c>
    </row>
    <row r="30" spans="2:8" x14ac:dyDescent="0.3">
      <c r="B30" s="114"/>
      <c r="C30" s="19" t="s">
        <v>445</v>
      </c>
      <c r="D30" s="19" t="s">
        <v>1244</v>
      </c>
      <c r="F30" s="114"/>
      <c r="G30" s="19" t="s">
        <v>403</v>
      </c>
      <c r="H30" s="19" t="s">
        <v>1250</v>
      </c>
    </row>
    <row r="31" spans="2:8" x14ac:dyDescent="0.3">
      <c r="B31" s="114"/>
      <c r="C31" s="19" t="s">
        <v>446</v>
      </c>
      <c r="D31" s="19" t="s">
        <v>1245</v>
      </c>
      <c r="F31" s="114"/>
      <c r="G31" s="19" t="s">
        <v>404</v>
      </c>
      <c r="H31" s="19" t="s">
        <v>404</v>
      </c>
    </row>
    <row r="32" spans="2:8" x14ac:dyDescent="0.3">
      <c r="B32" s="114" t="s">
        <v>413</v>
      </c>
      <c r="C32" s="19" t="s">
        <v>447</v>
      </c>
      <c r="D32" s="19" t="s">
        <v>447</v>
      </c>
      <c r="F32" s="114"/>
      <c r="G32" s="19" t="s">
        <v>405</v>
      </c>
      <c r="H32" s="19" t="s">
        <v>1252</v>
      </c>
    </row>
    <row r="33" spans="2:8" x14ac:dyDescent="0.3">
      <c r="B33" s="114"/>
      <c r="C33" s="19" t="s">
        <v>448</v>
      </c>
      <c r="D33" s="19" t="s">
        <v>448</v>
      </c>
      <c r="F33" s="114"/>
      <c r="G33" s="19" t="s">
        <v>454</v>
      </c>
      <c r="H33" s="19" t="s">
        <v>1259</v>
      </c>
    </row>
    <row r="34" spans="2:8" x14ac:dyDescent="0.3">
      <c r="B34" s="114"/>
      <c r="C34" s="19" t="s">
        <v>449</v>
      </c>
      <c r="D34" s="19" t="s">
        <v>449</v>
      </c>
      <c r="F34" s="114"/>
      <c r="G34" s="19" t="s">
        <v>406</v>
      </c>
      <c r="H34" s="19" t="s">
        <v>1253</v>
      </c>
    </row>
    <row r="35" spans="2:8" x14ac:dyDescent="0.3">
      <c r="B35" s="114"/>
      <c r="C35" s="19" t="s">
        <v>450</v>
      </c>
      <c r="D35" s="19" t="s">
        <v>1246</v>
      </c>
      <c r="F35" s="114"/>
      <c r="G35" s="19" t="s">
        <v>407</v>
      </c>
      <c r="H35" s="19" t="s">
        <v>1254</v>
      </c>
    </row>
    <row r="36" spans="2:8" x14ac:dyDescent="0.3">
      <c r="B36" s="114" t="s">
        <v>414</v>
      </c>
      <c r="C36" s="19" t="s">
        <v>400</v>
      </c>
      <c r="D36" s="19" t="s">
        <v>400</v>
      </c>
      <c r="F36" s="114"/>
      <c r="G36" s="19" t="s">
        <v>408</v>
      </c>
      <c r="H36" s="19" t="s">
        <v>1258</v>
      </c>
    </row>
    <row r="37" spans="2:8" x14ac:dyDescent="0.3">
      <c r="B37" s="114"/>
      <c r="C37" s="19" t="s">
        <v>401</v>
      </c>
      <c r="D37" s="19" t="s">
        <v>1247</v>
      </c>
      <c r="F37" s="114" t="s">
        <v>983</v>
      </c>
      <c r="G37" s="19" t="s">
        <v>460</v>
      </c>
      <c r="H37" s="19" t="s">
        <v>1261</v>
      </c>
    </row>
    <row r="38" spans="2:8" x14ac:dyDescent="0.3">
      <c r="B38" s="114"/>
      <c r="C38" s="19" t="s">
        <v>402</v>
      </c>
      <c r="D38" s="19" t="s">
        <v>1248</v>
      </c>
      <c r="F38" s="114"/>
      <c r="G38" s="19" t="s">
        <v>985</v>
      </c>
      <c r="H38" s="19" t="s">
        <v>1287</v>
      </c>
    </row>
    <row r="39" spans="2:8" x14ac:dyDescent="0.3">
      <c r="B39" s="114"/>
      <c r="C39" s="19" t="s">
        <v>451</v>
      </c>
      <c r="D39" s="19" t="s">
        <v>1249</v>
      </c>
      <c r="F39" s="114"/>
      <c r="G39" s="19" t="s">
        <v>986</v>
      </c>
      <c r="H39" s="19" t="s">
        <v>1288</v>
      </c>
    </row>
    <row r="40" spans="2:8" x14ac:dyDescent="0.3">
      <c r="B40" s="114"/>
      <c r="C40" s="19" t="s">
        <v>403</v>
      </c>
      <c r="D40" s="19" t="s">
        <v>1250</v>
      </c>
      <c r="F40" s="114"/>
      <c r="G40" s="19" t="s">
        <v>462</v>
      </c>
      <c r="H40" s="19" t="s">
        <v>1289</v>
      </c>
    </row>
    <row r="41" spans="2:8" x14ac:dyDescent="0.3">
      <c r="B41" s="114"/>
      <c r="C41" s="19" t="s">
        <v>452</v>
      </c>
      <c r="D41" s="19" t="s">
        <v>404</v>
      </c>
      <c r="F41" s="114"/>
      <c r="G41" s="19" t="s">
        <v>983</v>
      </c>
      <c r="H41" s="19" t="s">
        <v>1290</v>
      </c>
    </row>
    <row r="42" spans="2:8" x14ac:dyDescent="0.3">
      <c r="B42" s="114"/>
      <c r="C42" s="19" t="s">
        <v>453</v>
      </c>
      <c r="D42" s="19" t="s">
        <v>1251</v>
      </c>
      <c r="F42" s="114"/>
      <c r="G42" s="19" t="s">
        <v>450</v>
      </c>
      <c r="H42" s="19" t="s">
        <v>1291</v>
      </c>
    </row>
    <row r="43" spans="2:8" x14ac:dyDescent="0.3">
      <c r="B43" s="114"/>
      <c r="C43" s="19" t="s">
        <v>405</v>
      </c>
      <c r="D43" s="19" t="s">
        <v>1252</v>
      </c>
      <c r="F43" s="114"/>
      <c r="G43" s="19" t="s">
        <v>466</v>
      </c>
      <c r="H43" s="19" t="s">
        <v>1292</v>
      </c>
    </row>
    <row r="44" spans="2:8" x14ac:dyDescent="0.3">
      <c r="B44" s="114"/>
      <c r="C44" s="19" t="s">
        <v>454</v>
      </c>
      <c r="D44" s="19" t="s">
        <v>1259</v>
      </c>
      <c r="F44" s="114"/>
      <c r="G44" s="19" t="s">
        <v>467</v>
      </c>
      <c r="H44" s="19" t="s">
        <v>1280</v>
      </c>
    </row>
    <row r="45" spans="2:8" x14ac:dyDescent="0.3">
      <c r="B45" s="114"/>
      <c r="C45" s="19" t="s">
        <v>406</v>
      </c>
      <c r="D45" s="19" t="s">
        <v>1253</v>
      </c>
      <c r="F45" s="114"/>
      <c r="G45" s="19" t="s">
        <v>468</v>
      </c>
      <c r="H45" s="19" t="s">
        <v>1281</v>
      </c>
    </row>
    <row r="46" spans="2:8" x14ac:dyDescent="0.3">
      <c r="B46" s="114"/>
      <c r="C46" s="19" t="s">
        <v>407</v>
      </c>
      <c r="D46" s="19" t="s">
        <v>1254</v>
      </c>
      <c r="F46" s="114"/>
      <c r="G46" s="19" t="s">
        <v>469</v>
      </c>
      <c r="H46" s="19" t="s">
        <v>1282</v>
      </c>
    </row>
    <row r="47" spans="2:8" x14ac:dyDescent="0.3">
      <c r="B47" s="114"/>
      <c r="C47" s="19" t="s">
        <v>455</v>
      </c>
      <c r="D47" s="19" t="s">
        <v>1255</v>
      </c>
    </row>
    <row r="48" spans="2:8" x14ac:dyDescent="0.3">
      <c r="B48" s="114"/>
      <c r="C48" s="19" t="s">
        <v>456</v>
      </c>
      <c r="D48" s="19" t="s">
        <v>1256</v>
      </c>
    </row>
    <row r="49" spans="2:4" x14ac:dyDescent="0.3">
      <c r="B49" s="114"/>
      <c r="C49" s="19" t="s">
        <v>457</v>
      </c>
      <c r="D49" s="19" t="s">
        <v>1257</v>
      </c>
    </row>
    <row r="50" spans="2:4" x14ac:dyDescent="0.3">
      <c r="B50" s="114"/>
      <c r="C50" s="19" t="s">
        <v>458</v>
      </c>
      <c r="D50" s="19" t="s">
        <v>1283</v>
      </c>
    </row>
    <row r="51" spans="2:4" x14ac:dyDescent="0.3">
      <c r="B51" s="114"/>
      <c r="C51" s="19" t="s">
        <v>408</v>
      </c>
      <c r="D51" s="19" t="s">
        <v>1258</v>
      </c>
    </row>
    <row r="52" spans="2:4" x14ac:dyDescent="0.3">
      <c r="B52" s="114" t="s">
        <v>415</v>
      </c>
      <c r="C52" s="19" t="s">
        <v>402</v>
      </c>
      <c r="D52" s="19" t="s">
        <v>1248</v>
      </c>
    </row>
    <row r="53" spans="2:4" x14ac:dyDescent="0.3">
      <c r="B53" s="114"/>
      <c r="C53" s="19" t="s">
        <v>451</v>
      </c>
      <c r="D53" s="19" t="s">
        <v>1249</v>
      </c>
    </row>
    <row r="54" spans="2:4" x14ac:dyDescent="0.3">
      <c r="B54" s="114"/>
      <c r="C54" s="19" t="s">
        <v>403</v>
      </c>
      <c r="D54" s="19" t="s">
        <v>1250</v>
      </c>
    </row>
    <row r="55" spans="2:4" x14ac:dyDescent="0.3">
      <c r="B55" s="114"/>
      <c r="C55" s="19" t="s">
        <v>452</v>
      </c>
      <c r="D55" s="19" t="s">
        <v>404</v>
      </c>
    </row>
    <row r="56" spans="2:4" x14ac:dyDescent="0.3">
      <c r="B56" s="114"/>
      <c r="C56" s="19" t="s">
        <v>459</v>
      </c>
      <c r="D56" s="19" t="s">
        <v>1252</v>
      </c>
    </row>
    <row r="57" spans="2:4" x14ac:dyDescent="0.3">
      <c r="B57" s="114"/>
      <c r="C57" s="19" t="s">
        <v>454</v>
      </c>
      <c r="D57" s="19" t="s">
        <v>1259</v>
      </c>
    </row>
    <row r="58" spans="2:4" x14ac:dyDescent="0.3">
      <c r="B58" s="114"/>
      <c r="C58" s="19" t="s">
        <v>406</v>
      </c>
      <c r="D58" s="19" t="s">
        <v>1253</v>
      </c>
    </row>
    <row r="59" spans="2:4" x14ac:dyDescent="0.3">
      <c r="B59" s="114"/>
      <c r="C59" s="19" t="s">
        <v>407</v>
      </c>
      <c r="D59" s="19" t="s">
        <v>1254</v>
      </c>
    </row>
    <row r="60" spans="2:4" x14ac:dyDescent="0.3">
      <c r="B60" s="114"/>
      <c r="C60" s="19" t="s">
        <v>408</v>
      </c>
      <c r="D60" s="19" t="s">
        <v>1258</v>
      </c>
    </row>
    <row r="61" spans="2:4" ht="28.8" x14ac:dyDescent="0.3">
      <c r="B61" s="104" t="s">
        <v>416</v>
      </c>
      <c r="C61" s="19" t="s">
        <v>416</v>
      </c>
      <c r="D61" s="19" t="s">
        <v>1260</v>
      </c>
    </row>
    <row r="62" spans="2:4" x14ac:dyDescent="0.3">
      <c r="B62" s="114" t="s">
        <v>417</v>
      </c>
      <c r="C62" s="19" t="s">
        <v>460</v>
      </c>
      <c r="D62" s="19" t="s">
        <v>1261</v>
      </c>
    </row>
    <row r="63" spans="2:4" x14ac:dyDescent="0.3">
      <c r="B63" s="114"/>
      <c r="C63" s="19" t="s">
        <v>461</v>
      </c>
      <c r="D63" s="19" t="s">
        <v>1262</v>
      </c>
    </row>
    <row r="64" spans="2:4" x14ac:dyDescent="0.3">
      <c r="B64" s="114"/>
      <c r="C64" s="19" t="s">
        <v>462</v>
      </c>
      <c r="D64" s="19" t="s">
        <v>1263</v>
      </c>
    </row>
    <row r="65" spans="2:4" x14ac:dyDescent="0.3">
      <c r="B65" s="114"/>
      <c r="C65" s="19" t="s">
        <v>463</v>
      </c>
      <c r="D65" s="19" t="s">
        <v>1264</v>
      </c>
    </row>
    <row r="66" spans="2:4" x14ac:dyDescent="0.3">
      <c r="B66" s="114"/>
      <c r="C66" s="19" t="s">
        <v>464</v>
      </c>
      <c r="D66" s="19" t="s">
        <v>1265</v>
      </c>
    </row>
    <row r="67" spans="2:4" x14ac:dyDescent="0.3">
      <c r="B67" s="114" t="s">
        <v>418</v>
      </c>
      <c r="C67" s="19" t="s">
        <v>296</v>
      </c>
      <c r="D67" s="19" t="s">
        <v>1273</v>
      </c>
    </row>
    <row r="68" spans="2:4" x14ac:dyDescent="0.3">
      <c r="B68" s="114"/>
      <c r="C68" s="19" t="s">
        <v>297</v>
      </c>
      <c r="D68" s="19" t="s">
        <v>1266</v>
      </c>
    </row>
    <row r="69" spans="2:4" x14ac:dyDescent="0.3">
      <c r="B69" s="114"/>
      <c r="C69" s="19" t="s">
        <v>298</v>
      </c>
      <c r="D69" s="19" t="s">
        <v>1267</v>
      </c>
    </row>
    <row r="70" spans="2:4" x14ac:dyDescent="0.3">
      <c r="B70" s="114"/>
      <c r="C70" s="19" t="s">
        <v>299</v>
      </c>
      <c r="D70" s="19" t="s">
        <v>1268</v>
      </c>
    </row>
    <row r="71" spans="2:4" x14ac:dyDescent="0.3">
      <c r="B71" s="114"/>
      <c r="C71" s="19" t="s">
        <v>300</v>
      </c>
      <c r="D71" s="19" t="s">
        <v>1269</v>
      </c>
    </row>
    <row r="72" spans="2:4" x14ac:dyDescent="0.3">
      <c r="B72" s="114"/>
      <c r="C72" s="19" t="s">
        <v>301</v>
      </c>
      <c r="D72" s="19" t="s">
        <v>1270</v>
      </c>
    </row>
    <row r="73" spans="2:4" x14ac:dyDescent="0.3">
      <c r="B73" s="114"/>
      <c r="C73" s="19" t="s">
        <v>465</v>
      </c>
      <c r="D73" s="19" t="s">
        <v>1272</v>
      </c>
    </row>
    <row r="74" spans="2:4" x14ac:dyDescent="0.3">
      <c r="B74" s="114" t="s">
        <v>419</v>
      </c>
      <c r="C74" s="19" t="s">
        <v>296</v>
      </c>
      <c r="D74" s="19" t="s">
        <v>1274</v>
      </c>
    </row>
    <row r="75" spans="2:4" x14ac:dyDescent="0.3">
      <c r="B75" s="114"/>
      <c r="C75" s="19" t="s">
        <v>298</v>
      </c>
      <c r="D75" s="19" t="s">
        <v>1275</v>
      </c>
    </row>
    <row r="76" spans="2:4" x14ac:dyDescent="0.3">
      <c r="B76" s="114"/>
      <c r="C76" s="19" t="s">
        <v>299</v>
      </c>
      <c r="D76" s="19" t="s">
        <v>1276</v>
      </c>
    </row>
    <row r="77" spans="2:4" x14ac:dyDescent="0.3">
      <c r="B77" s="114"/>
      <c r="C77" s="19" t="s">
        <v>300</v>
      </c>
      <c r="D77" s="19" t="s">
        <v>1277</v>
      </c>
    </row>
    <row r="78" spans="2:4" x14ac:dyDescent="0.3">
      <c r="B78" s="114"/>
      <c r="C78" s="19" t="s">
        <v>301</v>
      </c>
      <c r="D78" s="19" t="s">
        <v>1278</v>
      </c>
    </row>
    <row r="79" spans="2:4" x14ac:dyDescent="0.3">
      <c r="B79" s="114"/>
      <c r="C79" s="19" t="s">
        <v>465</v>
      </c>
      <c r="D79" s="19" t="s">
        <v>1272</v>
      </c>
    </row>
    <row r="80" spans="2:4" x14ac:dyDescent="0.3">
      <c r="B80" s="114" t="s">
        <v>420</v>
      </c>
      <c r="C80" s="19" t="s">
        <v>296</v>
      </c>
      <c r="D80" s="19" t="s">
        <v>1279</v>
      </c>
    </row>
    <row r="81" spans="2:4" x14ac:dyDescent="0.3">
      <c r="B81" s="114"/>
      <c r="C81" s="19" t="s">
        <v>298</v>
      </c>
      <c r="D81" s="19" t="s">
        <v>1275</v>
      </c>
    </row>
    <row r="82" spans="2:4" x14ac:dyDescent="0.3">
      <c r="B82" s="114"/>
      <c r="C82" s="19" t="s">
        <v>299</v>
      </c>
      <c r="D82" s="19" t="s">
        <v>1276</v>
      </c>
    </row>
    <row r="83" spans="2:4" x14ac:dyDescent="0.3">
      <c r="B83" s="114"/>
      <c r="C83" s="19" t="s">
        <v>300</v>
      </c>
      <c r="D83" s="19" t="s">
        <v>1277</v>
      </c>
    </row>
    <row r="84" spans="2:4" x14ac:dyDescent="0.3">
      <c r="B84" s="114"/>
      <c r="C84" s="19" t="s">
        <v>301</v>
      </c>
      <c r="D84" s="19" t="s">
        <v>1278</v>
      </c>
    </row>
    <row r="85" spans="2:4" x14ac:dyDescent="0.3">
      <c r="B85" s="114"/>
      <c r="C85" s="19" t="s">
        <v>465</v>
      </c>
      <c r="D85" s="19" t="s">
        <v>1272</v>
      </c>
    </row>
    <row r="86" spans="2:4" x14ac:dyDescent="0.3">
      <c r="B86" s="114"/>
      <c r="C86" s="19" t="s">
        <v>466</v>
      </c>
      <c r="D86" s="19" t="s">
        <v>1292</v>
      </c>
    </row>
    <row r="87" spans="2:4" x14ac:dyDescent="0.3">
      <c r="B87" s="114"/>
      <c r="C87" s="19" t="s">
        <v>467</v>
      </c>
      <c r="D87" s="19" t="s">
        <v>1280</v>
      </c>
    </row>
    <row r="88" spans="2:4" x14ac:dyDescent="0.3">
      <c r="B88" s="114"/>
      <c r="C88" s="19" t="s">
        <v>468</v>
      </c>
      <c r="D88" s="19" t="s">
        <v>1281</v>
      </c>
    </row>
    <row r="89" spans="2:4" x14ac:dyDescent="0.3">
      <c r="B89" s="114"/>
      <c r="C89" s="19" t="s">
        <v>469</v>
      </c>
      <c r="D89" s="19" t="s">
        <v>1282</v>
      </c>
    </row>
  </sheetData>
  <mergeCells count="18">
    <mergeCell ref="B74:B79"/>
    <mergeCell ref="B80:B89"/>
    <mergeCell ref="B13:B16"/>
    <mergeCell ref="B17:B21"/>
    <mergeCell ref="B22:B23"/>
    <mergeCell ref="B24:B28"/>
    <mergeCell ref="B29:B31"/>
    <mergeCell ref="B32:B35"/>
    <mergeCell ref="F37:F46"/>
    <mergeCell ref="B36:B51"/>
    <mergeCell ref="B52:B60"/>
    <mergeCell ref="B62:B66"/>
    <mergeCell ref="B67:B73"/>
    <mergeCell ref="F7:F11"/>
    <mergeCell ref="F12:F15"/>
    <mergeCell ref="F17:F21"/>
    <mergeCell ref="F22:F26"/>
    <mergeCell ref="F27:F3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38180-D2B2-4663-A3E7-216441F2CB1A}">
  <sheetPr codeName="Sheet5"/>
  <dimension ref="A1:K88"/>
  <sheetViews>
    <sheetView zoomScale="90" zoomScaleNormal="90" workbookViewId="0">
      <pane ySplit="1" topLeftCell="A2" activePane="bottomLeft" state="frozen"/>
      <selection pane="bottomLeft" activeCell="H10" sqref="H10"/>
    </sheetView>
  </sheetViews>
  <sheetFormatPr defaultRowHeight="14.4" x14ac:dyDescent="0.3"/>
  <cols>
    <col min="1" max="1" width="29" customWidth="1"/>
    <col min="2" max="2" width="47.44140625" customWidth="1"/>
    <col min="3" max="3" width="18.109375" customWidth="1"/>
    <col min="4" max="4" width="8.33203125" style="13" bestFit="1" customWidth="1"/>
    <col min="5" max="8" width="11.88671875" customWidth="1"/>
    <col min="9" max="9" width="10" customWidth="1"/>
    <col min="10" max="10" width="21" customWidth="1"/>
    <col min="11" max="11" width="11.33203125" customWidth="1"/>
  </cols>
  <sheetData>
    <row r="1" spans="1:11" s="1" customFormat="1" ht="43.2" x14ac:dyDescent="0.3">
      <c r="A1" s="2" t="s">
        <v>7</v>
      </c>
      <c r="B1" s="2" t="s">
        <v>8</v>
      </c>
      <c r="C1" s="8" t="s">
        <v>9</v>
      </c>
      <c r="D1" s="11" t="s">
        <v>10</v>
      </c>
      <c r="E1" s="2" t="s">
        <v>11</v>
      </c>
      <c r="F1" s="2" t="s">
        <v>12</v>
      </c>
      <c r="G1" s="2" t="s">
        <v>13</v>
      </c>
      <c r="H1" s="2" t="s">
        <v>14</v>
      </c>
      <c r="I1" s="2" t="s">
        <v>15</v>
      </c>
      <c r="J1" s="2" t="s">
        <v>16</v>
      </c>
      <c r="K1" s="2" t="s">
        <v>17</v>
      </c>
    </row>
    <row r="2" spans="1:11" s="12" customFormat="1" x14ac:dyDescent="0.3">
      <c r="A2" t="s">
        <v>18</v>
      </c>
      <c r="B2" t="s">
        <v>19</v>
      </c>
      <c r="C2"/>
      <c r="D2" s="13" t="s">
        <v>20</v>
      </c>
      <c r="E2" t="s">
        <v>20</v>
      </c>
      <c r="F2" t="s">
        <v>20</v>
      </c>
      <c r="G2" t="s">
        <v>20</v>
      </c>
      <c r="H2" t="s">
        <v>21</v>
      </c>
      <c r="I2" t="s">
        <v>22</v>
      </c>
      <c r="J2" t="s">
        <v>23</v>
      </c>
      <c r="K2"/>
    </row>
    <row r="3" spans="1:11" x14ac:dyDescent="0.3">
      <c r="A3" s="14" t="s">
        <v>24</v>
      </c>
      <c r="B3" t="s">
        <v>25</v>
      </c>
      <c r="C3" t="s">
        <v>26</v>
      </c>
      <c r="D3" s="13" t="s">
        <v>27</v>
      </c>
      <c r="E3" t="s">
        <v>20</v>
      </c>
      <c r="F3" t="s">
        <v>20</v>
      </c>
      <c r="G3" t="s">
        <v>20</v>
      </c>
      <c r="H3" t="s">
        <v>21</v>
      </c>
      <c r="I3" t="s">
        <v>22</v>
      </c>
      <c r="J3" t="s">
        <v>28</v>
      </c>
    </row>
    <row r="4" spans="1:11" x14ac:dyDescent="0.3">
      <c r="A4" t="s">
        <v>29</v>
      </c>
      <c r="B4" s="15" t="s">
        <v>30</v>
      </c>
      <c r="C4" t="s">
        <v>31</v>
      </c>
      <c r="D4" s="13" t="s">
        <v>20</v>
      </c>
      <c r="E4" t="s">
        <v>20</v>
      </c>
      <c r="F4" t="s">
        <v>20</v>
      </c>
      <c r="G4" t="s">
        <v>20</v>
      </c>
      <c r="H4" t="s">
        <v>21</v>
      </c>
      <c r="I4" t="s">
        <v>22</v>
      </c>
      <c r="J4" t="s">
        <v>32</v>
      </c>
      <c r="K4" t="s">
        <v>33</v>
      </c>
    </row>
    <row r="5" spans="1:11" x14ac:dyDescent="0.3">
      <c r="A5" t="s">
        <v>34</v>
      </c>
      <c r="B5" t="s">
        <v>35</v>
      </c>
      <c r="C5" t="s">
        <v>36</v>
      </c>
      <c r="D5" s="13" t="s">
        <v>20</v>
      </c>
      <c r="E5" t="s">
        <v>20</v>
      </c>
      <c r="F5" t="s">
        <v>20</v>
      </c>
      <c r="G5" t="s">
        <v>20</v>
      </c>
      <c r="H5" t="s">
        <v>21</v>
      </c>
      <c r="I5" t="s">
        <v>22</v>
      </c>
      <c r="J5" t="s">
        <v>37</v>
      </c>
    </row>
    <row r="6" spans="1:11" x14ac:dyDescent="0.3">
      <c r="A6" t="s">
        <v>38</v>
      </c>
      <c r="B6" t="s">
        <v>39</v>
      </c>
      <c r="C6" t="s">
        <v>40</v>
      </c>
      <c r="D6" s="13" t="s">
        <v>20</v>
      </c>
      <c r="E6" t="s">
        <v>41</v>
      </c>
      <c r="F6" t="s">
        <v>41</v>
      </c>
      <c r="G6" t="s">
        <v>41</v>
      </c>
      <c r="H6" t="s">
        <v>42</v>
      </c>
      <c r="I6" t="s">
        <v>22</v>
      </c>
      <c r="J6" t="s">
        <v>43</v>
      </c>
    </row>
    <row r="7" spans="1:11" x14ac:dyDescent="0.3">
      <c r="A7" t="s">
        <v>44</v>
      </c>
      <c r="B7" t="s">
        <v>45</v>
      </c>
      <c r="C7" t="s">
        <v>46</v>
      </c>
      <c r="D7" s="13" t="s">
        <v>27</v>
      </c>
      <c r="H7" t="s">
        <v>42</v>
      </c>
      <c r="I7" t="s">
        <v>22</v>
      </c>
    </row>
    <row r="8" spans="1:11" x14ac:dyDescent="0.3">
      <c r="A8" t="s">
        <v>47</v>
      </c>
      <c r="B8" t="s">
        <v>48</v>
      </c>
      <c r="C8" t="s">
        <v>49</v>
      </c>
      <c r="D8" s="13" t="s">
        <v>27</v>
      </c>
      <c r="H8" t="s">
        <v>42</v>
      </c>
      <c r="I8" t="s">
        <v>22</v>
      </c>
    </row>
    <row r="9" spans="1:11" x14ac:dyDescent="0.3">
      <c r="A9" t="s">
        <v>50</v>
      </c>
      <c r="B9" t="s">
        <v>51</v>
      </c>
      <c r="C9" t="s">
        <v>52</v>
      </c>
      <c r="D9" s="13" t="s">
        <v>20</v>
      </c>
      <c r="E9" t="s">
        <v>20</v>
      </c>
      <c r="F9" t="s">
        <v>20</v>
      </c>
      <c r="G9" t="s">
        <v>20</v>
      </c>
      <c r="H9" t="s">
        <v>42</v>
      </c>
      <c r="I9" t="s">
        <v>22</v>
      </c>
    </row>
    <row r="10" spans="1:11" x14ac:dyDescent="0.3">
      <c r="A10" s="14" t="s">
        <v>53</v>
      </c>
      <c r="B10" t="s">
        <v>54</v>
      </c>
    </row>
    <row r="11" spans="1:11" x14ac:dyDescent="0.3">
      <c r="A11" s="14" t="s">
        <v>55</v>
      </c>
      <c r="B11" t="s">
        <v>56</v>
      </c>
      <c r="D11" s="13" t="s">
        <v>27</v>
      </c>
      <c r="E11" t="s">
        <v>20</v>
      </c>
      <c r="F11" t="s">
        <v>20</v>
      </c>
      <c r="G11" t="s">
        <v>20</v>
      </c>
      <c r="H11" t="s">
        <v>42</v>
      </c>
      <c r="I11" t="s">
        <v>57</v>
      </c>
    </row>
    <row r="12" spans="1:11" x14ac:dyDescent="0.3">
      <c r="A12" s="14" t="s">
        <v>58</v>
      </c>
      <c r="B12" t="s">
        <v>59</v>
      </c>
      <c r="C12" t="s">
        <v>26</v>
      </c>
      <c r="D12" s="13" t="s">
        <v>27</v>
      </c>
      <c r="E12" t="s">
        <v>20</v>
      </c>
      <c r="F12" t="s">
        <v>20</v>
      </c>
      <c r="G12" t="s">
        <v>20</v>
      </c>
      <c r="J12" s="16" t="s">
        <v>60</v>
      </c>
    </row>
    <row r="13" spans="1:11" x14ac:dyDescent="0.3">
      <c r="A13" t="s">
        <v>61</v>
      </c>
      <c r="B13" t="s">
        <v>62</v>
      </c>
      <c r="C13" t="s">
        <v>63</v>
      </c>
      <c r="D13" s="13" t="s">
        <v>20</v>
      </c>
      <c r="E13" t="s">
        <v>20</v>
      </c>
      <c r="F13" t="s">
        <v>20</v>
      </c>
      <c r="G13" t="s">
        <v>20</v>
      </c>
      <c r="H13" t="s">
        <v>42</v>
      </c>
      <c r="I13" t="s">
        <v>22</v>
      </c>
      <c r="J13" t="s">
        <v>64</v>
      </c>
    </row>
    <row r="14" spans="1:11" x14ac:dyDescent="0.3">
      <c r="A14" t="s">
        <v>65</v>
      </c>
      <c r="B14" s="15" t="s">
        <v>66</v>
      </c>
      <c r="C14" t="s">
        <v>67</v>
      </c>
      <c r="D14" s="13" t="s">
        <v>20</v>
      </c>
      <c r="E14" t="s">
        <v>20</v>
      </c>
      <c r="F14" t="s">
        <v>20</v>
      </c>
      <c r="G14" t="s">
        <v>20</v>
      </c>
      <c r="H14" t="s">
        <v>21</v>
      </c>
      <c r="I14" t="s">
        <v>22</v>
      </c>
      <c r="J14" t="s">
        <v>68</v>
      </c>
    </row>
    <row r="15" spans="1:11" x14ac:dyDescent="0.3">
      <c r="A15" t="s">
        <v>69</v>
      </c>
      <c r="B15" s="15" t="s">
        <v>70</v>
      </c>
      <c r="C15" t="s">
        <v>71</v>
      </c>
      <c r="D15" s="13" t="s">
        <v>20</v>
      </c>
      <c r="E15" t="s">
        <v>20</v>
      </c>
      <c r="F15" t="s">
        <v>20</v>
      </c>
      <c r="G15" t="s">
        <v>20</v>
      </c>
      <c r="H15" t="s">
        <v>42</v>
      </c>
      <c r="I15" t="s">
        <v>22</v>
      </c>
      <c r="K15" t="s">
        <v>72</v>
      </c>
    </row>
    <row r="16" spans="1:11" x14ac:dyDescent="0.3">
      <c r="A16" t="s">
        <v>73</v>
      </c>
      <c r="B16" t="s">
        <v>74</v>
      </c>
      <c r="D16" s="13" t="s">
        <v>20</v>
      </c>
      <c r="E16" t="s">
        <v>20</v>
      </c>
      <c r="F16" t="s">
        <v>27</v>
      </c>
      <c r="G16" t="s">
        <v>20</v>
      </c>
      <c r="H16" t="s">
        <v>42</v>
      </c>
      <c r="I16" t="s">
        <v>22</v>
      </c>
      <c r="J16" t="s">
        <v>75</v>
      </c>
    </row>
    <row r="17" spans="1:11" x14ac:dyDescent="0.3">
      <c r="A17" t="s">
        <v>76</v>
      </c>
      <c r="B17" t="s">
        <v>77</v>
      </c>
      <c r="D17" s="13" t="s">
        <v>20</v>
      </c>
      <c r="E17" t="s">
        <v>20</v>
      </c>
      <c r="F17" t="s">
        <v>20</v>
      </c>
      <c r="G17" t="s">
        <v>20</v>
      </c>
      <c r="H17" t="s">
        <v>42</v>
      </c>
      <c r="I17" t="s">
        <v>22</v>
      </c>
    </row>
    <row r="18" spans="1:11" x14ac:dyDescent="0.3">
      <c r="A18" s="14" t="s">
        <v>78</v>
      </c>
      <c r="B18" t="s">
        <v>79</v>
      </c>
    </row>
    <row r="19" spans="1:11" x14ac:dyDescent="0.3">
      <c r="A19" t="s">
        <v>80</v>
      </c>
      <c r="B19" t="s">
        <v>81</v>
      </c>
      <c r="C19" t="s">
        <v>26</v>
      </c>
      <c r="D19" s="13" t="s">
        <v>26</v>
      </c>
      <c r="E19" t="s">
        <v>26</v>
      </c>
      <c r="F19" t="s">
        <v>26</v>
      </c>
      <c r="G19" t="s">
        <v>26</v>
      </c>
      <c r="H19" t="s">
        <v>21</v>
      </c>
      <c r="I19" t="s">
        <v>22</v>
      </c>
      <c r="J19" t="s">
        <v>28</v>
      </c>
    </row>
    <row r="20" spans="1:11" x14ac:dyDescent="0.3">
      <c r="A20" t="s">
        <v>82</v>
      </c>
      <c r="B20" s="15" t="s">
        <v>83</v>
      </c>
      <c r="C20" t="s">
        <v>84</v>
      </c>
      <c r="D20" s="13" t="s">
        <v>20</v>
      </c>
      <c r="E20" t="s">
        <v>20</v>
      </c>
      <c r="F20" t="s">
        <v>20</v>
      </c>
      <c r="G20" t="s">
        <v>20</v>
      </c>
      <c r="H20" t="s">
        <v>21</v>
      </c>
      <c r="I20" t="s">
        <v>22</v>
      </c>
      <c r="J20" t="s">
        <v>68</v>
      </c>
    </row>
    <row r="21" spans="1:11" x14ac:dyDescent="0.3">
      <c r="A21" s="14" t="s">
        <v>85</v>
      </c>
      <c r="B21" t="s">
        <v>86</v>
      </c>
      <c r="C21" t="s">
        <v>87</v>
      </c>
      <c r="D21" s="13" t="s">
        <v>20</v>
      </c>
      <c r="E21" t="s">
        <v>20</v>
      </c>
      <c r="F21" t="s">
        <v>20</v>
      </c>
      <c r="G21" t="s">
        <v>20</v>
      </c>
      <c r="H21" t="s">
        <v>42</v>
      </c>
      <c r="I21" t="s">
        <v>22</v>
      </c>
    </row>
    <row r="22" spans="1:11" x14ac:dyDescent="0.3">
      <c r="A22" t="s">
        <v>88</v>
      </c>
      <c r="B22" s="15" t="s">
        <v>89</v>
      </c>
      <c r="C22" t="s">
        <v>90</v>
      </c>
      <c r="D22" s="13" t="s">
        <v>20</v>
      </c>
      <c r="E22" t="s">
        <v>20</v>
      </c>
      <c r="F22" t="s">
        <v>20</v>
      </c>
      <c r="G22" t="s">
        <v>20</v>
      </c>
      <c r="H22" t="s">
        <v>21</v>
      </c>
      <c r="I22" t="s">
        <v>22</v>
      </c>
      <c r="J22" s="16" t="s">
        <v>32</v>
      </c>
    </row>
    <row r="23" spans="1:11" x14ac:dyDescent="0.3">
      <c r="A23" t="s">
        <v>91</v>
      </c>
      <c r="B23" s="15" t="s">
        <v>92</v>
      </c>
      <c r="C23" t="s">
        <v>93</v>
      </c>
      <c r="D23" s="13" t="s">
        <v>20</v>
      </c>
      <c r="E23" t="s">
        <v>20</v>
      </c>
      <c r="F23" t="s">
        <v>20</v>
      </c>
      <c r="G23" t="s">
        <v>20</v>
      </c>
      <c r="H23" t="s">
        <v>21</v>
      </c>
      <c r="I23" t="s">
        <v>22</v>
      </c>
      <c r="J23" t="s">
        <v>68</v>
      </c>
    </row>
    <row r="24" spans="1:11" x14ac:dyDescent="0.3">
      <c r="A24" t="s">
        <v>94</v>
      </c>
      <c r="B24" t="s">
        <v>95</v>
      </c>
      <c r="D24" s="13" t="s">
        <v>20</v>
      </c>
      <c r="H24" t="s">
        <v>42</v>
      </c>
      <c r="I24" t="s">
        <v>22</v>
      </c>
    </row>
    <row r="25" spans="1:11" x14ac:dyDescent="0.3">
      <c r="A25" t="s">
        <v>96</v>
      </c>
      <c r="B25" s="15" t="s">
        <v>97</v>
      </c>
      <c r="C25" t="s">
        <v>26</v>
      </c>
      <c r="D25" s="13" t="s">
        <v>20</v>
      </c>
      <c r="E25" t="s">
        <v>20</v>
      </c>
      <c r="F25" t="s">
        <v>20</v>
      </c>
      <c r="G25" t="s">
        <v>20</v>
      </c>
      <c r="H25" t="s">
        <v>21</v>
      </c>
      <c r="I25" t="s">
        <v>22</v>
      </c>
      <c r="J25" t="s">
        <v>98</v>
      </c>
    </row>
    <row r="26" spans="1:11" x14ac:dyDescent="0.3">
      <c r="A26" s="14" t="s">
        <v>99</v>
      </c>
      <c r="B26" t="s">
        <v>100</v>
      </c>
      <c r="C26" t="s">
        <v>26</v>
      </c>
      <c r="D26" s="13" t="s">
        <v>20</v>
      </c>
      <c r="E26" t="s">
        <v>20</v>
      </c>
      <c r="F26" t="s">
        <v>20</v>
      </c>
      <c r="G26" t="s">
        <v>20</v>
      </c>
      <c r="H26" t="s">
        <v>42</v>
      </c>
      <c r="I26" t="s">
        <v>22</v>
      </c>
      <c r="J26" s="53" t="s">
        <v>101</v>
      </c>
    </row>
    <row r="27" spans="1:11" x14ac:dyDescent="0.3">
      <c r="A27" t="s">
        <v>102</v>
      </c>
      <c r="B27" s="15" t="s">
        <v>103</v>
      </c>
      <c r="C27" t="s">
        <v>26</v>
      </c>
      <c r="D27" s="13" t="s">
        <v>27</v>
      </c>
      <c r="E27" t="s">
        <v>20</v>
      </c>
      <c r="F27" t="s">
        <v>20</v>
      </c>
      <c r="G27" t="s">
        <v>20</v>
      </c>
      <c r="H27" t="s">
        <v>42</v>
      </c>
      <c r="I27" t="s">
        <v>22</v>
      </c>
      <c r="J27" s="16" t="s">
        <v>104</v>
      </c>
      <c r="K27" t="s">
        <v>105</v>
      </c>
    </row>
    <row r="28" spans="1:11" x14ac:dyDescent="0.3">
      <c r="A28" s="14" t="s">
        <v>106</v>
      </c>
      <c r="B28" t="s">
        <v>107</v>
      </c>
      <c r="C28" t="s">
        <v>108</v>
      </c>
      <c r="D28" s="13" t="s">
        <v>20</v>
      </c>
      <c r="E28" t="s">
        <v>20</v>
      </c>
      <c r="F28" t="s">
        <v>20</v>
      </c>
      <c r="G28" t="s">
        <v>20</v>
      </c>
      <c r="H28" t="s">
        <v>42</v>
      </c>
      <c r="I28" t="s">
        <v>22</v>
      </c>
      <c r="J28" t="s">
        <v>109</v>
      </c>
    </row>
    <row r="29" spans="1:11" x14ac:dyDescent="0.3">
      <c r="A29" t="s">
        <v>110</v>
      </c>
      <c r="B29" s="15" t="s">
        <v>111</v>
      </c>
      <c r="C29" t="s">
        <v>112</v>
      </c>
      <c r="D29" s="13" t="s">
        <v>20</v>
      </c>
      <c r="E29" t="s">
        <v>20</v>
      </c>
      <c r="F29" t="s">
        <v>20</v>
      </c>
      <c r="G29" t="s">
        <v>20</v>
      </c>
      <c r="H29" t="s">
        <v>21</v>
      </c>
      <c r="I29" t="s">
        <v>22</v>
      </c>
      <c r="J29" t="s">
        <v>68</v>
      </c>
    </row>
    <row r="30" spans="1:11" x14ac:dyDescent="0.3">
      <c r="A30" t="s">
        <v>113</v>
      </c>
      <c r="B30" s="15" t="s">
        <v>114</v>
      </c>
      <c r="C30" t="s">
        <v>115</v>
      </c>
      <c r="D30" s="13" t="s">
        <v>20</v>
      </c>
      <c r="E30" t="s">
        <v>20</v>
      </c>
      <c r="F30" t="s">
        <v>20</v>
      </c>
      <c r="G30" t="s">
        <v>20</v>
      </c>
      <c r="H30" t="s">
        <v>21</v>
      </c>
      <c r="I30" t="s">
        <v>22</v>
      </c>
      <c r="J30" t="s">
        <v>116</v>
      </c>
    </row>
    <row r="31" spans="1:11" x14ac:dyDescent="0.3">
      <c r="A31" t="s">
        <v>117</v>
      </c>
      <c r="B31" s="15" t="s">
        <v>118</v>
      </c>
      <c r="C31" t="s">
        <v>119</v>
      </c>
      <c r="D31" s="13" t="s">
        <v>20</v>
      </c>
      <c r="E31" t="s">
        <v>20</v>
      </c>
      <c r="F31" t="s">
        <v>20</v>
      </c>
      <c r="G31" t="s">
        <v>20</v>
      </c>
      <c r="H31" t="s">
        <v>21</v>
      </c>
      <c r="I31" t="s">
        <v>22</v>
      </c>
      <c r="J31" t="s">
        <v>68</v>
      </c>
    </row>
    <row r="32" spans="1:11" x14ac:dyDescent="0.3">
      <c r="A32" t="s">
        <v>120</v>
      </c>
      <c r="B32" s="15" t="s">
        <v>121</v>
      </c>
      <c r="C32" t="s">
        <v>122</v>
      </c>
      <c r="D32" s="13" t="s">
        <v>20</v>
      </c>
      <c r="E32" t="s">
        <v>20</v>
      </c>
      <c r="F32" t="s">
        <v>20</v>
      </c>
      <c r="G32" t="s">
        <v>20</v>
      </c>
      <c r="H32" t="s">
        <v>21</v>
      </c>
      <c r="I32" t="s">
        <v>22</v>
      </c>
      <c r="J32" t="s">
        <v>68</v>
      </c>
    </row>
    <row r="33" spans="1:11" x14ac:dyDescent="0.3">
      <c r="A33" s="13" t="s">
        <v>123</v>
      </c>
      <c r="B33" t="s">
        <v>124</v>
      </c>
      <c r="C33" t="s">
        <v>125</v>
      </c>
      <c r="D33" s="13" t="s">
        <v>20</v>
      </c>
      <c r="E33" t="s">
        <v>20</v>
      </c>
      <c r="F33" t="s">
        <v>20</v>
      </c>
      <c r="G33" t="s">
        <v>20</v>
      </c>
      <c r="H33" t="s">
        <v>42</v>
      </c>
      <c r="I33" t="s">
        <v>22</v>
      </c>
      <c r="K33" t="s">
        <v>126</v>
      </c>
    </row>
    <row r="34" spans="1:11" x14ac:dyDescent="0.3">
      <c r="A34" s="14" t="s">
        <v>127</v>
      </c>
      <c r="B34" t="s">
        <v>128</v>
      </c>
      <c r="C34" t="s">
        <v>26</v>
      </c>
      <c r="D34" s="13" t="s">
        <v>27</v>
      </c>
      <c r="E34" t="s">
        <v>20</v>
      </c>
      <c r="F34" t="s">
        <v>20</v>
      </c>
      <c r="G34" t="s">
        <v>20</v>
      </c>
      <c r="H34" t="s">
        <v>42</v>
      </c>
      <c r="I34" t="s">
        <v>22</v>
      </c>
      <c r="J34" s="16" t="s">
        <v>129</v>
      </c>
      <c r="K34" t="s">
        <v>130</v>
      </c>
    </row>
    <row r="35" spans="1:11" x14ac:dyDescent="0.3">
      <c r="A35" t="s">
        <v>131</v>
      </c>
      <c r="B35" s="15" t="s">
        <v>132</v>
      </c>
      <c r="C35" t="s">
        <v>133</v>
      </c>
      <c r="D35" s="13" t="s">
        <v>20</v>
      </c>
      <c r="E35" t="s">
        <v>20</v>
      </c>
      <c r="F35" t="s">
        <v>20</v>
      </c>
      <c r="G35" t="s">
        <v>20</v>
      </c>
      <c r="H35" t="s">
        <v>21</v>
      </c>
      <c r="I35" t="s">
        <v>22</v>
      </c>
      <c r="J35" t="s">
        <v>134</v>
      </c>
    </row>
    <row r="36" spans="1:11" x14ac:dyDescent="0.3">
      <c r="A36" t="s">
        <v>135</v>
      </c>
      <c r="B36" t="s">
        <v>136</v>
      </c>
      <c r="C36" t="s">
        <v>26</v>
      </c>
      <c r="D36" s="13" t="s">
        <v>20</v>
      </c>
      <c r="E36" t="s">
        <v>137</v>
      </c>
      <c r="F36" t="s">
        <v>137</v>
      </c>
      <c r="G36" t="s">
        <v>41</v>
      </c>
      <c r="H36" t="s">
        <v>42</v>
      </c>
      <c r="I36" t="s">
        <v>22</v>
      </c>
      <c r="J36" s="16" t="s">
        <v>138</v>
      </c>
      <c r="K36" t="s">
        <v>139</v>
      </c>
    </row>
    <row r="37" spans="1:11" x14ac:dyDescent="0.3">
      <c r="A37" t="s">
        <v>140</v>
      </c>
      <c r="B37" t="s">
        <v>141</v>
      </c>
      <c r="C37" t="s">
        <v>142</v>
      </c>
      <c r="D37" s="13" t="s">
        <v>20</v>
      </c>
      <c r="H37" t="s">
        <v>21</v>
      </c>
      <c r="I37" t="s">
        <v>22</v>
      </c>
      <c r="J37" t="s">
        <v>68</v>
      </c>
    </row>
    <row r="38" spans="1:11" x14ac:dyDescent="0.3">
      <c r="A38" s="14" t="s">
        <v>143</v>
      </c>
      <c r="B38" t="s">
        <v>144</v>
      </c>
    </row>
    <row r="39" spans="1:11" x14ac:dyDescent="0.3">
      <c r="A39" t="s">
        <v>145</v>
      </c>
      <c r="B39" t="s">
        <v>146</v>
      </c>
      <c r="D39" s="13" t="s">
        <v>20</v>
      </c>
      <c r="H39" t="s">
        <v>42</v>
      </c>
      <c r="I39" t="s">
        <v>22</v>
      </c>
    </row>
    <row r="40" spans="1:11" x14ac:dyDescent="0.3">
      <c r="A40" t="s">
        <v>147</v>
      </c>
      <c r="B40" t="s">
        <v>148</v>
      </c>
      <c r="C40" t="s">
        <v>149</v>
      </c>
      <c r="D40" s="13" t="s">
        <v>20</v>
      </c>
      <c r="E40" t="s">
        <v>20</v>
      </c>
      <c r="F40" t="s">
        <v>20</v>
      </c>
      <c r="G40" t="s">
        <v>20</v>
      </c>
      <c r="H40" t="s">
        <v>42</v>
      </c>
      <c r="I40" t="s">
        <v>22</v>
      </c>
    </row>
    <row r="41" spans="1:11" x14ac:dyDescent="0.3">
      <c r="A41" t="s">
        <v>150</v>
      </c>
      <c r="B41" s="20" t="s">
        <v>151</v>
      </c>
      <c r="D41" s="13" t="s">
        <v>27</v>
      </c>
      <c r="H41" t="s">
        <v>21</v>
      </c>
      <c r="I41" t="s">
        <v>22</v>
      </c>
      <c r="J41" t="s">
        <v>152</v>
      </c>
    </row>
    <row r="42" spans="1:11" x14ac:dyDescent="0.3">
      <c r="A42" t="s">
        <v>153</v>
      </c>
      <c r="B42" t="s">
        <v>154</v>
      </c>
      <c r="C42" t="s">
        <v>26</v>
      </c>
      <c r="D42" s="13" t="s">
        <v>26</v>
      </c>
      <c r="E42" t="s">
        <v>26</v>
      </c>
      <c r="F42" t="s">
        <v>26</v>
      </c>
      <c r="G42" t="s">
        <v>26</v>
      </c>
      <c r="H42" t="s">
        <v>42</v>
      </c>
      <c r="I42" t="s">
        <v>155</v>
      </c>
      <c r="J42" t="s">
        <v>156</v>
      </c>
    </row>
    <row r="43" spans="1:11" x14ac:dyDescent="0.3">
      <c r="A43" t="s">
        <v>157</v>
      </c>
      <c r="B43" t="s">
        <v>158</v>
      </c>
      <c r="D43" s="13" t="s">
        <v>159</v>
      </c>
      <c r="I43" t="s">
        <v>160</v>
      </c>
    </row>
    <row r="44" spans="1:11" x14ac:dyDescent="0.3">
      <c r="A44" t="s">
        <v>161</v>
      </c>
      <c r="B44" s="15" t="s">
        <v>162</v>
      </c>
      <c r="C44" t="s">
        <v>163</v>
      </c>
      <c r="D44" s="13" t="s">
        <v>27</v>
      </c>
      <c r="E44" t="s">
        <v>20</v>
      </c>
      <c r="F44" t="s">
        <v>20</v>
      </c>
      <c r="G44" t="s">
        <v>20</v>
      </c>
      <c r="H44" t="s">
        <v>21</v>
      </c>
      <c r="I44" t="s">
        <v>22</v>
      </c>
      <c r="J44" s="16" t="s">
        <v>164</v>
      </c>
      <c r="K44" t="s">
        <v>165</v>
      </c>
    </row>
    <row r="45" spans="1:11" x14ac:dyDescent="0.3">
      <c r="A45" t="s">
        <v>166</v>
      </c>
      <c r="B45" s="15" t="s">
        <v>167</v>
      </c>
      <c r="C45" t="s">
        <v>26</v>
      </c>
      <c r="D45" s="13" t="s">
        <v>27</v>
      </c>
      <c r="E45" t="s">
        <v>20</v>
      </c>
      <c r="F45" t="s">
        <v>20</v>
      </c>
      <c r="G45" t="s">
        <v>20</v>
      </c>
      <c r="H45" t="s">
        <v>21</v>
      </c>
      <c r="I45" t="s">
        <v>22</v>
      </c>
      <c r="J45" t="s">
        <v>168</v>
      </c>
    </row>
    <row r="46" spans="1:11" x14ac:dyDescent="0.3">
      <c r="A46" t="s">
        <v>169</v>
      </c>
      <c r="B46" t="s">
        <v>170</v>
      </c>
      <c r="C46" t="s">
        <v>26</v>
      </c>
      <c r="D46" s="13" t="s">
        <v>159</v>
      </c>
      <c r="E46" t="s">
        <v>20</v>
      </c>
      <c r="F46" t="s">
        <v>137</v>
      </c>
      <c r="G46" t="s">
        <v>41</v>
      </c>
      <c r="H46" t="s">
        <v>21</v>
      </c>
      <c r="I46" t="s">
        <v>22</v>
      </c>
      <c r="J46" t="s">
        <v>171</v>
      </c>
    </row>
    <row r="47" spans="1:11" x14ac:dyDescent="0.3">
      <c r="A47" t="s">
        <v>172</v>
      </c>
      <c r="B47" s="15" t="s">
        <v>173</v>
      </c>
      <c r="C47" t="s">
        <v>26</v>
      </c>
      <c r="D47" s="13" t="s">
        <v>159</v>
      </c>
      <c r="E47" t="s">
        <v>20</v>
      </c>
      <c r="F47" t="s">
        <v>27</v>
      </c>
      <c r="G47" t="s">
        <v>20</v>
      </c>
      <c r="H47" t="s">
        <v>42</v>
      </c>
      <c r="I47" t="s">
        <v>160</v>
      </c>
    </row>
    <row r="48" spans="1:11" x14ac:dyDescent="0.3">
      <c r="A48" t="s">
        <v>174</v>
      </c>
      <c r="B48" t="s">
        <v>175</v>
      </c>
      <c r="D48" s="13" t="s">
        <v>27</v>
      </c>
      <c r="H48" t="s">
        <v>42</v>
      </c>
      <c r="I48" t="s">
        <v>22</v>
      </c>
    </row>
    <row r="49" spans="1:11" x14ac:dyDescent="0.3">
      <c r="A49" t="s">
        <v>176</v>
      </c>
      <c r="B49" t="s">
        <v>177</v>
      </c>
      <c r="D49" s="13" t="s">
        <v>20</v>
      </c>
      <c r="H49" t="s">
        <v>42</v>
      </c>
      <c r="I49" t="s">
        <v>22</v>
      </c>
    </row>
    <row r="50" spans="1:11" x14ac:dyDescent="0.3">
      <c r="A50" s="14" t="s">
        <v>178</v>
      </c>
      <c r="B50" t="s">
        <v>179</v>
      </c>
    </row>
    <row r="51" spans="1:11" x14ac:dyDescent="0.3">
      <c r="A51" s="14" t="s">
        <v>180</v>
      </c>
      <c r="B51" t="s">
        <v>181</v>
      </c>
      <c r="C51" t="s">
        <v>182</v>
      </c>
      <c r="D51" s="13" t="s">
        <v>20</v>
      </c>
      <c r="E51" t="s">
        <v>20</v>
      </c>
      <c r="F51" t="s">
        <v>20</v>
      </c>
      <c r="G51" t="s">
        <v>20</v>
      </c>
      <c r="H51" t="s">
        <v>42</v>
      </c>
      <c r="I51" t="s">
        <v>22</v>
      </c>
    </row>
    <row r="52" spans="1:11" x14ac:dyDescent="0.3">
      <c r="A52" s="14" t="s">
        <v>183</v>
      </c>
      <c r="B52" t="s">
        <v>184</v>
      </c>
      <c r="C52" t="s">
        <v>185</v>
      </c>
      <c r="D52" s="13" t="s">
        <v>20</v>
      </c>
      <c r="E52" t="s">
        <v>20</v>
      </c>
      <c r="F52" t="s">
        <v>20</v>
      </c>
      <c r="G52" t="s">
        <v>20</v>
      </c>
      <c r="H52" t="s">
        <v>42</v>
      </c>
      <c r="I52" t="s">
        <v>22</v>
      </c>
    </row>
    <row r="53" spans="1:11" x14ac:dyDescent="0.3">
      <c r="A53" t="s">
        <v>186</v>
      </c>
      <c r="B53" t="s">
        <v>187</v>
      </c>
      <c r="C53" t="s">
        <v>188</v>
      </c>
      <c r="D53" s="13" t="s">
        <v>20</v>
      </c>
      <c r="E53" t="s">
        <v>20</v>
      </c>
      <c r="F53" t="s">
        <v>20</v>
      </c>
      <c r="G53" t="s">
        <v>20</v>
      </c>
      <c r="H53" t="s">
        <v>21</v>
      </c>
      <c r="I53" t="s">
        <v>160</v>
      </c>
      <c r="J53" t="s">
        <v>189</v>
      </c>
    </row>
    <row r="54" spans="1:11" x14ac:dyDescent="0.3">
      <c r="A54" t="s">
        <v>190</v>
      </c>
      <c r="B54" t="s">
        <v>191</v>
      </c>
      <c r="C54" t="s">
        <v>192</v>
      </c>
      <c r="D54" s="13" t="s">
        <v>20</v>
      </c>
      <c r="E54" t="s">
        <v>20</v>
      </c>
      <c r="F54" t="s">
        <v>41</v>
      </c>
      <c r="G54" t="s">
        <v>41</v>
      </c>
      <c r="H54" t="s">
        <v>42</v>
      </c>
      <c r="I54" t="s">
        <v>57</v>
      </c>
    </row>
    <row r="55" spans="1:11" x14ac:dyDescent="0.3">
      <c r="A55" s="14" t="s">
        <v>193</v>
      </c>
      <c r="B55" t="s">
        <v>194</v>
      </c>
      <c r="D55" s="13" t="s">
        <v>27</v>
      </c>
      <c r="E55" t="s">
        <v>20</v>
      </c>
      <c r="F55" t="s">
        <v>20</v>
      </c>
      <c r="G55" t="s">
        <v>20</v>
      </c>
      <c r="J55" s="16" t="s">
        <v>60</v>
      </c>
      <c r="K55" t="s">
        <v>195</v>
      </c>
    </row>
    <row r="56" spans="1:11" x14ac:dyDescent="0.3">
      <c r="A56" t="s">
        <v>196</v>
      </c>
      <c r="B56" t="s">
        <v>197</v>
      </c>
      <c r="D56" s="13" t="s">
        <v>20</v>
      </c>
      <c r="H56" t="s">
        <v>42</v>
      </c>
      <c r="I56" t="s">
        <v>22</v>
      </c>
    </row>
    <row r="57" spans="1:11" x14ac:dyDescent="0.3">
      <c r="A57" t="s">
        <v>198</v>
      </c>
      <c r="B57" s="15" t="s">
        <v>199</v>
      </c>
      <c r="C57" t="s">
        <v>200</v>
      </c>
      <c r="D57" s="13" t="s">
        <v>20</v>
      </c>
      <c r="E57" t="s">
        <v>20</v>
      </c>
      <c r="F57" t="s">
        <v>20</v>
      </c>
      <c r="G57" t="s">
        <v>20</v>
      </c>
      <c r="H57" t="s">
        <v>42</v>
      </c>
      <c r="I57" t="s">
        <v>22</v>
      </c>
    </row>
    <row r="58" spans="1:11" x14ac:dyDescent="0.3">
      <c r="A58" t="s">
        <v>201</v>
      </c>
      <c r="B58" t="s">
        <v>202</v>
      </c>
      <c r="C58" t="s">
        <v>203</v>
      </c>
      <c r="D58" s="13" t="s">
        <v>20</v>
      </c>
      <c r="E58" t="s">
        <v>20</v>
      </c>
      <c r="F58" t="s">
        <v>20</v>
      </c>
      <c r="G58" t="s">
        <v>20</v>
      </c>
      <c r="H58" t="s">
        <v>21</v>
      </c>
      <c r="I58" t="s">
        <v>22</v>
      </c>
      <c r="J58" t="s">
        <v>204</v>
      </c>
    </row>
    <row r="59" spans="1:11" x14ac:dyDescent="0.3">
      <c r="A59" t="s">
        <v>205</v>
      </c>
      <c r="B59" s="14" t="s">
        <v>206</v>
      </c>
      <c r="C59" t="s">
        <v>207</v>
      </c>
      <c r="D59" s="13" t="s">
        <v>20</v>
      </c>
      <c r="E59" t="s">
        <v>20</v>
      </c>
      <c r="F59" t="s">
        <v>20</v>
      </c>
      <c r="G59" t="s">
        <v>20</v>
      </c>
      <c r="H59" t="s">
        <v>42</v>
      </c>
      <c r="I59" t="s">
        <v>22</v>
      </c>
    </row>
    <row r="60" spans="1:11" x14ac:dyDescent="0.3">
      <c r="A60" t="s">
        <v>208</v>
      </c>
      <c r="B60" s="15" t="s">
        <v>209</v>
      </c>
      <c r="C60" t="s">
        <v>210</v>
      </c>
      <c r="D60" s="13" t="s">
        <v>20</v>
      </c>
      <c r="E60" t="s">
        <v>20</v>
      </c>
      <c r="F60" t="s">
        <v>20</v>
      </c>
      <c r="G60" t="s">
        <v>20</v>
      </c>
      <c r="H60" t="s">
        <v>21</v>
      </c>
      <c r="I60" t="s">
        <v>22</v>
      </c>
      <c r="J60" s="16" t="s">
        <v>211</v>
      </c>
    </row>
    <row r="61" spans="1:11" x14ac:dyDescent="0.3">
      <c r="A61" t="s">
        <v>212</v>
      </c>
      <c r="B61" t="s">
        <v>213</v>
      </c>
      <c r="C61" t="s">
        <v>214</v>
      </c>
      <c r="D61" s="13" t="s">
        <v>20</v>
      </c>
      <c r="E61" t="s">
        <v>20</v>
      </c>
      <c r="F61" t="s">
        <v>20</v>
      </c>
      <c r="G61" t="s">
        <v>20</v>
      </c>
      <c r="H61" t="s">
        <v>42</v>
      </c>
      <c r="I61" t="s">
        <v>22</v>
      </c>
    </row>
    <row r="62" spans="1:11" x14ac:dyDescent="0.3">
      <c r="A62" t="s">
        <v>215</v>
      </c>
      <c r="B62" s="21" t="s">
        <v>216</v>
      </c>
      <c r="C62" t="s">
        <v>217</v>
      </c>
      <c r="D62" s="13" t="s">
        <v>20</v>
      </c>
      <c r="E62" t="s">
        <v>20</v>
      </c>
      <c r="F62" t="s">
        <v>20</v>
      </c>
      <c r="G62" t="s">
        <v>20</v>
      </c>
      <c r="H62" t="s">
        <v>42</v>
      </c>
      <c r="I62" t="s">
        <v>22</v>
      </c>
    </row>
    <row r="63" spans="1:11" x14ac:dyDescent="0.3">
      <c r="A63" t="s">
        <v>218</v>
      </c>
      <c r="B63" t="s">
        <v>219</v>
      </c>
      <c r="D63" s="13" t="s">
        <v>20</v>
      </c>
      <c r="H63" t="s">
        <v>42</v>
      </c>
      <c r="I63" t="s">
        <v>22</v>
      </c>
    </row>
    <row r="64" spans="1:11" x14ac:dyDescent="0.3">
      <c r="A64" s="14" t="s">
        <v>220</v>
      </c>
      <c r="B64" t="s">
        <v>221</v>
      </c>
    </row>
    <row r="65" spans="1:11" x14ac:dyDescent="0.3">
      <c r="A65" t="s">
        <v>222</v>
      </c>
      <c r="B65" t="s">
        <v>223</v>
      </c>
      <c r="C65" t="s">
        <v>224</v>
      </c>
      <c r="D65" s="13" t="s">
        <v>20</v>
      </c>
      <c r="E65" t="s">
        <v>20</v>
      </c>
      <c r="F65" t="s">
        <v>20</v>
      </c>
      <c r="G65" t="s">
        <v>20</v>
      </c>
      <c r="H65" t="s">
        <v>42</v>
      </c>
      <c r="I65" t="s">
        <v>22</v>
      </c>
      <c r="J65" t="s">
        <v>225</v>
      </c>
    </row>
    <row r="66" spans="1:11" x14ac:dyDescent="0.3">
      <c r="A66" t="s">
        <v>226</v>
      </c>
      <c r="B66" t="s">
        <v>227</v>
      </c>
      <c r="D66" s="13" t="s">
        <v>20</v>
      </c>
      <c r="H66" t="s">
        <v>21</v>
      </c>
      <c r="I66" t="s">
        <v>22</v>
      </c>
      <c r="J66" t="s">
        <v>68</v>
      </c>
    </row>
    <row r="67" spans="1:11" x14ac:dyDescent="0.3">
      <c r="A67" s="12" t="s">
        <v>228</v>
      </c>
      <c r="B67" s="13" t="s">
        <v>229</v>
      </c>
      <c r="C67" s="13" t="s">
        <v>26</v>
      </c>
      <c r="D67" s="12" t="s">
        <v>159</v>
      </c>
      <c r="E67" s="12" t="s">
        <v>41</v>
      </c>
      <c r="F67" s="12" t="s">
        <v>41</v>
      </c>
      <c r="G67" s="12" t="s">
        <v>41</v>
      </c>
      <c r="H67" s="12" t="s">
        <v>42</v>
      </c>
      <c r="I67" s="12" t="s">
        <v>160</v>
      </c>
      <c r="J67" s="12"/>
      <c r="K67" s="12"/>
    </row>
    <row r="68" spans="1:11" x14ac:dyDescent="0.3">
      <c r="A68" s="14" t="s">
        <v>230</v>
      </c>
      <c r="B68" t="s">
        <v>231</v>
      </c>
      <c r="C68" t="s">
        <v>232</v>
      </c>
      <c r="D68" s="13" t="s">
        <v>27</v>
      </c>
      <c r="E68" t="s">
        <v>20</v>
      </c>
      <c r="F68" t="s">
        <v>20</v>
      </c>
      <c r="G68" t="s">
        <v>20</v>
      </c>
      <c r="H68" t="s">
        <v>42</v>
      </c>
      <c r="I68" t="s">
        <v>160</v>
      </c>
    </row>
    <row r="69" spans="1:11" x14ac:dyDescent="0.3">
      <c r="A69" t="s">
        <v>233</v>
      </c>
      <c r="B69" t="s">
        <v>234</v>
      </c>
      <c r="C69" t="s">
        <v>235</v>
      </c>
      <c r="D69" s="13" t="s">
        <v>20</v>
      </c>
      <c r="E69" t="s">
        <v>20</v>
      </c>
      <c r="F69" t="s">
        <v>20</v>
      </c>
      <c r="G69" t="s">
        <v>20</v>
      </c>
      <c r="H69" t="s">
        <v>42</v>
      </c>
      <c r="I69" t="s">
        <v>22</v>
      </c>
      <c r="K69" t="s">
        <v>123</v>
      </c>
    </row>
    <row r="70" spans="1:11" x14ac:dyDescent="0.3">
      <c r="A70" t="s">
        <v>236</v>
      </c>
      <c r="B70" t="s">
        <v>237</v>
      </c>
      <c r="C70" t="s">
        <v>238</v>
      </c>
      <c r="D70" s="13" t="s">
        <v>159</v>
      </c>
      <c r="E70" t="s">
        <v>20</v>
      </c>
      <c r="F70" t="s">
        <v>20</v>
      </c>
      <c r="G70" t="s">
        <v>20</v>
      </c>
      <c r="H70" t="s">
        <v>21</v>
      </c>
      <c r="I70" t="s">
        <v>22</v>
      </c>
      <c r="J70" t="s">
        <v>239</v>
      </c>
    </row>
    <row r="71" spans="1:11" x14ac:dyDescent="0.3">
      <c r="A71" t="s">
        <v>240</v>
      </c>
      <c r="B71" t="s">
        <v>241</v>
      </c>
      <c r="C71" t="s">
        <v>242</v>
      </c>
      <c r="D71" s="13" t="s">
        <v>20</v>
      </c>
      <c r="E71" t="s">
        <v>20</v>
      </c>
      <c r="F71" t="s">
        <v>20</v>
      </c>
      <c r="G71" t="s">
        <v>20</v>
      </c>
      <c r="H71" t="s">
        <v>21</v>
      </c>
      <c r="I71" t="s">
        <v>160</v>
      </c>
      <c r="J71" t="s">
        <v>243</v>
      </c>
    </row>
    <row r="72" spans="1:11" x14ac:dyDescent="0.3">
      <c r="A72" t="s">
        <v>244</v>
      </c>
      <c r="B72" t="s">
        <v>245</v>
      </c>
      <c r="C72" t="s">
        <v>246</v>
      </c>
      <c r="D72" s="13" t="s">
        <v>20</v>
      </c>
      <c r="E72" t="s">
        <v>20</v>
      </c>
      <c r="F72" t="s">
        <v>20</v>
      </c>
      <c r="G72" t="s">
        <v>20</v>
      </c>
      <c r="H72" t="s">
        <v>42</v>
      </c>
      <c r="I72" t="s">
        <v>22</v>
      </c>
    </row>
    <row r="73" spans="1:11" x14ac:dyDescent="0.3">
      <c r="A73" t="s">
        <v>247</v>
      </c>
      <c r="B73" t="s">
        <v>248</v>
      </c>
      <c r="C73" t="s">
        <v>249</v>
      </c>
      <c r="D73" s="13" t="s">
        <v>20</v>
      </c>
      <c r="E73" t="s">
        <v>20</v>
      </c>
      <c r="F73" t="s">
        <v>41</v>
      </c>
      <c r="G73" t="s">
        <v>41</v>
      </c>
      <c r="H73" t="s">
        <v>42</v>
      </c>
      <c r="I73" t="s">
        <v>22</v>
      </c>
    </row>
    <row r="74" spans="1:11" x14ac:dyDescent="0.3">
      <c r="A74" t="s">
        <v>250</v>
      </c>
      <c r="B74" s="15" t="s">
        <v>251</v>
      </c>
      <c r="C74" t="s">
        <v>252</v>
      </c>
      <c r="D74" s="13" t="s">
        <v>20</v>
      </c>
      <c r="E74" t="s">
        <v>20</v>
      </c>
      <c r="F74" t="s">
        <v>20</v>
      </c>
      <c r="G74" t="s">
        <v>20</v>
      </c>
      <c r="H74" t="s">
        <v>21</v>
      </c>
      <c r="I74" t="s">
        <v>22</v>
      </c>
      <c r="J74" t="s">
        <v>68</v>
      </c>
    </row>
    <row r="75" spans="1:11" x14ac:dyDescent="0.3">
      <c r="A75" t="s">
        <v>253</v>
      </c>
      <c r="B75" s="15" t="s">
        <v>254</v>
      </c>
      <c r="C75" t="s">
        <v>255</v>
      </c>
      <c r="D75" s="13" t="s">
        <v>20</v>
      </c>
      <c r="E75" t="s">
        <v>20</v>
      </c>
      <c r="F75" t="s">
        <v>20</v>
      </c>
      <c r="G75" t="s">
        <v>20</v>
      </c>
      <c r="H75" t="s">
        <v>42</v>
      </c>
      <c r="I75" t="s">
        <v>22</v>
      </c>
    </row>
    <row r="76" spans="1:11" x14ac:dyDescent="0.3">
      <c r="A76" t="s">
        <v>256</v>
      </c>
      <c r="B76" t="s">
        <v>257</v>
      </c>
      <c r="C76" t="s">
        <v>26</v>
      </c>
      <c r="D76" s="13" t="s">
        <v>26</v>
      </c>
      <c r="E76" t="s">
        <v>26</v>
      </c>
      <c r="F76" t="s">
        <v>26</v>
      </c>
      <c r="G76" t="s">
        <v>26</v>
      </c>
      <c r="H76" t="s">
        <v>21</v>
      </c>
      <c r="I76" t="s">
        <v>22</v>
      </c>
      <c r="J76" t="s">
        <v>28</v>
      </c>
    </row>
    <row r="77" spans="1:11" x14ac:dyDescent="0.3">
      <c r="A77" t="s">
        <v>258</v>
      </c>
      <c r="B77" t="s">
        <v>259</v>
      </c>
      <c r="C77" t="s">
        <v>260</v>
      </c>
      <c r="D77" s="13" t="s">
        <v>20</v>
      </c>
      <c r="E77" t="s">
        <v>20</v>
      </c>
      <c r="F77" t="s">
        <v>20</v>
      </c>
      <c r="G77" t="s">
        <v>20</v>
      </c>
      <c r="H77" t="s">
        <v>21</v>
      </c>
      <c r="I77" t="s">
        <v>22</v>
      </c>
      <c r="J77" t="s">
        <v>261</v>
      </c>
    </row>
    <row r="78" spans="1:11" x14ac:dyDescent="0.3">
      <c r="A78" t="s">
        <v>262</v>
      </c>
      <c r="B78" t="s">
        <v>263</v>
      </c>
      <c r="D78" s="13" t="s">
        <v>20</v>
      </c>
      <c r="H78" t="s">
        <v>21</v>
      </c>
      <c r="I78" t="s">
        <v>160</v>
      </c>
      <c r="J78" t="s">
        <v>264</v>
      </c>
    </row>
    <row r="79" spans="1:11" x14ac:dyDescent="0.3">
      <c r="A79" t="s">
        <v>265</v>
      </c>
      <c r="B79" t="s">
        <v>266</v>
      </c>
      <c r="C79" t="s">
        <v>26</v>
      </c>
      <c r="D79" s="13" t="s">
        <v>26</v>
      </c>
      <c r="E79" t="s">
        <v>26</v>
      </c>
      <c r="F79" t="s">
        <v>26</v>
      </c>
      <c r="G79" t="s">
        <v>26</v>
      </c>
      <c r="H79" t="s">
        <v>21</v>
      </c>
      <c r="I79" t="s">
        <v>22</v>
      </c>
      <c r="J79" t="s">
        <v>171</v>
      </c>
    </row>
    <row r="80" spans="1:11" x14ac:dyDescent="0.3">
      <c r="A80" t="s">
        <v>267</v>
      </c>
      <c r="B80" t="s">
        <v>268</v>
      </c>
      <c r="C80" t="s">
        <v>26</v>
      </c>
      <c r="D80" s="13" t="s">
        <v>26</v>
      </c>
      <c r="E80" t="s">
        <v>26</v>
      </c>
      <c r="F80" t="s">
        <v>26</v>
      </c>
      <c r="G80" t="s">
        <v>26</v>
      </c>
      <c r="H80" t="s">
        <v>21</v>
      </c>
      <c r="I80" t="s">
        <v>22</v>
      </c>
      <c r="J80" t="s">
        <v>171</v>
      </c>
    </row>
    <row r="81" spans="1:9" x14ac:dyDescent="0.3">
      <c r="A81" s="14" t="s">
        <v>269</v>
      </c>
      <c r="B81" t="s">
        <v>270</v>
      </c>
      <c r="C81" t="s">
        <v>271</v>
      </c>
      <c r="D81" s="13" t="s">
        <v>20</v>
      </c>
      <c r="E81" t="s">
        <v>20</v>
      </c>
      <c r="F81" t="s">
        <v>20</v>
      </c>
      <c r="G81" t="s">
        <v>20</v>
      </c>
      <c r="H81" t="s">
        <v>42</v>
      </c>
      <c r="I81" t="s">
        <v>22</v>
      </c>
    </row>
    <row r="82" spans="1:9" x14ac:dyDescent="0.3">
      <c r="A82" t="s">
        <v>272</v>
      </c>
      <c r="B82" s="15" t="s">
        <v>273</v>
      </c>
      <c r="C82" t="s">
        <v>274</v>
      </c>
      <c r="D82" s="13" t="s">
        <v>20</v>
      </c>
      <c r="E82" t="s">
        <v>20</v>
      </c>
      <c r="F82" t="s">
        <v>20</v>
      </c>
      <c r="G82" t="s">
        <v>20</v>
      </c>
      <c r="H82" t="s">
        <v>42</v>
      </c>
      <c r="I82" t="s">
        <v>22</v>
      </c>
    </row>
    <row r="83" spans="1:9" x14ac:dyDescent="0.3">
      <c r="A83" s="14" t="s">
        <v>275</v>
      </c>
      <c r="B83" t="s">
        <v>276</v>
      </c>
      <c r="C83" t="s">
        <v>277</v>
      </c>
    </row>
    <row r="84" spans="1:9" x14ac:dyDescent="0.3">
      <c r="A84" t="s">
        <v>278</v>
      </c>
      <c r="B84" t="s">
        <v>279</v>
      </c>
    </row>
    <row r="85" spans="1:9" x14ac:dyDescent="0.3">
      <c r="A85" s="14" t="s">
        <v>280</v>
      </c>
      <c r="B85" t="s">
        <v>281</v>
      </c>
    </row>
    <row r="86" spans="1:9" x14ac:dyDescent="0.3">
      <c r="A86" s="14" t="s">
        <v>282</v>
      </c>
      <c r="B86" t="s">
        <v>283</v>
      </c>
      <c r="C86" t="s">
        <v>284</v>
      </c>
      <c r="D86" s="13" t="s">
        <v>20</v>
      </c>
      <c r="E86" t="s">
        <v>20</v>
      </c>
      <c r="F86" t="s">
        <v>20</v>
      </c>
      <c r="G86" t="s">
        <v>20</v>
      </c>
      <c r="H86" t="s">
        <v>42</v>
      </c>
      <c r="I86" t="s">
        <v>22</v>
      </c>
    </row>
    <row r="87" spans="1:9" ht="28.8" x14ac:dyDescent="0.3">
      <c r="A87" s="79" t="s">
        <v>285</v>
      </c>
      <c r="B87" s="7" t="s">
        <v>286</v>
      </c>
      <c r="C87" t="s">
        <v>287</v>
      </c>
      <c r="D87" s="13" t="s">
        <v>20</v>
      </c>
      <c r="E87" t="s">
        <v>20</v>
      </c>
      <c r="F87" t="s">
        <v>20</v>
      </c>
      <c r="G87" t="s">
        <v>20</v>
      </c>
      <c r="H87" t="s">
        <v>42</v>
      </c>
      <c r="I87" t="s">
        <v>288</v>
      </c>
    </row>
    <row r="88" spans="1:9" x14ac:dyDescent="0.3">
      <c r="A88" s="80" t="s">
        <v>289</v>
      </c>
      <c r="B88" t="s">
        <v>290</v>
      </c>
      <c r="C88" t="s">
        <v>291</v>
      </c>
      <c r="D88" s="13" t="s">
        <v>159</v>
      </c>
      <c r="E88" t="s">
        <v>20</v>
      </c>
      <c r="F88" t="s">
        <v>20</v>
      </c>
      <c r="G88" t="s">
        <v>20</v>
      </c>
      <c r="H88" t="s">
        <v>42</v>
      </c>
      <c r="I88" t="s">
        <v>288</v>
      </c>
    </row>
  </sheetData>
  <autoFilter ref="A1:J88" xr:uid="{9F038180-D2B2-4663-A3E7-216441F2CB1A}"/>
  <sortState xmlns:xlrd2="http://schemas.microsoft.com/office/spreadsheetml/2017/richdata2" ref="A2:K86">
    <sortCondition ref="A2:A86"/>
  </sortState>
  <phoneticPr fontId="4" type="noConversion"/>
  <hyperlinks>
    <hyperlink ref="B41" r:id="rId1" display="https://www.sciencedirect.com/science/article/pii/B9780444531780000067" xr:uid="{4A2B488F-A482-48F0-933D-7DCB7B799121}"/>
  </hyperlinks>
  <pageMargins left="0.7" right="0.7" top="0.75" bottom="0.75" header="0.3" footer="0.3"/>
  <pageSetup orientation="portrait" horizontalDpi="300" verticalDpi="300"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41E94-83CC-4A75-95D3-124620DCBF84}">
  <sheetPr codeName="Sheet6"/>
  <dimension ref="A1:CJ1154"/>
  <sheetViews>
    <sheetView zoomScale="70" zoomScaleNormal="70" workbookViewId="0">
      <pane xSplit="4" ySplit="4" topLeftCell="E5" activePane="bottomRight" state="frozen"/>
      <selection pane="topRight" activeCell="E1" sqref="E1"/>
      <selection pane="bottomLeft" activeCell="CU1" sqref="CU1:CU1048576"/>
      <selection pane="bottomRight" activeCell="G9" sqref="G9"/>
    </sheetView>
  </sheetViews>
  <sheetFormatPr defaultRowHeight="14.4" x14ac:dyDescent="0.3"/>
  <cols>
    <col min="2" max="2" width="26.6640625" customWidth="1"/>
    <col min="3" max="3" width="20" customWidth="1"/>
    <col min="4" max="4" width="31.109375" customWidth="1"/>
    <col min="5" max="5" width="20.5546875" customWidth="1"/>
    <col min="6" max="8" width="19.109375" customWidth="1"/>
    <col min="9" max="9" width="11" customWidth="1"/>
    <col min="10" max="10" width="17" customWidth="1"/>
    <col min="11" max="13" width="13.33203125" customWidth="1"/>
    <col min="14" max="17" width="12.109375" customWidth="1"/>
    <col min="18" max="18" width="12.109375" style="4" customWidth="1"/>
    <col min="19" max="20" width="12.109375" customWidth="1"/>
    <col min="21" max="21" width="10.88671875" customWidth="1"/>
    <col min="22" max="22" width="12.109375" customWidth="1"/>
    <col min="23" max="23" width="11.109375" customWidth="1"/>
    <col min="24" max="24" width="11.44140625" customWidth="1"/>
    <col min="25" max="28" width="11.6640625" customWidth="1"/>
    <col min="29" max="29" width="27.5546875" customWidth="1"/>
    <col min="30" max="30" width="10.5546875" customWidth="1"/>
    <col min="31" max="31" width="11.109375" customWidth="1"/>
    <col min="32" max="32" width="34" customWidth="1"/>
    <col min="33" max="57" width="6" customWidth="1"/>
    <col min="58" max="58" width="9.5546875" customWidth="1"/>
    <col min="59" max="59" width="12.6640625" customWidth="1"/>
    <col min="60" max="60" width="25.109375" bestFit="1" customWidth="1"/>
    <col min="61" max="61" width="10.6640625" style="10" customWidth="1"/>
    <col min="62" max="62" width="10.5546875" style="10" customWidth="1"/>
    <col min="63" max="63" width="9.6640625" style="10" customWidth="1"/>
    <col min="64" max="64" width="8.88671875" style="17" customWidth="1"/>
    <col min="65" max="65" width="6.33203125" style="52" customWidth="1"/>
    <col min="66" max="66" width="5.6640625" style="17" customWidth="1"/>
    <col min="67" max="70" width="5.6640625" style="10" customWidth="1"/>
    <col min="71" max="71" width="9.109375" style="10" customWidth="1"/>
    <col min="72" max="72" width="8.44140625" style="10" customWidth="1"/>
    <col min="73" max="74" width="5.6640625" style="10" customWidth="1"/>
    <col min="75" max="75" width="9.33203125" style="10" customWidth="1"/>
    <col min="76" max="76" width="5.6640625" style="10" customWidth="1"/>
    <col min="77" max="77" width="9.33203125" style="10" customWidth="1"/>
    <col min="78" max="78" width="7.5546875" style="10" customWidth="1"/>
    <col min="79" max="80" width="5.6640625" style="10" customWidth="1"/>
    <col min="81" max="81" width="8.109375" style="10" customWidth="1"/>
    <col min="82" max="82" width="5.6640625" style="10" customWidth="1"/>
    <col min="83" max="83" width="16.33203125" style="10" customWidth="1"/>
    <col min="84" max="84" width="53.44140625" customWidth="1"/>
    <col min="85" max="85" width="11.109375" customWidth="1"/>
    <col min="86" max="86" width="11.44140625" customWidth="1"/>
    <col min="88" max="88" width="22.88671875" customWidth="1"/>
  </cols>
  <sheetData>
    <row r="1" spans="1:88" x14ac:dyDescent="0.3">
      <c r="U1" s="18" t="s">
        <v>398</v>
      </c>
      <c r="V1" s="4" t="s">
        <v>399</v>
      </c>
      <c r="W1" s="22">
        <f>1*CONVERT(1,"gal","ft^3")*CONVERT(1,"ft","m")*CONVERT(1,"hr","min")*CONVERT(1,"day","hr")</f>
        <v>58.673999999999999</v>
      </c>
      <c r="BM1" s="17"/>
    </row>
    <row r="2" spans="1:88" s="63" customFormat="1" ht="46.95" customHeight="1" thickBot="1" x14ac:dyDescent="0.35">
      <c r="A2" s="63">
        <f>MAX(A5:A9564)</f>
        <v>1411</v>
      </c>
      <c r="J2" s="116" t="s">
        <v>409</v>
      </c>
      <c r="K2" s="117"/>
      <c r="L2" s="117"/>
      <c r="M2" s="118"/>
      <c r="N2" s="120" t="s">
        <v>410</v>
      </c>
      <c r="O2" s="121"/>
      <c r="P2" s="121"/>
      <c r="Q2" s="121"/>
      <c r="R2" s="122"/>
      <c r="S2" s="120" t="s">
        <v>329</v>
      </c>
      <c r="T2" s="122"/>
      <c r="U2" s="116" t="s">
        <v>411</v>
      </c>
      <c r="V2" s="117"/>
      <c r="W2" s="117"/>
      <c r="X2" s="117"/>
      <c r="Y2" s="118"/>
      <c r="Z2" s="116" t="s">
        <v>412</v>
      </c>
      <c r="AA2" s="117"/>
      <c r="AB2" s="118"/>
      <c r="AC2" s="116" t="s">
        <v>413</v>
      </c>
      <c r="AD2" s="117"/>
      <c r="AE2" s="118"/>
      <c r="AG2" s="119" t="s">
        <v>414</v>
      </c>
      <c r="AH2" s="119"/>
      <c r="AI2" s="119"/>
      <c r="AJ2" s="119"/>
      <c r="AK2" s="119"/>
      <c r="AL2" s="119"/>
      <c r="AM2" s="119"/>
      <c r="AN2" s="119"/>
      <c r="AO2" s="119"/>
      <c r="AP2" s="119"/>
      <c r="AQ2" s="119"/>
      <c r="AR2" s="119"/>
      <c r="AS2" s="119"/>
      <c r="AT2" s="119"/>
      <c r="AU2" s="119"/>
      <c r="AV2" s="119"/>
      <c r="AW2" s="119" t="s">
        <v>415</v>
      </c>
      <c r="AX2" s="119"/>
      <c r="AY2" s="119"/>
      <c r="AZ2" s="119"/>
      <c r="BA2" s="119"/>
      <c r="BB2" s="119"/>
      <c r="BC2" s="119"/>
      <c r="BD2" s="119"/>
      <c r="BE2" s="119"/>
      <c r="BF2" s="81" t="s">
        <v>416</v>
      </c>
      <c r="BG2" s="115" t="s">
        <v>417</v>
      </c>
      <c r="BH2" s="115"/>
      <c r="BI2" s="115"/>
      <c r="BJ2" s="115"/>
      <c r="BK2" s="115"/>
      <c r="BL2" s="115" t="s">
        <v>418</v>
      </c>
      <c r="BM2" s="115"/>
      <c r="BN2" s="115"/>
      <c r="BO2" s="115"/>
      <c r="BP2" s="115"/>
      <c r="BQ2" s="115"/>
      <c r="BR2" s="115"/>
      <c r="BS2" s="115" t="s">
        <v>419</v>
      </c>
      <c r="BT2" s="115"/>
      <c r="BU2" s="115"/>
      <c r="BV2" s="115"/>
      <c r="BW2" s="115"/>
      <c r="BX2" s="115"/>
      <c r="BY2" s="115" t="s">
        <v>420</v>
      </c>
      <c r="BZ2" s="115"/>
      <c r="CA2" s="115"/>
      <c r="CB2" s="115"/>
      <c r="CC2" s="115"/>
      <c r="CD2" s="115"/>
    </row>
    <row r="3" spans="1:88" s="73" customFormat="1" ht="72" x14ac:dyDescent="0.3">
      <c r="A3" s="23" t="s">
        <v>292</v>
      </c>
      <c r="B3" s="46" t="s">
        <v>293</v>
      </c>
      <c r="C3" s="46" t="s">
        <v>421</v>
      </c>
      <c r="D3" s="46" t="s">
        <v>422</v>
      </c>
      <c r="E3" s="46" t="s">
        <v>423</v>
      </c>
      <c r="F3" s="46" t="s">
        <v>425</v>
      </c>
      <c r="G3" s="46" t="s">
        <v>419</v>
      </c>
      <c r="H3" s="46" t="s">
        <v>426</v>
      </c>
      <c r="I3" s="46" t="s">
        <v>427</v>
      </c>
      <c r="J3" s="23" t="s">
        <v>428</v>
      </c>
      <c r="K3" s="23" t="s">
        <v>429</v>
      </c>
      <c r="L3" s="23" t="s">
        <v>430</v>
      </c>
      <c r="M3" s="23" t="s">
        <v>431</v>
      </c>
      <c r="N3" s="23" t="s">
        <v>432</v>
      </c>
      <c r="O3" s="23" t="s">
        <v>433</v>
      </c>
      <c r="P3" s="23" t="s">
        <v>434</v>
      </c>
      <c r="Q3" s="23" t="s">
        <v>435</v>
      </c>
      <c r="R3" s="23" t="s">
        <v>436</v>
      </c>
      <c r="S3" s="23" t="s">
        <v>437</v>
      </c>
      <c r="T3" s="23" t="s">
        <v>438</v>
      </c>
      <c r="U3" s="23" t="s">
        <v>439</v>
      </c>
      <c r="V3" s="23" t="s">
        <v>440</v>
      </c>
      <c r="W3" s="23" t="s">
        <v>441</v>
      </c>
      <c r="X3" s="23" t="s">
        <v>442</v>
      </c>
      <c r="Y3" s="23" t="s">
        <v>443</v>
      </c>
      <c r="Z3" s="23" t="s">
        <v>444</v>
      </c>
      <c r="AA3" s="23" t="s">
        <v>445</v>
      </c>
      <c r="AB3" s="23" t="s">
        <v>446</v>
      </c>
      <c r="AC3" s="23" t="s">
        <v>447</v>
      </c>
      <c r="AD3" s="23" t="s">
        <v>448</v>
      </c>
      <c r="AE3" s="23" t="s">
        <v>449</v>
      </c>
      <c r="AF3" s="46" t="s">
        <v>450</v>
      </c>
      <c r="AG3" s="64" t="s">
        <v>400</v>
      </c>
      <c r="AH3" s="64" t="s">
        <v>401</v>
      </c>
      <c r="AI3" s="65" t="s">
        <v>402</v>
      </c>
      <c r="AJ3" s="65" t="s">
        <v>451</v>
      </c>
      <c r="AK3" s="65" t="s">
        <v>403</v>
      </c>
      <c r="AL3" s="65" t="s">
        <v>452</v>
      </c>
      <c r="AM3" s="65" t="s">
        <v>453</v>
      </c>
      <c r="AN3" s="65" t="s">
        <v>405</v>
      </c>
      <c r="AO3" s="65" t="s">
        <v>454</v>
      </c>
      <c r="AP3" s="65" t="s">
        <v>406</v>
      </c>
      <c r="AQ3" s="65" t="s">
        <v>407</v>
      </c>
      <c r="AR3" s="65" t="s">
        <v>455</v>
      </c>
      <c r="AS3" s="65" t="s">
        <v>456</v>
      </c>
      <c r="AT3" s="65" t="s">
        <v>457</v>
      </c>
      <c r="AU3" s="65" t="s">
        <v>458</v>
      </c>
      <c r="AV3" s="65" t="s">
        <v>408</v>
      </c>
      <c r="AW3" s="65" t="s">
        <v>402</v>
      </c>
      <c r="AX3" s="65" t="s">
        <v>451</v>
      </c>
      <c r="AY3" s="65" t="s">
        <v>403</v>
      </c>
      <c r="AZ3" s="65" t="s">
        <v>452</v>
      </c>
      <c r="BA3" s="65" t="s">
        <v>459</v>
      </c>
      <c r="BB3" s="65" t="s">
        <v>454</v>
      </c>
      <c r="BC3" s="65" t="s">
        <v>406</v>
      </c>
      <c r="BD3" s="65" t="s">
        <v>407</v>
      </c>
      <c r="BE3" s="65" t="s">
        <v>408</v>
      </c>
      <c r="BF3" s="66" t="s">
        <v>416</v>
      </c>
      <c r="BG3" s="67" t="s">
        <v>460</v>
      </c>
      <c r="BH3" s="67" t="s">
        <v>461</v>
      </c>
      <c r="BI3" s="68" t="s">
        <v>462</v>
      </c>
      <c r="BJ3" s="68" t="s">
        <v>463</v>
      </c>
      <c r="BK3" s="68" t="s">
        <v>464</v>
      </c>
      <c r="BL3" s="69" t="s">
        <v>296</v>
      </c>
      <c r="BM3" s="69" t="s">
        <v>297</v>
      </c>
      <c r="BN3" s="69" t="s">
        <v>298</v>
      </c>
      <c r="BO3" s="68" t="s">
        <v>299</v>
      </c>
      <c r="BP3" s="68" t="s">
        <v>300</v>
      </c>
      <c r="BQ3" s="68" t="s">
        <v>301</v>
      </c>
      <c r="BR3" s="68" t="s">
        <v>465</v>
      </c>
      <c r="BS3" s="69" t="s">
        <v>296</v>
      </c>
      <c r="BT3" s="68" t="s">
        <v>298</v>
      </c>
      <c r="BU3" s="68" t="s">
        <v>299</v>
      </c>
      <c r="BV3" s="68" t="s">
        <v>300</v>
      </c>
      <c r="BW3" s="68" t="s">
        <v>301</v>
      </c>
      <c r="BX3" s="68" t="s">
        <v>465</v>
      </c>
      <c r="BY3" s="69" t="s">
        <v>296</v>
      </c>
      <c r="BZ3" s="68" t="s">
        <v>298</v>
      </c>
      <c r="CA3" s="68" t="s">
        <v>299</v>
      </c>
      <c r="CB3" s="68" t="s">
        <v>300</v>
      </c>
      <c r="CC3" s="68" t="s">
        <v>301</v>
      </c>
      <c r="CD3" s="68" t="s">
        <v>465</v>
      </c>
      <c r="CE3" s="70" t="s">
        <v>466</v>
      </c>
      <c r="CF3" s="70" t="s">
        <v>467</v>
      </c>
      <c r="CG3" s="71" t="s">
        <v>468</v>
      </c>
      <c r="CH3" s="72" t="s">
        <v>469</v>
      </c>
    </row>
    <row r="4" spans="1:88" s="42" customFormat="1" ht="14.4" customHeight="1" x14ac:dyDescent="0.3">
      <c r="A4" s="42" t="s">
        <v>470</v>
      </c>
      <c r="B4" s="43" t="s">
        <v>471</v>
      </c>
      <c r="C4" s="43" t="s">
        <v>472</v>
      </c>
      <c r="D4" s="43" t="s">
        <v>473</v>
      </c>
      <c r="E4" s="43" t="s">
        <v>474</v>
      </c>
      <c r="F4" s="43" t="s">
        <v>476</v>
      </c>
      <c r="G4" s="43" t="s">
        <v>477</v>
      </c>
      <c r="H4" s="43" t="s">
        <v>478</v>
      </c>
      <c r="I4" s="43" t="s">
        <v>479</v>
      </c>
      <c r="J4" s="42" t="s">
        <v>480</v>
      </c>
      <c r="K4" s="42" t="s">
        <v>481</v>
      </c>
      <c r="L4" s="42" t="s">
        <v>482</v>
      </c>
      <c r="M4" s="42" t="s">
        <v>483</v>
      </c>
      <c r="N4" s="42" t="s">
        <v>484</v>
      </c>
      <c r="O4" s="42" t="s">
        <v>485</v>
      </c>
      <c r="P4" s="42" t="s">
        <v>486</v>
      </c>
      <c r="Q4" s="42" t="s">
        <v>487</v>
      </c>
      <c r="R4" s="42" t="s">
        <v>488</v>
      </c>
      <c r="S4" s="42" t="s">
        <v>489</v>
      </c>
      <c r="T4" s="42" t="s">
        <v>1133</v>
      </c>
      <c r="U4" s="42" t="s">
        <v>1134</v>
      </c>
      <c r="V4" s="42" t="s">
        <v>1135</v>
      </c>
      <c r="W4" s="42" t="s">
        <v>1136</v>
      </c>
      <c r="X4" s="42" t="s">
        <v>1137</v>
      </c>
      <c r="Y4" s="42" t="s">
        <v>1138</v>
      </c>
      <c r="Z4" s="42" t="s">
        <v>496</v>
      </c>
      <c r="AA4" s="42" t="s">
        <v>497</v>
      </c>
      <c r="AB4" s="42" t="s">
        <v>498</v>
      </c>
      <c r="AC4" s="42" t="s">
        <v>499</v>
      </c>
      <c r="AD4" s="42" t="s">
        <v>500</v>
      </c>
      <c r="AE4" s="42" t="s">
        <v>501</v>
      </c>
      <c r="AF4" s="43" t="s">
        <v>502</v>
      </c>
      <c r="AG4" s="43" t="s">
        <v>503</v>
      </c>
      <c r="AH4" s="43" t="s">
        <v>504</v>
      </c>
      <c r="AI4" s="42" t="s">
        <v>505</v>
      </c>
      <c r="AJ4" s="42" t="s">
        <v>506</v>
      </c>
      <c r="AK4" s="42" t="s">
        <v>507</v>
      </c>
      <c r="AL4" s="42" t="s">
        <v>508</v>
      </c>
      <c r="AM4" s="42" t="s">
        <v>509</v>
      </c>
      <c r="AN4" s="42" t="s">
        <v>510</v>
      </c>
      <c r="AO4" s="42" t="s">
        <v>511</v>
      </c>
      <c r="AP4" s="42" t="s">
        <v>512</v>
      </c>
      <c r="AQ4" s="42" t="s">
        <v>513</v>
      </c>
      <c r="AR4" s="42" t="s">
        <v>514</v>
      </c>
      <c r="AS4" s="42" t="s">
        <v>515</v>
      </c>
      <c r="AT4" s="42" t="s">
        <v>516</v>
      </c>
      <c r="AU4" s="42" t="s">
        <v>517</v>
      </c>
      <c r="AV4" s="42" t="s">
        <v>518</v>
      </c>
      <c r="AW4" s="42" t="s">
        <v>519</v>
      </c>
      <c r="AX4" s="42" t="s">
        <v>520</v>
      </c>
      <c r="AY4" s="42" t="s">
        <v>521</v>
      </c>
      <c r="AZ4" s="42" t="s">
        <v>522</v>
      </c>
      <c r="BA4" s="42" t="s">
        <v>523</v>
      </c>
      <c r="BB4" s="42" t="s">
        <v>524</v>
      </c>
      <c r="BC4" s="42" t="s">
        <v>525</v>
      </c>
      <c r="BD4" s="42" t="s">
        <v>526</v>
      </c>
      <c r="BE4" s="42" t="s">
        <v>527</v>
      </c>
      <c r="BF4" s="43" t="s">
        <v>528</v>
      </c>
      <c r="BG4" s="42" t="s">
        <v>529</v>
      </c>
      <c r="BH4" s="42" t="s">
        <v>530</v>
      </c>
      <c r="BI4" s="44" t="s">
        <v>531</v>
      </c>
      <c r="BJ4" s="44" t="s">
        <v>532</v>
      </c>
      <c r="BK4" s="44" t="s">
        <v>533</v>
      </c>
      <c r="BL4" s="45" t="s">
        <v>534</v>
      </c>
      <c r="BM4" s="45" t="s">
        <v>535</v>
      </c>
      <c r="BN4" s="45" t="s">
        <v>536</v>
      </c>
      <c r="BO4" s="44" t="s">
        <v>537</v>
      </c>
      <c r="BP4" s="44" t="s">
        <v>538</v>
      </c>
      <c r="BQ4" s="44" t="s">
        <v>539</v>
      </c>
      <c r="BR4" s="44" t="s">
        <v>542</v>
      </c>
      <c r="BS4" s="44" t="s">
        <v>543</v>
      </c>
      <c r="BT4" s="44" t="s">
        <v>544</v>
      </c>
      <c r="BU4" s="44" t="s">
        <v>545</v>
      </c>
      <c r="BV4" s="44" t="s">
        <v>546</v>
      </c>
      <c r="BW4" s="44" t="s">
        <v>547</v>
      </c>
      <c r="BX4" s="44" t="s">
        <v>550</v>
      </c>
      <c r="BY4" s="44" t="s">
        <v>551</v>
      </c>
      <c r="BZ4" s="44" t="s">
        <v>552</v>
      </c>
      <c r="CA4" s="44" t="s">
        <v>553</v>
      </c>
      <c r="CB4" s="44" t="s">
        <v>554</v>
      </c>
      <c r="CC4" s="44" t="s">
        <v>555</v>
      </c>
      <c r="CD4" s="44" t="s">
        <v>558</v>
      </c>
      <c r="CE4" s="43" t="s">
        <v>559</v>
      </c>
      <c r="CF4" s="43" t="s">
        <v>560</v>
      </c>
      <c r="CG4" s="43" t="s">
        <v>561</v>
      </c>
      <c r="CH4" s="43" t="s">
        <v>562</v>
      </c>
      <c r="CJ4" s="73"/>
    </row>
    <row r="5" spans="1:88" x14ac:dyDescent="0.3">
      <c r="A5">
        <v>1</v>
      </c>
      <c r="B5" t="s">
        <v>309</v>
      </c>
      <c r="C5" t="s">
        <v>329</v>
      </c>
      <c r="D5" t="s">
        <v>563</v>
      </c>
      <c r="E5" t="s">
        <v>564</v>
      </c>
      <c r="F5" t="s">
        <v>565</v>
      </c>
      <c r="G5" t="s">
        <v>566</v>
      </c>
      <c r="I5" t="s">
        <v>567</v>
      </c>
      <c r="S5">
        <v>206</v>
      </c>
      <c r="BG5" t="s">
        <v>311</v>
      </c>
      <c r="BH5" t="s">
        <v>316</v>
      </c>
      <c r="BI5" s="10" t="s">
        <v>568</v>
      </c>
      <c r="BJ5" s="10" t="s">
        <v>569</v>
      </c>
      <c r="BK5" s="10" t="s">
        <v>137</v>
      </c>
      <c r="BL5" s="10">
        <v>4</v>
      </c>
      <c r="BM5" s="52">
        <v>8</v>
      </c>
      <c r="CE5" s="10" t="s">
        <v>570</v>
      </c>
      <c r="CF5" t="s">
        <v>571</v>
      </c>
      <c r="CG5" t="s">
        <v>572</v>
      </c>
      <c r="CH5" s="10" t="s">
        <v>573</v>
      </c>
      <c r="CJ5" s="73"/>
    </row>
    <row r="6" spans="1:88" x14ac:dyDescent="0.3">
      <c r="A6">
        <v>2</v>
      </c>
      <c r="B6" t="s">
        <v>309</v>
      </c>
      <c r="C6" t="s">
        <v>333</v>
      </c>
      <c r="D6" t="s">
        <v>574</v>
      </c>
      <c r="E6" t="s">
        <v>564</v>
      </c>
      <c r="F6" t="s">
        <v>565</v>
      </c>
      <c r="G6" t="s">
        <v>566</v>
      </c>
      <c r="I6" t="s">
        <v>567</v>
      </c>
      <c r="N6">
        <v>10</v>
      </c>
      <c r="S6">
        <v>122</v>
      </c>
      <c r="BG6" t="s">
        <v>311</v>
      </c>
      <c r="BH6" t="s">
        <v>316</v>
      </c>
      <c r="BI6" s="10" t="s">
        <v>568</v>
      </c>
      <c r="BJ6" s="10" t="s">
        <v>569</v>
      </c>
      <c r="BK6" s="10" t="s">
        <v>137</v>
      </c>
      <c r="BL6" s="10">
        <v>4</v>
      </c>
      <c r="BM6" s="52">
        <v>8</v>
      </c>
      <c r="CE6" s="10" t="s">
        <v>570</v>
      </c>
      <c r="CF6" t="s">
        <v>571</v>
      </c>
      <c r="CG6" t="s">
        <v>572</v>
      </c>
      <c r="CH6" s="10" t="s">
        <v>573</v>
      </c>
      <c r="CJ6" s="73"/>
    </row>
    <row r="7" spans="1:88" x14ac:dyDescent="0.3">
      <c r="A7">
        <v>3</v>
      </c>
      <c r="B7" t="s">
        <v>328</v>
      </c>
      <c r="C7" t="s">
        <v>329</v>
      </c>
      <c r="D7" t="s">
        <v>575</v>
      </c>
      <c r="E7" t="s">
        <v>576</v>
      </c>
      <c r="F7" t="s">
        <v>577</v>
      </c>
      <c r="G7" t="s">
        <v>578</v>
      </c>
      <c r="I7" t="s">
        <v>567</v>
      </c>
      <c r="S7">
        <v>40</v>
      </c>
      <c r="AI7">
        <v>2.2999999999999998</v>
      </c>
      <c r="AK7">
        <v>1.25</v>
      </c>
      <c r="AL7">
        <v>1.1000000000000001</v>
      </c>
      <c r="AM7">
        <v>206</v>
      </c>
      <c r="AQ7">
        <v>25.48</v>
      </c>
      <c r="AV7">
        <v>1.33</v>
      </c>
      <c r="BG7" t="s">
        <v>312</v>
      </c>
      <c r="BH7" t="s">
        <v>579</v>
      </c>
      <c r="BI7" s="10" t="s">
        <v>568</v>
      </c>
      <c r="BK7" s="10" t="s">
        <v>137</v>
      </c>
      <c r="BL7" s="17">
        <v>3.24</v>
      </c>
      <c r="BN7" s="17">
        <v>0.48</v>
      </c>
      <c r="CE7" s="10" t="s">
        <v>580</v>
      </c>
      <c r="CF7" t="s">
        <v>581</v>
      </c>
      <c r="CG7" t="s">
        <v>572</v>
      </c>
      <c r="CH7" s="10" t="s">
        <v>573</v>
      </c>
    </row>
    <row r="8" spans="1:88" x14ac:dyDescent="0.3">
      <c r="A8">
        <v>4</v>
      </c>
      <c r="B8" t="s">
        <v>328</v>
      </c>
      <c r="C8" t="s">
        <v>329</v>
      </c>
      <c r="D8" t="s">
        <v>582</v>
      </c>
      <c r="E8" t="s">
        <v>576</v>
      </c>
      <c r="F8" t="s">
        <v>577</v>
      </c>
      <c r="G8" t="s">
        <v>578</v>
      </c>
      <c r="I8" t="s">
        <v>567</v>
      </c>
      <c r="S8">
        <v>40</v>
      </c>
      <c r="AI8">
        <v>2.2999999999999998</v>
      </c>
      <c r="AK8">
        <v>1.25</v>
      </c>
      <c r="AL8">
        <v>1.1000000000000001</v>
      </c>
      <c r="AM8">
        <v>206</v>
      </c>
      <c r="AQ8">
        <v>25.48</v>
      </c>
      <c r="AV8">
        <v>1.33</v>
      </c>
      <c r="BG8" t="s">
        <v>312</v>
      </c>
      <c r="BH8" t="s">
        <v>579</v>
      </c>
      <c r="BI8" s="10" t="s">
        <v>568</v>
      </c>
      <c r="BK8" s="10" t="s">
        <v>137</v>
      </c>
      <c r="BL8" s="17">
        <v>3.19</v>
      </c>
      <c r="BN8" s="17">
        <v>0.49</v>
      </c>
      <c r="CE8" s="10" t="s">
        <v>580</v>
      </c>
      <c r="CF8" t="s">
        <v>583</v>
      </c>
      <c r="CG8" t="s">
        <v>572</v>
      </c>
      <c r="CH8" s="10" t="s">
        <v>573</v>
      </c>
    </row>
    <row r="9" spans="1:88" x14ac:dyDescent="0.3">
      <c r="A9">
        <v>5</v>
      </c>
      <c r="B9" t="s">
        <v>328</v>
      </c>
      <c r="C9" t="s">
        <v>329</v>
      </c>
      <c r="D9" t="s">
        <v>575</v>
      </c>
      <c r="E9" t="s">
        <v>576</v>
      </c>
      <c r="F9" t="s">
        <v>577</v>
      </c>
      <c r="G9" t="s">
        <v>578</v>
      </c>
      <c r="I9" t="s">
        <v>567</v>
      </c>
      <c r="S9">
        <v>140</v>
      </c>
      <c r="AI9">
        <v>2.2999999999999998</v>
      </c>
      <c r="AK9">
        <v>1.25</v>
      </c>
      <c r="AL9">
        <v>1.1000000000000001</v>
      </c>
      <c r="AM9">
        <v>206</v>
      </c>
      <c r="AQ9">
        <v>25.48</v>
      </c>
      <c r="AV9">
        <v>1.33</v>
      </c>
      <c r="BG9" t="s">
        <v>312</v>
      </c>
      <c r="BH9" t="s">
        <v>579</v>
      </c>
      <c r="BI9" s="10" t="s">
        <v>568</v>
      </c>
      <c r="BK9" s="10" t="s">
        <v>137</v>
      </c>
      <c r="BL9" s="17">
        <v>4.5599999999999996</v>
      </c>
      <c r="BN9" s="17">
        <v>0.15</v>
      </c>
      <c r="BR9" s="10" t="s">
        <v>842</v>
      </c>
      <c r="CE9" s="10" t="s">
        <v>580</v>
      </c>
      <c r="CF9" s="10"/>
      <c r="CG9" t="s">
        <v>572</v>
      </c>
      <c r="CH9" s="10" t="s">
        <v>573</v>
      </c>
    </row>
    <row r="10" spans="1:88" x14ac:dyDescent="0.3">
      <c r="A10">
        <v>6</v>
      </c>
      <c r="B10" t="s">
        <v>328</v>
      </c>
      <c r="C10" t="s">
        <v>329</v>
      </c>
      <c r="D10" t="s">
        <v>582</v>
      </c>
      <c r="E10" t="s">
        <v>576</v>
      </c>
      <c r="F10" t="s">
        <v>577</v>
      </c>
      <c r="G10" t="s">
        <v>578</v>
      </c>
      <c r="I10" t="s">
        <v>567</v>
      </c>
      <c r="S10">
        <v>140</v>
      </c>
      <c r="AI10">
        <v>2.2999999999999998</v>
      </c>
      <c r="AK10">
        <v>1.25</v>
      </c>
      <c r="AL10">
        <v>1.1000000000000001</v>
      </c>
      <c r="AM10">
        <v>206</v>
      </c>
      <c r="AQ10">
        <v>25.48</v>
      </c>
      <c r="AV10">
        <v>1.33</v>
      </c>
      <c r="BG10" t="s">
        <v>312</v>
      </c>
      <c r="BH10" t="s">
        <v>579</v>
      </c>
      <c r="BI10" s="10" t="s">
        <v>568</v>
      </c>
      <c r="BK10" s="10" t="s">
        <v>137</v>
      </c>
      <c r="BL10" s="17">
        <v>4.8499999999999996</v>
      </c>
      <c r="BN10" s="17">
        <v>0.17</v>
      </c>
      <c r="CE10" s="10" t="s">
        <v>580</v>
      </c>
      <c r="CG10" t="s">
        <v>572</v>
      </c>
      <c r="CH10" s="10" t="s">
        <v>573</v>
      </c>
    </row>
    <row r="11" spans="1:88" x14ac:dyDescent="0.3">
      <c r="A11">
        <v>7</v>
      </c>
      <c r="B11" t="s">
        <v>328</v>
      </c>
      <c r="C11" t="s">
        <v>329</v>
      </c>
      <c r="D11" t="s">
        <v>575</v>
      </c>
      <c r="E11" t="s">
        <v>576</v>
      </c>
      <c r="F11" t="s">
        <v>577</v>
      </c>
      <c r="G11" t="s">
        <v>578</v>
      </c>
      <c r="I11" t="s">
        <v>567</v>
      </c>
      <c r="S11">
        <v>250</v>
      </c>
      <c r="AI11">
        <v>2.2999999999999998</v>
      </c>
      <c r="AK11">
        <v>1.25</v>
      </c>
      <c r="AL11">
        <v>1.1000000000000001</v>
      </c>
      <c r="AM11">
        <v>206</v>
      </c>
      <c r="AQ11">
        <v>25.48</v>
      </c>
      <c r="AV11">
        <v>1.33</v>
      </c>
      <c r="BG11" t="s">
        <v>312</v>
      </c>
      <c r="BH11" t="s">
        <v>579</v>
      </c>
      <c r="BI11" s="10" t="s">
        <v>568</v>
      </c>
      <c r="BK11" s="10" t="s">
        <v>137</v>
      </c>
      <c r="BL11" s="17">
        <v>5.07</v>
      </c>
      <c r="BN11" s="17">
        <v>0.18</v>
      </c>
      <c r="BR11" s="10" t="s">
        <v>842</v>
      </c>
      <c r="CE11" s="10" t="s">
        <v>580</v>
      </c>
      <c r="CG11" t="s">
        <v>572</v>
      </c>
      <c r="CH11" s="10" t="s">
        <v>573</v>
      </c>
    </row>
    <row r="12" spans="1:88" x14ac:dyDescent="0.3">
      <c r="A12">
        <v>8</v>
      </c>
      <c r="B12" t="s">
        <v>328</v>
      </c>
      <c r="C12" t="s">
        <v>329</v>
      </c>
      <c r="D12" t="s">
        <v>582</v>
      </c>
      <c r="E12" t="s">
        <v>576</v>
      </c>
      <c r="F12" t="s">
        <v>577</v>
      </c>
      <c r="G12" t="s">
        <v>578</v>
      </c>
      <c r="I12" t="s">
        <v>567</v>
      </c>
      <c r="S12">
        <v>250</v>
      </c>
      <c r="AI12">
        <v>2.2999999999999998</v>
      </c>
      <c r="AK12">
        <v>1.25</v>
      </c>
      <c r="AL12">
        <v>1.1000000000000001</v>
      </c>
      <c r="AM12">
        <v>206</v>
      </c>
      <c r="AQ12">
        <v>25.48</v>
      </c>
      <c r="AV12">
        <v>1.33</v>
      </c>
      <c r="BG12" t="s">
        <v>312</v>
      </c>
      <c r="BH12" t="s">
        <v>579</v>
      </c>
      <c r="BI12" s="10" t="s">
        <v>568</v>
      </c>
      <c r="BK12" s="10" t="s">
        <v>137</v>
      </c>
      <c r="BL12" s="17">
        <v>4.8499999999999996</v>
      </c>
      <c r="BN12" s="17">
        <v>0.17</v>
      </c>
      <c r="BR12" s="10" t="s">
        <v>842</v>
      </c>
      <c r="CE12" s="10" t="s">
        <v>580</v>
      </c>
      <c r="CG12" t="s">
        <v>572</v>
      </c>
      <c r="CH12" s="10" t="s">
        <v>573</v>
      </c>
    </row>
    <row r="13" spans="1:88" x14ac:dyDescent="0.3">
      <c r="A13">
        <v>9</v>
      </c>
      <c r="B13" t="s">
        <v>328</v>
      </c>
      <c r="C13" t="s">
        <v>329</v>
      </c>
      <c r="D13" t="s">
        <v>575</v>
      </c>
      <c r="E13" t="s">
        <v>576</v>
      </c>
      <c r="F13" t="s">
        <v>577</v>
      </c>
      <c r="G13" t="s">
        <v>578</v>
      </c>
      <c r="I13" t="s">
        <v>567</v>
      </c>
      <c r="S13">
        <v>40</v>
      </c>
      <c r="AI13">
        <v>2.2999999999999998</v>
      </c>
      <c r="AK13">
        <v>1.25</v>
      </c>
      <c r="AL13">
        <v>1.1000000000000001</v>
      </c>
      <c r="AM13">
        <v>206</v>
      </c>
      <c r="AQ13">
        <v>25.48</v>
      </c>
      <c r="AV13">
        <v>1.33</v>
      </c>
      <c r="BG13" t="s">
        <v>313</v>
      </c>
      <c r="BH13" t="s">
        <v>584</v>
      </c>
      <c r="BI13" s="10" t="s">
        <v>568</v>
      </c>
      <c r="BK13" s="10" t="s">
        <v>137</v>
      </c>
      <c r="BL13" s="17">
        <v>0.56999999999999995</v>
      </c>
      <c r="BN13" s="17">
        <v>7.0000000000000007E-2</v>
      </c>
      <c r="CE13" s="10" t="s">
        <v>580</v>
      </c>
      <c r="CG13" t="s">
        <v>572</v>
      </c>
      <c r="CH13" s="10" t="s">
        <v>573</v>
      </c>
    </row>
    <row r="14" spans="1:88" x14ac:dyDescent="0.3">
      <c r="A14">
        <v>10</v>
      </c>
      <c r="B14" t="s">
        <v>328</v>
      </c>
      <c r="C14" t="s">
        <v>329</v>
      </c>
      <c r="D14" t="s">
        <v>582</v>
      </c>
      <c r="E14" t="s">
        <v>576</v>
      </c>
      <c r="F14" t="s">
        <v>577</v>
      </c>
      <c r="G14" t="s">
        <v>578</v>
      </c>
      <c r="I14" t="s">
        <v>567</v>
      </c>
      <c r="S14">
        <v>40</v>
      </c>
      <c r="AI14">
        <v>2.2999999999999998</v>
      </c>
      <c r="AK14">
        <v>1.25</v>
      </c>
      <c r="AL14">
        <v>1.1000000000000001</v>
      </c>
      <c r="AM14">
        <v>206</v>
      </c>
      <c r="AQ14">
        <v>25.48</v>
      </c>
      <c r="AV14">
        <v>1.33</v>
      </c>
      <c r="BG14" t="s">
        <v>313</v>
      </c>
      <c r="BH14" t="s">
        <v>584</v>
      </c>
      <c r="BI14" s="10" t="s">
        <v>568</v>
      </c>
      <c r="BK14" s="10" t="s">
        <v>137</v>
      </c>
      <c r="BL14" s="17">
        <v>0.63</v>
      </c>
      <c r="BN14" s="17">
        <v>0.04</v>
      </c>
      <c r="CE14" s="10" t="s">
        <v>580</v>
      </c>
      <c r="CG14" t="s">
        <v>572</v>
      </c>
      <c r="CH14" s="10" t="s">
        <v>573</v>
      </c>
    </row>
    <row r="15" spans="1:88" x14ac:dyDescent="0.3">
      <c r="A15">
        <v>11</v>
      </c>
      <c r="B15" t="s">
        <v>328</v>
      </c>
      <c r="C15" t="s">
        <v>329</v>
      </c>
      <c r="D15" t="s">
        <v>575</v>
      </c>
      <c r="E15" t="s">
        <v>576</v>
      </c>
      <c r="F15" t="s">
        <v>577</v>
      </c>
      <c r="G15" t="s">
        <v>578</v>
      </c>
      <c r="I15" t="s">
        <v>567</v>
      </c>
      <c r="S15">
        <v>140</v>
      </c>
      <c r="AI15">
        <v>2.2999999999999998</v>
      </c>
      <c r="AK15">
        <v>1.25</v>
      </c>
      <c r="AL15">
        <v>1.1000000000000001</v>
      </c>
      <c r="AM15">
        <v>206</v>
      </c>
      <c r="AQ15">
        <v>25.48</v>
      </c>
      <c r="AV15">
        <v>1.33</v>
      </c>
      <c r="BG15" t="s">
        <v>313</v>
      </c>
      <c r="BH15" t="s">
        <v>584</v>
      </c>
      <c r="BI15" s="10" t="s">
        <v>568</v>
      </c>
      <c r="BK15" s="10" t="s">
        <v>137</v>
      </c>
      <c r="BL15" s="17">
        <v>1.81</v>
      </c>
      <c r="BN15" s="17">
        <v>0.06</v>
      </c>
      <c r="CE15" s="10" t="s">
        <v>580</v>
      </c>
      <c r="CG15" t="s">
        <v>572</v>
      </c>
      <c r="CH15" s="10" t="s">
        <v>573</v>
      </c>
    </row>
    <row r="16" spans="1:88" x14ac:dyDescent="0.3">
      <c r="A16">
        <v>12</v>
      </c>
      <c r="B16" t="s">
        <v>328</v>
      </c>
      <c r="C16" t="s">
        <v>329</v>
      </c>
      <c r="D16" t="s">
        <v>582</v>
      </c>
      <c r="E16" t="s">
        <v>576</v>
      </c>
      <c r="F16" t="s">
        <v>577</v>
      </c>
      <c r="G16" t="s">
        <v>578</v>
      </c>
      <c r="I16" t="s">
        <v>567</v>
      </c>
      <c r="S16">
        <v>140</v>
      </c>
      <c r="AI16">
        <v>2.2999999999999998</v>
      </c>
      <c r="AK16">
        <v>1.25</v>
      </c>
      <c r="AL16">
        <v>1.1000000000000001</v>
      </c>
      <c r="AM16">
        <v>206</v>
      </c>
      <c r="AQ16">
        <v>25.48</v>
      </c>
      <c r="AV16">
        <v>1.33</v>
      </c>
      <c r="BG16" t="s">
        <v>313</v>
      </c>
      <c r="BH16" t="s">
        <v>584</v>
      </c>
      <c r="BI16" s="10" t="s">
        <v>568</v>
      </c>
      <c r="BK16" s="10" t="s">
        <v>137</v>
      </c>
      <c r="BL16" s="17">
        <v>1.92</v>
      </c>
      <c r="BN16" s="17">
        <v>0.06</v>
      </c>
      <c r="CE16" s="10" t="s">
        <v>580</v>
      </c>
      <c r="CG16" t="s">
        <v>572</v>
      </c>
      <c r="CH16" s="10" t="s">
        <v>573</v>
      </c>
    </row>
    <row r="17" spans="1:86" x14ac:dyDescent="0.3">
      <c r="A17">
        <v>13</v>
      </c>
      <c r="B17" t="s">
        <v>328</v>
      </c>
      <c r="C17" t="s">
        <v>329</v>
      </c>
      <c r="D17" t="s">
        <v>575</v>
      </c>
      <c r="E17" t="s">
        <v>576</v>
      </c>
      <c r="F17" t="s">
        <v>577</v>
      </c>
      <c r="G17" t="s">
        <v>578</v>
      </c>
      <c r="I17" t="s">
        <v>567</v>
      </c>
      <c r="S17">
        <v>250</v>
      </c>
      <c r="AI17">
        <v>2.2999999999999998</v>
      </c>
      <c r="AK17">
        <v>1.25</v>
      </c>
      <c r="AL17">
        <v>1.1000000000000001</v>
      </c>
      <c r="AM17">
        <v>206</v>
      </c>
      <c r="AQ17">
        <v>25.48</v>
      </c>
      <c r="AV17">
        <v>1.33</v>
      </c>
      <c r="BG17" t="s">
        <v>313</v>
      </c>
      <c r="BH17" t="s">
        <v>584</v>
      </c>
      <c r="BI17" s="10" t="s">
        <v>568</v>
      </c>
      <c r="BK17" s="10" t="s">
        <v>137</v>
      </c>
      <c r="BL17" s="17">
        <v>2.68</v>
      </c>
      <c r="BN17" s="17">
        <v>0.28999999999999998</v>
      </c>
      <c r="BR17" s="10" t="s">
        <v>842</v>
      </c>
      <c r="CE17" s="10" t="s">
        <v>580</v>
      </c>
      <c r="CG17" t="s">
        <v>572</v>
      </c>
      <c r="CH17" s="10" t="s">
        <v>573</v>
      </c>
    </row>
    <row r="18" spans="1:86" x14ac:dyDescent="0.3">
      <c r="A18">
        <v>14</v>
      </c>
      <c r="B18" t="s">
        <v>328</v>
      </c>
      <c r="C18" t="s">
        <v>329</v>
      </c>
      <c r="D18" t="s">
        <v>582</v>
      </c>
      <c r="E18" t="s">
        <v>576</v>
      </c>
      <c r="F18" t="s">
        <v>577</v>
      </c>
      <c r="G18" t="s">
        <v>578</v>
      </c>
      <c r="I18" t="s">
        <v>567</v>
      </c>
      <c r="S18">
        <v>250</v>
      </c>
      <c r="AI18">
        <v>2.2999999999999998</v>
      </c>
      <c r="AK18">
        <v>1.25</v>
      </c>
      <c r="AL18">
        <v>1.1000000000000001</v>
      </c>
      <c r="AM18">
        <v>206</v>
      </c>
      <c r="AQ18">
        <v>25.48</v>
      </c>
      <c r="AV18">
        <v>1.33</v>
      </c>
      <c r="BG18" t="s">
        <v>313</v>
      </c>
      <c r="BH18" t="s">
        <v>584</v>
      </c>
      <c r="BI18" s="10" t="s">
        <v>568</v>
      </c>
      <c r="BK18" s="10" t="s">
        <v>137</v>
      </c>
      <c r="BL18" s="17">
        <v>2.64</v>
      </c>
      <c r="BN18" s="17">
        <v>0.04</v>
      </c>
      <c r="BR18" s="10" t="s">
        <v>842</v>
      </c>
      <c r="CE18" s="10" t="s">
        <v>580</v>
      </c>
      <c r="CG18" t="s">
        <v>572</v>
      </c>
      <c r="CH18" s="10" t="s">
        <v>573</v>
      </c>
    </row>
    <row r="19" spans="1:86" x14ac:dyDescent="0.3">
      <c r="A19">
        <v>15</v>
      </c>
      <c r="B19" t="s">
        <v>328</v>
      </c>
      <c r="C19" t="s">
        <v>329</v>
      </c>
      <c r="D19" t="s">
        <v>575</v>
      </c>
      <c r="E19" t="s">
        <v>576</v>
      </c>
      <c r="F19" t="s">
        <v>577</v>
      </c>
      <c r="G19" t="s">
        <v>578</v>
      </c>
      <c r="I19" t="s">
        <v>567</v>
      </c>
      <c r="S19">
        <v>40</v>
      </c>
      <c r="AI19">
        <v>2.2999999999999998</v>
      </c>
      <c r="AK19">
        <v>1.25</v>
      </c>
      <c r="AL19">
        <v>1.1000000000000001</v>
      </c>
      <c r="AM19">
        <v>206</v>
      </c>
      <c r="AQ19">
        <v>25.48</v>
      </c>
      <c r="AV19">
        <v>1.33</v>
      </c>
      <c r="BG19" t="s">
        <v>311</v>
      </c>
      <c r="BH19" t="s">
        <v>315</v>
      </c>
      <c r="BI19" s="10" t="s">
        <v>568</v>
      </c>
      <c r="BK19" s="10" t="s">
        <v>137</v>
      </c>
      <c r="BL19" s="17">
        <v>0.99</v>
      </c>
      <c r="BN19" s="17">
        <v>0.06</v>
      </c>
      <c r="CE19" s="10" t="s">
        <v>580</v>
      </c>
      <c r="CG19" t="s">
        <v>572</v>
      </c>
      <c r="CH19" s="10" t="s">
        <v>573</v>
      </c>
    </row>
    <row r="20" spans="1:86" x14ac:dyDescent="0.3">
      <c r="A20">
        <v>16</v>
      </c>
      <c r="B20" t="s">
        <v>328</v>
      </c>
      <c r="C20" t="s">
        <v>329</v>
      </c>
      <c r="D20" t="s">
        <v>582</v>
      </c>
      <c r="E20" t="s">
        <v>576</v>
      </c>
      <c r="F20" t="s">
        <v>577</v>
      </c>
      <c r="G20" t="s">
        <v>578</v>
      </c>
      <c r="I20" t="s">
        <v>567</v>
      </c>
      <c r="S20">
        <v>40</v>
      </c>
      <c r="AI20">
        <v>2.2999999999999998</v>
      </c>
      <c r="AK20">
        <v>1.25</v>
      </c>
      <c r="AL20">
        <v>1.1000000000000001</v>
      </c>
      <c r="AM20">
        <v>206</v>
      </c>
      <c r="AQ20">
        <v>25.48</v>
      </c>
      <c r="AV20">
        <v>1.33</v>
      </c>
      <c r="BG20" t="s">
        <v>311</v>
      </c>
      <c r="BH20" t="s">
        <v>315</v>
      </c>
      <c r="BI20" s="10" t="s">
        <v>568</v>
      </c>
      <c r="BK20" s="10" t="s">
        <v>137</v>
      </c>
      <c r="BL20" s="17">
        <v>0.82</v>
      </c>
      <c r="BN20" s="17">
        <v>0.09</v>
      </c>
      <c r="CE20" s="10" t="s">
        <v>580</v>
      </c>
      <c r="CG20" t="s">
        <v>572</v>
      </c>
      <c r="CH20" s="10" t="s">
        <v>573</v>
      </c>
    </row>
    <row r="21" spans="1:86" x14ac:dyDescent="0.3">
      <c r="A21">
        <v>17</v>
      </c>
      <c r="B21" t="s">
        <v>328</v>
      </c>
      <c r="C21" t="s">
        <v>329</v>
      </c>
      <c r="D21" t="s">
        <v>575</v>
      </c>
      <c r="E21" t="s">
        <v>576</v>
      </c>
      <c r="F21" t="s">
        <v>577</v>
      </c>
      <c r="G21" t="s">
        <v>578</v>
      </c>
      <c r="I21" t="s">
        <v>567</v>
      </c>
      <c r="S21">
        <v>140</v>
      </c>
      <c r="AI21">
        <v>2.2999999999999998</v>
      </c>
      <c r="AK21">
        <v>1.25</v>
      </c>
      <c r="AL21">
        <v>1.1000000000000001</v>
      </c>
      <c r="AM21">
        <v>206</v>
      </c>
      <c r="AQ21">
        <v>25.48</v>
      </c>
      <c r="AV21">
        <v>1.33</v>
      </c>
      <c r="BG21" t="s">
        <v>311</v>
      </c>
      <c r="BH21" t="s">
        <v>315</v>
      </c>
      <c r="BI21" s="10" t="s">
        <v>568</v>
      </c>
      <c r="BK21" s="10" t="s">
        <v>137</v>
      </c>
      <c r="BL21" s="17">
        <v>2.66</v>
      </c>
      <c r="BN21" s="17">
        <v>0.1</v>
      </c>
      <c r="CE21" s="10" t="s">
        <v>580</v>
      </c>
      <c r="CG21" t="s">
        <v>572</v>
      </c>
      <c r="CH21" s="10" t="s">
        <v>573</v>
      </c>
    </row>
    <row r="22" spans="1:86" x14ac:dyDescent="0.3">
      <c r="A22">
        <v>18</v>
      </c>
      <c r="B22" t="s">
        <v>328</v>
      </c>
      <c r="C22" t="s">
        <v>329</v>
      </c>
      <c r="D22" t="s">
        <v>582</v>
      </c>
      <c r="E22" t="s">
        <v>576</v>
      </c>
      <c r="F22" t="s">
        <v>577</v>
      </c>
      <c r="G22" t="s">
        <v>578</v>
      </c>
      <c r="I22" t="s">
        <v>567</v>
      </c>
      <c r="S22">
        <v>140</v>
      </c>
      <c r="AI22">
        <v>2.2999999999999998</v>
      </c>
      <c r="AK22">
        <v>1.25</v>
      </c>
      <c r="AL22">
        <v>1.1000000000000001</v>
      </c>
      <c r="AM22">
        <v>206</v>
      </c>
      <c r="AQ22">
        <v>25.48</v>
      </c>
      <c r="AV22">
        <v>1.33</v>
      </c>
      <c r="BG22" t="s">
        <v>311</v>
      </c>
      <c r="BH22" t="s">
        <v>315</v>
      </c>
      <c r="BI22" s="10" t="s">
        <v>568</v>
      </c>
      <c r="BK22" s="10" t="s">
        <v>137</v>
      </c>
      <c r="BL22" s="17">
        <v>2.12</v>
      </c>
      <c r="BN22" s="17">
        <v>0.02</v>
      </c>
      <c r="CE22" s="10" t="s">
        <v>580</v>
      </c>
      <c r="CG22" t="s">
        <v>572</v>
      </c>
      <c r="CH22" s="10" t="s">
        <v>573</v>
      </c>
    </row>
    <row r="23" spans="1:86" x14ac:dyDescent="0.3">
      <c r="A23">
        <v>19</v>
      </c>
      <c r="B23" t="s">
        <v>328</v>
      </c>
      <c r="C23" t="s">
        <v>329</v>
      </c>
      <c r="D23" t="s">
        <v>575</v>
      </c>
      <c r="E23" t="s">
        <v>576</v>
      </c>
      <c r="F23" t="s">
        <v>577</v>
      </c>
      <c r="G23" t="s">
        <v>578</v>
      </c>
      <c r="I23" t="s">
        <v>567</v>
      </c>
      <c r="S23">
        <v>250</v>
      </c>
      <c r="AI23">
        <v>2.2999999999999998</v>
      </c>
      <c r="AK23">
        <v>1.25</v>
      </c>
      <c r="AL23">
        <v>1.1000000000000001</v>
      </c>
      <c r="AM23">
        <v>206</v>
      </c>
      <c r="AQ23">
        <v>25.48</v>
      </c>
      <c r="AV23">
        <v>1.33</v>
      </c>
      <c r="BG23" t="s">
        <v>311</v>
      </c>
      <c r="BH23" t="s">
        <v>315</v>
      </c>
      <c r="BI23" s="10" t="s">
        <v>568</v>
      </c>
      <c r="BK23" s="10" t="s">
        <v>137</v>
      </c>
      <c r="BL23" s="17">
        <v>4.3099999999999996</v>
      </c>
      <c r="BN23" s="17">
        <v>0.23</v>
      </c>
      <c r="BR23" s="10" t="s">
        <v>842</v>
      </c>
      <c r="CE23" s="10" t="s">
        <v>580</v>
      </c>
      <c r="CG23" t="s">
        <v>572</v>
      </c>
      <c r="CH23" s="10" t="s">
        <v>573</v>
      </c>
    </row>
    <row r="24" spans="1:86" x14ac:dyDescent="0.3">
      <c r="A24">
        <v>20</v>
      </c>
      <c r="B24" t="s">
        <v>328</v>
      </c>
      <c r="C24" t="s">
        <v>329</v>
      </c>
      <c r="D24" t="s">
        <v>582</v>
      </c>
      <c r="E24" t="s">
        <v>576</v>
      </c>
      <c r="F24" t="s">
        <v>577</v>
      </c>
      <c r="G24" t="s">
        <v>578</v>
      </c>
      <c r="I24" t="s">
        <v>567</v>
      </c>
      <c r="S24">
        <v>250</v>
      </c>
      <c r="AI24">
        <v>2.2999999999999998</v>
      </c>
      <c r="AK24">
        <v>1.25</v>
      </c>
      <c r="AL24">
        <v>1.1000000000000001</v>
      </c>
      <c r="AM24">
        <v>206</v>
      </c>
      <c r="AQ24">
        <v>25.48</v>
      </c>
      <c r="AV24">
        <v>1.33</v>
      </c>
      <c r="BG24" t="s">
        <v>311</v>
      </c>
      <c r="BH24" t="s">
        <v>315</v>
      </c>
      <c r="BI24" s="10" t="s">
        <v>568</v>
      </c>
      <c r="BK24" s="10" t="s">
        <v>137</v>
      </c>
      <c r="BL24" s="17">
        <v>3.17</v>
      </c>
      <c r="BN24" s="17">
        <v>0.17</v>
      </c>
      <c r="BR24" s="10" t="s">
        <v>842</v>
      </c>
      <c r="CE24" s="10" t="s">
        <v>580</v>
      </c>
      <c r="CG24" t="s">
        <v>572</v>
      </c>
      <c r="CH24" s="10" t="s">
        <v>573</v>
      </c>
    </row>
    <row r="25" spans="1:86" x14ac:dyDescent="0.3">
      <c r="A25">
        <v>21</v>
      </c>
      <c r="B25" t="s">
        <v>328</v>
      </c>
      <c r="C25" t="s">
        <v>329</v>
      </c>
      <c r="D25" t="s">
        <v>585</v>
      </c>
      <c r="E25" t="s">
        <v>586</v>
      </c>
      <c r="F25" t="s">
        <v>577</v>
      </c>
      <c r="G25" t="s">
        <v>578</v>
      </c>
      <c r="I25" t="s">
        <v>567</v>
      </c>
      <c r="S25">
        <v>40</v>
      </c>
      <c r="AI25">
        <v>2</v>
      </c>
      <c r="AK25">
        <v>0.56999999999999995</v>
      </c>
      <c r="AL25">
        <v>0.6</v>
      </c>
      <c r="AM25">
        <v>121</v>
      </c>
      <c r="AQ25">
        <v>0.9</v>
      </c>
      <c r="AV25">
        <v>0.26</v>
      </c>
      <c r="BG25" t="s">
        <v>312</v>
      </c>
      <c r="BH25" t="s">
        <v>579</v>
      </c>
      <c r="BI25" s="10" t="s">
        <v>568</v>
      </c>
      <c r="BK25" s="10" t="s">
        <v>137</v>
      </c>
      <c r="BL25" s="17">
        <v>3.86</v>
      </c>
      <c r="BN25" s="17">
        <v>0.15</v>
      </c>
      <c r="CE25" s="10" t="s">
        <v>580</v>
      </c>
      <c r="CG25" t="s">
        <v>572</v>
      </c>
      <c r="CH25" s="10" t="s">
        <v>573</v>
      </c>
    </row>
    <row r="26" spans="1:86" x14ac:dyDescent="0.3">
      <c r="A26">
        <v>22</v>
      </c>
      <c r="B26" t="s">
        <v>328</v>
      </c>
      <c r="C26" t="s">
        <v>329</v>
      </c>
      <c r="D26" t="s">
        <v>587</v>
      </c>
      <c r="E26" t="s">
        <v>586</v>
      </c>
      <c r="F26" t="s">
        <v>577</v>
      </c>
      <c r="G26" t="s">
        <v>578</v>
      </c>
      <c r="I26" t="s">
        <v>567</v>
      </c>
      <c r="S26">
        <v>40</v>
      </c>
      <c r="AI26">
        <v>2</v>
      </c>
      <c r="AK26">
        <v>0.56999999999999995</v>
      </c>
      <c r="AL26">
        <v>0.6</v>
      </c>
      <c r="AM26">
        <v>121</v>
      </c>
      <c r="AQ26">
        <v>0.9</v>
      </c>
      <c r="AV26">
        <v>0.26</v>
      </c>
      <c r="BG26" t="s">
        <v>312</v>
      </c>
      <c r="BH26" t="s">
        <v>579</v>
      </c>
      <c r="BI26" s="10" t="s">
        <v>568</v>
      </c>
      <c r="BK26" s="10" t="s">
        <v>137</v>
      </c>
      <c r="BL26" s="17">
        <v>3.49</v>
      </c>
      <c r="BN26" s="17">
        <v>0.26</v>
      </c>
      <c r="CE26" s="10" t="s">
        <v>580</v>
      </c>
      <c r="CG26" t="s">
        <v>572</v>
      </c>
      <c r="CH26" s="10" t="s">
        <v>573</v>
      </c>
    </row>
    <row r="27" spans="1:86" x14ac:dyDescent="0.3">
      <c r="A27">
        <v>23</v>
      </c>
      <c r="B27" t="s">
        <v>328</v>
      </c>
      <c r="C27" t="s">
        <v>329</v>
      </c>
      <c r="D27" t="s">
        <v>585</v>
      </c>
      <c r="E27" t="s">
        <v>586</v>
      </c>
      <c r="F27" t="s">
        <v>577</v>
      </c>
      <c r="G27" t="s">
        <v>578</v>
      </c>
      <c r="I27" t="s">
        <v>567</v>
      </c>
      <c r="S27">
        <v>140</v>
      </c>
      <c r="AI27">
        <v>2</v>
      </c>
      <c r="AK27">
        <v>0.56999999999999995</v>
      </c>
      <c r="AL27">
        <v>0.6</v>
      </c>
      <c r="AM27">
        <v>121</v>
      </c>
      <c r="AQ27">
        <v>0.9</v>
      </c>
      <c r="AV27">
        <v>0.26</v>
      </c>
      <c r="BG27" t="s">
        <v>312</v>
      </c>
      <c r="BH27" t="s">
        <v>579</v>
      </c>
      <c r="BI27" s="10" t="s">
        <v>568</v>
      </c>
      <c r="BK27" s="10" t="s">
        <v>137</v>
      </c>
      <c r="BL27" s="17">
        <v>4.3899999999999997</v>
      </c>
      <c r="BN27" s="17">
        <v>0.13</v>
      </c>
      <c r="BR27" s="10" t="s">
        <v>842</v>
      </c>
      <c r="CE27" s="10" t="s">
        <v>580</v>
      </c>
      <c r="CG27" t="s">
        <v>572</v>
      </c>
      <c r="CH27" s="10" t="s">
        <v>573</v>
      </c>
    </row>
    <row r="28" spans="1:86" x14ac:dyDescent="0.3">
      <c r="A28">
        <v>24</v>
      </c>
      <c r="B28" t="s">
        <v>328</v>
      </c>
      <c r="C28" t="s">
        <v>329</v>
      </c>
      <c r="D28" t="s">
        <v>587</v>
      </c>
      <c r="E28" t="s">
        <v>586</v>
      </c>
      <c r="F28" t="s">
        <v>577</v>
      </c>
      <c r="G28" t="s">
        <v>578</v>
      </c>
      <c r="I28" t="s">
        <v>567</v>
      </c>
      <c r="S28">
        <v>140</v>
      </c>
      <c r="AI28">
        <v>2</v>
      </c>
      <c r="AK28">
        <v>0.56999999999999995</v>
      </c>
      <c r="AL28">
        <v>0.6</v>
      </c>
      <c r="AM28">
        <v>121</v>
      </c>
      <c r="AQ28">
        <v>0.9</v>
      </c>
      <c r="AV28">
        <v>0.26</v>
      </c>
      <c r="BG28" t="s">
        <v>312</v>
      </c>
      <c r="BH28" t="s">
        <v>579</v>
      </c>
      <c r="BI28" s="10" t="s">
        <v>568</v>
      </c>
      <c r="BK28" s="10" t="s">
        <v>137</v>
      </c>
      <c r="BL28" s="17">
        <v>3.66</v>
      </c>
      <c r="BN28" s="17">
        <v>0.15</v>
      </c>
      <c r="CE28" s="10" t="s">
        <v>580</v>
      </c>
      <c r="CG28" t="s">
        <v>572</v>
      </c>
      <c r="CH28" s="10" t="s">
        <v>573</v>
      </c>
    </row>
    <row r="29" spans="1:86" x14ac:dyDescent="0.3">
      <c r="A29">
        <v>25</v>
      </c>
      <c r="B29" t="s">
        <v>328</v>
      </c>
      <c r="C29" t="s">
        <v>329</v>
      </c>
      <c r="D29" t="s">
        <v>585</v>
      </c>
      <c r="E29" t="s">
        <v>586</v>
      </c>
      <c r="F29" t="s">
        <v>577</v>
      </c>
      <c r="G29" t="s">
        <v>578</v>
      </c>
      <c r="I29" t="s">
        <v>567</v>
      </c>
      <c r="S29">
        <v>250</v>
      </c>
      <c r="AI29">
        <v>2</v>
      </c>
      <c r="AK29">
        <v>0.56999999999999995</v>
      </c>
      <c r="AL29">
        <v>0.6</v>
      </c>
      <c r="AM29">
        <v>121</v>
      </c>
      <c r="AQ29">
        <v>0.9</v>
      </c>
      <c r="AV29">
        <v>0.26</v>
      </c>
      <c r="BG29" t="s">
        <v>312</v>
      </c>
      <c r="BH29" t="s">
        <v>579</v>
      </c>
      <c r="BI29" s="10" t="s">
        <v>568</v>
      </c>
      <c r="BK29" s="10" t="s">
        <v>137</v>
      </c>
      <c r="BL29" s="17">
        <v>4.75</v>
      </c>
      <c r="BN29" s="17">
        <v>0.17</v>
      </c>
      <c r="BR29" s="10" t="s">
        <v>842</v>
      </c>
      <c r="CE29" s="10" t="s">
        <v>580</v>
      </c>
      <c r="CG29" t="s">
        <v>572</v>
      </c>
      <c r="CH29" s="10" t="s">
        <v>573</v>
      </c>
    </row>
    <row r="30" spans="1:86" x14ac:dyDescent="0.3">
      <c r="A30">
        <v>26</v>
      </c>
      <c r="B30" t="s">
        <v>328</v>
      </c>
      <c r="C30" t="s">
        <v>329</v>
      </c>
      <c r="D30" t="s">
        <v>587</v>
      </c>
      <c r="E30" t="s">
        <v>586</v>
      </c>
      <c r="F30" t="s">
        <v>577</v>
      </c>
      <c r="G30" t="s">
        <v>578</v>
      </c>
      <c r="I30" t="s">
        <v>567</v>
      </c>
      <c r="S30">
        <v>250</v>
      </c>
      <c r="AI30">
        <v>2</v>
      </c>
      <c r="AK30">
        <v>0.56999999999999995</v>
      </c>
      <c r="AL30">
        <v>0.6</v>
      </c>
      <c r="AM30">
        <v>121</v>
      </c>
      <c r="AQ30">
        <v>0.9</v>
      </c>
      <c r="AV30">
        <v>0.26</v>
      </c>
      <c r="BG30" t="s">
        <v>312</v>
      </c>
      <c r="BH30" t="s">
        <v>579</v>
      </c>
      <c r="BI30" s="10" t="s">
        <v>568</v>
      </c>
      <c r="BK30" s="10" t="s">
        <v>137</v>
      </c>
      <c r="BL30" s="17">
        <v>4.43</v>
      </c>
      <c r="BN30" s="17">
        <v>0.17</v>
      </c>
      <c r="BR30" s="10" t="s">
        <v>842</v>
      </c>
      <c r="CE30" s="10" t="s">
        <v>580</v>
      </c>
      <c r="CG30" t="s">
        <v>572</v>
      </c>
      <c r="CH30" s="10" t="s">
        <v>573</v>
      </c>
    </row>
    <row r="31" spans="1:86" x14ac:dyDescent="0.3">
      <c r="A31">
        <v>27</v>
      </c>
      <c r="B31" t="s">
        <v>328</v>
      </c>
      <c r="C31" t="s">
        <v>329</v>
      </c>
      <c r="D31" t="s">
        <v>585</v>
      </c>
      <c r="E31" t="s">
        <v>586</v>
      </c>
      <c r="F31" t="s">
        <v>577</v>
      </c>
      <c r="G31" t="s">
        <v>578</v>
      </c>
      <c r="I31" t="s">
        <v>567</v>
      </c>
      <c r="S31">
        <v>40</v>
      </c>
      <c r="AI31">
        <v>2</v>
      </c>
      <c r="AK31">
        <v>0.56999999999999995</v>
      </c>
      <c r="AL31">
        <v>0.6</v>
      </c>
      <c r="AM31">
        <v>121</v>
      </c>
      <c r="AQ31">
        <v>0.9</v>
      </c>
      <c r="AV31">
        <v>0.26</v>
      </c>
      <c r="BG31" t="s">
        <v>313</v>
      </c>
      <c r="BH31" t="s">
        <v>584</v>
      </c>
      <c r="BI31" s="10" t="s">
        <v>568</v>
      </c>
      <c r="BK31" s="10" t="s">
        <v>137</v>
      </c>
      <c r="BL31" s="17">
        <v>0.78</v>
      </c>
      <c r="BN31" s="17">
        <v>7.0000000000000007E-2</v>
      </c>
      <c r="CE31" s="10" t="s">
        <v>580</v>
      </c>
      <c r="CG31" t="s">
        <v>572</v>
      </c>
      <c r="CH31" s="10" t="s">
        <v>573</v>
      </c>
    </row>
    <row r="32" spans="1:86" x14ac:dyDescent="0.3">
      <c r="A32">
        <v>28</v>
      </c>
      <c r="B32" t="s">
        <v>328</v>
      </c>
      <c r="C32" t="s">
        <v>329</v>
      </c>
      <c r="D32" t="s">
        <v>587</v>
      </c>
      <c r="E32" t="s">
        <v>586</v>
      </c>
      <c r="F32" t="s">
        <v>577</v>
      </c>
      <c r="G32" t="s">
        <v>578</v>
      </c>
      <c r="I32" t="s">
        <v>567</v>
      </c>
      <c r="S32">
        <v>40</v>
      </c>
      <c r="AI32">
        <v>2</v>
      </c>
      <c r="AK32">
        <v>0.56999999999999995</v>
      </c>
      <c r="AL32">
        <v>0.6</v>
      </c>
      <c r="AM32">
        <v>121</v>
      </c>
      <c r="AQ32">
        <v>0.9</v>
      </c>
      <c r="AV32">
        <v>0.26</v>
      </c>
      <c r="BG32" t="s">
        <v>313</v>
      </c>
      <c r="BH32" t="s">
        <v>584</v>
      </c>
      <c r="BI32" s="10" t="s">
        <v>568</v>
      </c>
      <c r="BK32" s="10" t="s">
        <v>137</v>
      </c>
      <c r="BL32" s="17">
        <v>0.66</v>
      </c>
      <c r="BN32" s="17">
        <v>0.04</v>
      </c>
      <c r="CE32" s="10" t="s">
        <v>580</v>
      </c>
      <c r="CG32" t="s">
        <v>572</v>
      </c>
      <c r="CH32" s="10" t="s">
        <v>573</v>
      </c>
    </row>
    <row r="33" spans="1:86" x14ac:dyDescent="0.3">
      <c r="A33">
        <v>29</v>
      </c>
      <c r="B33" t="s">
        <v>328</v>
      </c>
      <c r="C33" t="s">
        <v>329</v>
      </c>
      <c r="D33" t="s">
        <v>585</v>
      </c>
      <c r="E33" t="s">
        <v>586</v>
      </c>
      <c r="F33" t="s">
        <v>577</v>
      </c>
      <c r="G33" t="s">
        <v>578</v>
      </c>
      <c r="I33" t="s">
        <v>567</v>
      </c>
      <c r="S33">
        <v>140</v>
      </c>
      <c r="AI33">
        <v>2</v>
      </c>
      <c r="AK33">
        <v>0.56999999999999995</v>
      </c>
      <c r="AL33">
        <v>0.6</v>
      </c>
      <c r="AM33">
        <v>121</v>
      </c>
      <c r="AQ33">
        <v>0.9</v>
      </c>
      <c r="AV33">
        <v>0.26</v>
      </c>
      <c r="BG33" t="s">
        <v>313</v>
      </c>
      <c r="BH33" t="s">
        <v>584</v>
      </c>
      <c r="BI33" s="10" t="s">
        <v>568</v>
      </c>
      <c r="BK33" s="10" t="s">
        <v>137</v>
      </c>
      <c r="BL33" s="17">
        <v>2.33</v>
      </c>
      <c r="BN33" s="17">
        <v>7.0000000000000007E-2</v>
      </c>
      <c r="CE33" s="10" t="s">
        <v>580</v>
      </c>
      <c r="CG33" t="s">
        <v>572</v>
      </c>
      <c r="CH33" s="10" t="s">
        <v>573</v>
      </c>
    </row>
    <row r="34" spans="1:86" x14ac:dyDescent="0.3">
      <c r="A34">
        <v>30</v>
      </c>
      <c r="B34" t="s">
        <v>328</v>
      </c>
      <c r="C34" t="s">
        <v>329</v>
      </c>
      <c r="D34" t="s">
        <v>587</v>
      </c>
      <c r="E34" t="s">
        <v>586</v>
      </c>
      <c r="F34" t="s">
        <v>577</v>
      </c>
      <c r="G34" t="s">
        <v>578</v>
      </c>
      <c r="I34" t="s">
        <v>567</v>
      </c>
      <c r="S34">
        <v>140</v>
      </c>
      <c r="AI34">
        <v>2</v>
      </c>
      <c r="AK34">
        <v>0.56999999999999995</v>
      </c>
      <c r="AL34">
        <v>0.6</v>
      </c>
      <c r="AM34">
        <v>121</v>
      </c>
      <c r="AQ34">
        <v>0.9</v>
      </c>
      <c r="AV34">
        <v>0.26</v>
      </c>
      <c r="BG34" t="s">
        <v>313</v>
      </c>
      <c r="BH34" t="s">
        <v>584</v>
      </c>
      <c r="BI34" s="10" t="s">
        <v>568</v>
      </c>
      <c r="BK34" s="10" t="s">
        <v>137</v>
      </c>
      <c r="BL34" s="17">
        <v>2.12</v>
      </c>
      <c r="BN34" s="17">
        <v>0.15</v>
      </c>
      <c r="CE34" s="10" t="s">
        <v>580</v>
      </c>
      <c r="CG34" t="s">
        <v>572</v>
      </c>
      <c r="CH34" s="10" t="s">
        <v>573</v>
      </c>
    </row>
    <row r="35" spans="1:86" x14ac:dyDescent="0.3">
      <c r="A35">
        <v>31</v>
      </c>
      <c r="B35" t="s">
        <v>328</v>
      </c>
      <c r="C35" t="s">
        <v>329</v>
      </c>
      <c r="D35" t="s">
        <v>585</v>
      </c>
      <c r="E35" t="s">
        <v>586</v>
      </c>
      <c r="F35" t="s">
        <v>577</v>
      </c>
      <c r="G35" t="s">
        <v>578</v>
      </c>
      <c r="I35" t="s">
        <v>567</v>
      </c>
      <c r="S35">
        <v>250</v>
      </c>
      <c r="AI35">
        <v>2</v>
      </c>
      <c r="AK35">
        <v>0.56999999999999995</v>
      </c>
      <c r="AL35">
        <v>0.6</v>
      </c>
      <c r="AM35">
        <v>121</v>
      </c>
      <c r="AQ35">
        <v>0.9</v>
      </c>
      <c r="AV35">
        <v>0.26</v>
      </c>
      <c r="BG35" t="s">
        <v>313</v>
      </c>
      <c r="BH35" t="s">
        <v>584</v>
      </c>
      <c r="BI35" s="10" t="s">
        <v>568</v>
      </c>
      <c r="BK35" s="10" t="s">
        <v>137</v>
      </c>
      <c r="BL35" s="17">
        <v>2.39</v>
      </c>
      <c r="BN35" s="17">
        <v>0.06</v>
      </c>
      <c r="CE35" s="10" t="s">
        <v>580</v>
      </c>
      <c r="CG35" t="s">
        <v>572</v>
      </c>
      <c r="CH35" s="10" t="s">
        <v>573</v>
      </c>
    </row>
    <row r="36" spans="1:86" x14ac:dyDescent="0.3">
      <c r="A36">
        <v>32</v>
      </c>
      <c r="B36" t="s">
        <v>328</v>
      </c>
      <c r="C36" t="s">
        <v>329</v>
      </c>
      <c r="D36" t="s">
        <v>587</v>
      </c>
      <c r="E36" t="s">
        <v>586</v>
      </c>
      <c r="F36" t="s">
        <v>577</v>
      </c>
      <c r="G36" t="s">
        <v>578</v>
      </c>
      <c r="I36" t="s">
        <v>567</v>
      </c>
      <c r="S36">
        <v>250</v>
      </c>
      <c r="AI36">
        <v>2</v>
      </c>
      <c r="AK36">
        <v>0.56999999999999995</v>
      </c>
      <c r="AL36">
        <v>0.6</v>
      </c>
      <c r="AM36">
        <v>121</v>
      </c>
      <c r="AQ36">
        <v>0.9</v>
      </c>
      <c r="AV36">
        <v>0.26</v>
      </c>
      <c r="BG36" t="s">
        <v>313</v>
      </c>
      <c r="BH36" t="s">
        <v>584</v>
      </c>
      <c r="BI36" s="10" t="s">
        <v>568</v>
      </c>
      <c r="BK36" s="10" t="s">
        <v>137</v>
      </c>
      <c r="BL36" s="17">
        <v>3.43</v>
      </c>
      <c r="BN36" s="17">
        <v>0</v>
      </c>
      <c r="BR36" s="10" t="s">
        <v>842</v>
      </c>
      <c r="CE36" s="10" t="s">
        <v>580</v>
      </c>
      <c r="CG36" t="s">
        <v>572</v>
      </c>
      <c r="CH36" s="10" t="s">
        <v>573</v>
      </c>
    </row>
    <row r="37" spans="1:86" x14ac:dyDescent="0.3">
      <c r="A37">
        <v>33</v>
      </c>
      <c r="B37" t="s">
        <v>328</v>
      </c>
      <c r="C37" t="s">
        <v>329</v>
      </c>
      <c r="D37" t="s">
        <v>585</v>
      </c>
      <c r="E37" t="s">
        <v>586</v>
      </c>
      <c r="F37" t="s">
        <v>577</v>
      </c>
      <c r="G37" t="s">
        <v>578</v>
      </c>
      <c r="I37" t="s">
        <v>567</v>
      </c>
      <c r="S37">
        <v>40</v>
      </c>
      <c r="AI37">
        <v>2</v>
      </c>
      <c r="AK37">
        <v>0.56999999999999995</v>
      </c>
      <c r="AL37">
        <v>0.6</v>
      </c>
      <c r="AM37">
        <v>121</v>
      </c>
      <c r="AQ37">
        <v>0.9</v>
      </c>
      <c r="AV37">
        <v>0.26</v>
      </c>
      <c r="BG37" t="s">
        <v>311</v>
      </c>
      <c r="BH37" t="s">
        <v>315</v>
      </c>
      <c r="BI37" s="10" t="s">
        <v>568</v>
      </c>
      <c r="BK37" s="10" t="s">
        <v>137</v>
      </c>
      <c r="BL37" s="17">
        <v>0.98</v>
      </c>
      <c r="BN37" s="17">
        <v>0.02</v>
      </c>
      <c r="CE37" s="10" t="s">
        <v>580</v>
      </c>
      <c r="CG37" t="s">
        <v>572</v>
      </c>
      <c r="CH37" s="10" t="s">
        <v>573</v>
      </c>
    </row>
    <row r="38" spans="1:86" x14ac:dyDescent="0.3">
      <c r="A38">
        <v>34</v>
      </c>
      <c r="B38" t="s">
        <v>328</v>
      </c>
      <c r="C38" t="s">
        <v>329</v>
      </c>
      <c r="D38" t="s">
        <v>587</v>
      </c>
      <c r="E38" t="s">
        <v>586</v>
      </c>
      <c r="F38" t="s">
        <v>577</v>
      </c>
      <c r="G38" t="s">
        <v>578</v>
      </c>
      <c r="I38" t="s">
        <v>567</v>
      </c>
      <c r="S38">
        <v>40</v>
      </c>
      <c r="AI38">
        <v>2</v>
      </c>
      <c r="AK38">
        <v>0.56999999999999995</v>
      </c>
      <c r="AL38">
        <v>0.6</v>
      </c>
      <c r="AM38">
        <v>121</v>
      </c>
      <c r="AQ38">
        <v>0.9</v>
      </c>
      <c r="AV38">
        <v>0.26</v>
      </c>
      <c r="BG38" t="s">
        <v>311</v>
      </c>
      <c r="BH38" t="s">
        <v>315</v>
      </c>
      <c r="BI38" s="10" t="s">
        <v>568</v>
      </c>
      <c r="BK38" s="10" t="s">
        <v>137</v>
      </c>
      <c r="BL38" s="17">
        <v>0.84</v>
      </c>
      <c r="BN38" s="17">
        <v>0.08</v>
      </c>
      <c r="CE38" s="10" t="s">
        <v>580</v>
      </c>
      <c r="CG38" t="s">
        <v>572</v>
      </c>
      <c r="CH38" s="10" t="s">
        <v>573</v>
      </c>
    </row>
    <row r="39" spans="1:86" x14ac:dyDescent="0.3">
      <c r="A39">
        <v>35</v>
      </c>
      <c r="B39" t="s">
        <v>328</v>
      </c>
      <c r="C39" t="s">
        <v>329</v>
      </c>
      <c r="D39" t="s">
        <v>585</v>
      </c>
      <c r="E39" t="s">
        <v>586</v>
      </c>
      <c r="F39" t="s">
        <v>577</v>
      </c>
      <c r="G39" t="s">
        <v>578</v>
      </c>
      <c r="I39" t="s">
        <v>567</v>
      </c>
      <c r="S39">
        <v>140</v>
      </c>
      <c r="AI39">
        <v>2</v>
      </c>
      <c r="AK39">
        <v>0.56999999999999995</v>
      </c>
      <c r="AL39">
        <v>0.6</v>
      </c>
      <c r="AM39">
        <v>121</v>
      </c>
      <c r="AQ39">
        <v>0.9</v>
      </c>
      <c r="AV39">
        <v>0.26</v>
      </c>
      <c r="BG39" t="s">
        <v>311</v>
      </c>
      <c r="BH39" t="s">
        <v>315</v>
      </c>
      <c r="BI39" s="10" t="s">
        <v>568</v>
      </c>
      <c r="BK39" s="10" t="s">
        <v>137</v>
      </c>
      <c r="BL39" s="17">
        <v>3.01</v>
      </c>
      <c r="BN39" s="17">
        <v>0.11</v>
      </c>
      <c r="CE39" s="10" t="s">
        <v>580</v>
      </c>
      <c r="CG39" t="s">
        <v>572</v>
      </c>
      <c r="CH39" s="10" t="s">
        <v>573</v>
      </c>
    </row>
    <row r="40" spans="1:86" x14ac:dyDescent="0.3">
      <c r="A40">
        <v>36</v>
      </c>
      <c r="B40" t="s">
        <v>328</v>
      </c>
      <c r="C40" t="s">
        <v>329</v>
      </c>
      <c r="D40" t="s">
        <v>587</v>
      </c>
      <c r="E40" t="s">
        <v>586</v>
      </c>
      <c r="F40" t="s">
        <v>577</v>
      </c>
      <c r="G40" t="s">
        <v>578</v>
      </c>
      <c r="I40" t="s">
        <v>567</v>
      </c>
      <c r="S40">
        <v>140</v>
      </c>
      <c r="AI40">
        <v>2</v>
      </c>
      <c r="AK40">
        <v>0.56999999999999995</v>
      </c>
      <c r="AL40">
        <v>0.6</v>
      </c>
      <c r="AM40">
        <v>121</v>
      </c>
      <c r="AQ40">
        <v>0.9</v>
      </c>
      <c r="AV40">
        <v>0.26</v>
      </c>
      <c r="BG40" t="s">
        <v>311</v>
      </c>
      <c r="BH40" t="s">
        <v>315</v>
      </c>
      <c r="BI40" s="10" t="s">
        <v>568</v>
      </c>
      <c r="BK40" s="10" t="s">
        <v>137</v>
      </c>
      <c r="BL40" s="17">
        <v>2.61</v>
      </c>
      <c r="BN40" s="17">
        <v>0.08</v>
      </c>
      <c r="CE40" s="10" t="s">
        <v>580</v>
      </c>
      <c r="CG40" t="s">
        <v>572</v>
      </c>
      <c r="CH40" s="10" t="s">
        <v>573</v>
      </c>
    </row>
    <row r="41" spans="1:86" x14ac:dyDescent="0.3">
      <c r="A41">
        <v>37</v>
      </c>
      <c r="B41" t="s">
        <v>328</v>
      </c>
      <c r="C41" t="s">
        <v>329</v>
      </c>
      <c r="D41" t="s">
        <v>585</v>
      </c>
      <c r="E41" t="s">
        <v>586</v>
      </c>
      <c r="F41" t="s">
        <v>577</v>
      </c>
      <c r="G41" t="s">
        <v>578</v>
      </c>
      <c r="I41" t="s">
        <v>567</v>
      </c>
      <c r="S41">
        <v>250</v>
      </c>
      <c r="AI41">
        <v>2</v>
      </c>
      <c r="AK41">
        <v>0.56999999999999995</v>
      </c>
      <c r="AL41">
        <v>0.6</v>
      </c>
      <c r="AM41">
        <v>121</v>
      </c>
      <c r="AQ41">
        <v>0.9</v>
      </c>
      <c r="AV41">
        <v>0.26</v>
      </c>
      <c r="BG41" t="s">
        <v>311</v>
      </c>
      <c r="BH41" t="s">
        <v>315</v>
      </c>
      <c r="BI41" s="10" t="s">
        <v>568</v>
      </c>
      <c r="BK41" s="10" t="s">
        <v>137</v>
      </c>
      <c r="BL41" s="17">
        <v>3.67</v>
      </c>
      <c r="BN41" s="17">
        <v>0.25</v>
      </c>
      <c r="BR41" s="10" t="s">
        <v>842</v>
      </c>
      <c r="CE41" s="10" t="s">
        <v>580</v>
      </c>
      <c r="CG41" t="s">
        <v>572</v>
      </c>
      <c r="CH41" s="10" t="s">
        <v>573</v>
      </c>
    </row>
    <row r="42" spans="1:86" x14ac:dyDescent="0.3">
      <c r="A42">
        <v>38</v>
      </c>
      <c r="B42" t="s">
        <v>328</v>
      </c>
      <c r="C42" t="s">
        <v>329</v>
      </c>
      <c r="D42" t="s">
        <v>587</v>
      </c>
      <c r="E42" t="s">
        <v>586</v>
      </c>
      <c r="F42" t="s">
        <v>577</v>
      </c>
      <c r="G42" t="s">
        <v>578</v>
      </c>
      <c r="I42" t="s">
        <v>567</v>
      </c>
      <c r="S42">
        <v>250</v>
      </c>
      <c r="AI42">
        <v>2</v>
      </c>
      <c r="AK42">
        <v>0.56999999999999995</v>
      </c>
      <c r="AL42">
        <v>0.6</v>
      </c>
      <c r="AM42">
        <v>121</v>
      </c>
      <c r="AQ42">
        <v>0.9</v>
      </c>
      <c r="AV42">
        <v>0.26</v>
      </c>
      <c r="BG42" t="s">
        <v>311</v>
      </c>
      <c r="BH42" t="s">
        <v>315</v>
      </c>
      <c r="BI42" s="10" t="s">
        <v>568</v>
      </c>
      <c r="BK42" s="10" t="s">
        <v>137</v>
      </c>
      <c r="BL42" s="17">
        <v>3.77</v>
      </c>
      <c r="BN42" s="17">
        <v>0</v>
      </c>
      <c r="BR42" s="10" t="s">
        <v>842</v>
      </c>
      <c r="CE42" s="10" t="s">
        <v>580</v>
      </c>
      <c r="CG42" t="s">
        <v>572</v>
      </c>
      <c r="CH42" s="10" t="s">
        <v>573</v>
      </c>
    </row>
    <row r="43" spans="1:86" x14ac:dyDescent="0.3">
      <c r="A43">
        <v>39</v>
      </c>
      <c r="B43" t="s">
        <v>328</v>
      </c>
      <c r="C43" t="s">
        <v>329</v>
      </c>
      <c r="D43" t="s">
        <v>588</v>
      </c>
      <c r="E43" t="s">
        <v>589</v>
      </c>
      <c r="F43" t="s">
        <v>577</v>
      </c>
      <c r="G43" t="s">
        <v>578</v>
      </c>
      <c r="I43" t="s">
        <v>567</v>
      </c>
      <c r="S43">
        <v>40</v>
      </c>
      <c r="AI43">
        <v>2</v>
      </c>
      <c r="AK43">
        <v>0.9</v>
      </c>
      <c r="AL43">
        <v>0.9</v>
      </c>
      <c r="AM43">
        <v>211</v>
      </c>
      <c r="AQ43">
        <v>2.13</v>
      </c>
      <c r="AV43">
        <v>3</v>
      </c>
      <c r="BG43" t="s">
        <v>312</v>
      </c>
      <c r="BH43" t="s">
        <v>579</v>
      </c>
      <c r="BI43" s="10" t="s">
        <v>568</v>
      </c>
      <c r="BK43" s="10" t="s">
        <v>137</v>
      </c>
      <c r="BL43" s="17">
        <v>2.6</v>
      </c>
      <c r="BN43" s="17">
        <v>0.02</v>
      </c>
      <c r="CE43" s="10" t="s">
        <v>580</v>
      </c>
      <c r="CG43" t="s">
        <v>572</v>
      </c>
      <c r="CH43" s="10" t="s">
        <v>573</v>
      </c>
    </row>
    <row r="44" spans="1:86" x14ac:dyDescent="0.3">
      <c r="A44">
        <v>40</v>
      </c>
      <c r="B44" t="s">
        <v>328</v>
      </c>
      <c r="C44" t="s">
        <v>329</v>
      </c>
      <c r="D44" t="s">
        <v>590</v>
      </c>
      <c r="E44" t="s">
        <v>589</v>
      </c>
      <c r="F44" t="s">
        <v>577</v>
      </c>
      <c r="G44" t="s">
        <v>578</v>
      </c>
      <c r="I44" t="s">
        <v>567</v>
      </c>
      <c r="S44">
        <v>40</v>
      </c>
      <c r="AI44">
        <v>2</v>
      </c>
      <c r="AK44">
        <v>0.9</v>
      </c>
      <c r="AL44">
        <v>0.9</v>
      </c>
      <c r="AM44">
        <v>211</v>
      </c>
      <c r="AQ44">
        <v>2.13</v>
      </c>
      <c r="AV44">
        <v>3</v>
      </c>
      <c r="BG44" t="s">
        <v>312</v>
      </c>
      <c r="BH44" t="s">
        <v>579</v>
      </c>
      <c r="BI44" s="10" t="s">
        <v>568</v>
      </c>
      <c r="BK44" s="10" t="s">
        <v>137</v>
      </c>
      <c r="BL44" s="17">
        <v>2.74</v>
      </c>
      <c r="BN44" s="17">
        <v>0.09</v>
      </c>
      <c r="CE44" s="10" t="s">
        <v>580</v>
      </c>
      <c r="CG44" t="s">
        <v>572</v>
      </c>
      <c r="CH44" s="10" t="s">
        <v>573</v>
      </c>
    </row>
    <row r="45" spans="1:86" x14ac:dyDescent="0.3">
      <c r="A45">
        <v>41</v>
      </c>
      <c r="B45" t="s">
        <v>328</v>
      </c>
      <c r="C45" t="s">
        <v>329</v>
      </c>
      <c r="D45" t="s">
        <v>588</v>
      </c>
      <c r="E45" t="s">
        <v>589</v>
      </c>
      <c r="F45" t="s">
        <v>577</v>
      </c>
      <c r="G45" t="s">
        <v>578</v>
      </c>
      <c r="I45" t="s">
        <v>567</v>
      </c>
      <c r="S45">
        <v>140</v>
      </c>
      <c r="AI45">
        <v>2</v>
      </c>
      <c r="AK45">
        <v>0.9</v>
      </c>
      <c r="AL45">
        <v>0.9</v>
      </c>
      <c r="AM45">
        <v>211</v>
      </c>
      <c r="AQ45">
        <v>2.13</v>
      </c>
      <c r="AV45">
        <v>3</v>
      </c>
      <c r="BG45" t="s">
        <v>312</v>
      </c>
      <c r="BH45" t="s">
        <v>579</v>
      </c>
      <c r="BI45" s="10" t="s">
        <v>568</v>
      </c>
      <c r="BK45" s="10" t="s">
        <v>137</v>
      </c>
      <c r="BL45" s="17">
        <v>3.22</v>
      </c>
      <c r="BN45" s="17">
        <v>0.1</v>
      </c>
      <c r="BR45" s="10" t="s">
        <v>842</v>
      </c>
      <c r="CE45" s="10" t="s">
        <v>580</v>
      </c>
      <c r="CG45" t="s">
        <v>572</v>
      </c>
      <c r="CH45" s="10" t="s">
        <v>573</v>
      </c>
    </row>
    <row r="46" spans="1:86" x14ac:dyDescent="0.3">
      <c r="A46">
        <v>42</v>
      </c>
      <c r="B46" t="s">
        <v>328</v>
      </c>
      <c r="C46" t="s">
        <v>329</v>
      </c>
      <c r="D46" t="s">
        <v>590</v>
      </c>
      <c r="E46" t="s">
        <v>589</v>
      </c>
      <c r="F46" t="s">
        <v>577</v>
      </c>
      <c r="G46" t="s">
        <v>578</v>
      </c>
      <c r="I46" t="s">
        <v>567</v>
      </c>
      <c r="S46">
        <v>140</v>
      </c>
      <c r="AI46">
        <v>2</v>
      </c>
      <c r="AK46">
        <v>0.9</v>
      </c>
      <c r="AL46">
        <v>0.9</v>
      </c>
      <c r="AM46">
        <v>211</v>
      </c>
      <c r="AQ46">
        <v>2.13</v>
      </c>
      <c r="AV46">
        <v>3</v>
      </c>
      <c r="BG46" t="s">
        <v>312</v>
      </c>
      <c r="BH46" t="s">
        <v>579</v>
      </c>
      <c r="BI46" s="10" t="s">
        <v>568</v>
      </c>
      <c r="BK46" s="10" t="s">
        <v>137</v>
      </c>
      <c r="BL46" s="17">
        <v>3.12</v>
      </c>
      <c r="BN46" s="17">
        <v>0.02</v>
      </c>
      <c r="BR46" s="10" t="s">
        <v>842</v>
      </c>
      <c r="CE46" s="10" t="s">
        <v>580</v>
      </c>
      <c r="CG46" t="s">
        <v>572</v>
      </c>
      <c r="CH46" s="10" t="s">
        <v>573</v>
      </c>
    </row>
    <row r="47" spans="1:86" x14ac:dyDescent="0.3">
      <c r="A47">
        <v>43</v>
      </c>
      <c r="B47" t="s">
        <v>328</v>
      </c>
      <c r="C47" t="s">
        <v>329</v>
      </c>
      <c r="D47" t="s">
        <v>588</v>
      </c>
      <c r="E47" t="s">
        <v>589</v>
      </c>
      <c r="F47" t="s">
        <v>577</v>
      </c>
      <c r="G47" t="s">
        <v>578</v>
      </c>
      <c r="I47" t="s">
        <v>567</v>
      </c>
      <c r="S47">
        <v>250</v>
      </c>
      <c r="AI47">
        <v>2</v>
      </c>
      <c r="AK47">
        <v>0.9</v>
      </c>
      <c r="AL47">
        <v>0.9</v>
      </c>
      <c r="AM47">
        <v>211</v>
      </c>
      <c r="AQ47">
        <v>2.13</v>
      </c>
      <c r="AV47">
        <v>3</v>
      </c>
      <c r="BG47" t="s">
        <v>312</v>
      </c>
      <c r="BH47" t="s">
        <v>579</v>
      </c>
      <c r="BI47" s="10" t="s">
        <v>568</v>
      </c>
      <c r="BK47" s="10" t="s">
        <v>137</v>
      </c>
      <c r="BL47" s="17">
        <v>3.74</v>
      </c>
      <c r="BN47" s="17">
        <v>0.1</v>
      </c>
      <c r="BR47" s="10" t="s">
        <v>842</v>
      </c>
      <c r="CE47" s="10" t="s">
        <v>580</v>
      </c>
      <c r="CG47" t="s">
        <v>572</v>
      </c>
      <c r="CH47" s="10" t="s">
        <v>573</v>
      </c>
    </row>
    <row r="48" spans="1:86" x14ac:dyDescent="0.3">
      <c r="A48">
        <v>44</v>
      </c>
      <c r="B48" t="s">
        <v>328</v>
      </c>
      <c r="C48" t="s">
        <v>329</v>
      </c>
      <c r="D48" t="s">
        <v>590</v>
      </c>
      <c r="E48" t="s">
        <v>589</v>
      </c>
      <c r="F48" t="s">
        <v>577</v>
      </c>
      <c r="G48" t="s">
        <v>578</v>
      </c>
      <c r="I48" t="s">
        <v>567</v>
      </c>
      <c r="S48">
        <v>250</v>
      </c>
      <c r="AI48">
        <v>2</v>
      </c>
      <c r="AK48">
        <v>0.9</v>
      </c>
      <c r="AL48">
        <v>0.9</v>
      </c>
      <c r="AM48">
        <v>211</v>
      </c>
      <c r="AQ48">
        <v>2.13</v>
      </c>
      <c r="AV48">
        <v>3</v>
      </c>
      <c r="BG48" t="s">
        <v>312</v>
      </c>
      <c r="BH48" t="s">
        <v>579</v>
      </c>
      <c r="BI48" s="10" t="s">
        <v>568</v>
      </c>
      <c r="BK48" s="10" t="s">
        <v>137</v>
      </c>
      <c r="BL48" s="17">
        <v>3.12</v>
      </c>
      <c r="BN48" s="17">
        <v>0.02</v>
      </c>
      <c r="BR48" s="10" t="s">
        <v>842</v>
      </c>
      <c r="CE48" s="10" t="s">
        <v>580</v>
      </c>
      <c r="CG48" t="s">
        <v>572</v>
      </c>
      <c r="CH48" s="10" t="s">
        <v>573</v>
      </c>
    </row>
    <row r="49" spans="1:86" x14ac:dyDescent="0.3">
      <c r="A49">
        <v>45</v>
      </c>
      <c r="B49" t="s">
        <v>328</v>
      </c>
      <c r="C49" t="s">
        <v>329</v>
      </c>
      <c r="D49" t="s">
        <v>588</v>
      </c>
      <c r="E49" t="s">
        <v>589</v>
      </c>
      <c r="F49" t="s">
        <v>577</v>
      </c>
      <c r="G49" t="s">
        <v>578</v>
      </c>
      <c r="I49" t="s">
        <v>567</v>
      </c>
      <c r="S49">
        <v>40</v>
      </c>
      <c r="AI49">
        <v>2</v>
      </c>
      <c r="AK49">
        <v>0.9</v>
      </c>
      <c r="AL49">
        <v>0.9</v>
      </c>
      <c r="AM49">
        <v>211</v>
      </c>
      <c r="AQ49">
        <v>2.13</v>
      </c>
      <c r="AV49">
        <v>3</v>
      </c>
      <c r="BG49" t="s">
        <v>313</v>
      </c>
      <c r="BH49" t="s">
        <v>584</v>
      </c>
      <c r="BI49" s="10" t="s">
        <v>568</v>
      </c>
      <c r="BK49" s="10" t="s">
        <v>137</v>
      </c>
      <c r="BL49" s="17">
        <v>0.68</v>
      </c>
      <c r="BN49" s="17">
        <v>0.06</v>
      </c>
      <c r="CE49" s="10" t="s">
        <v>580</v>
      </c>
      <c r="CG49" t="s">
        <v>572</v>
      </c>
      <c r="CH49" s="10" t="s">
        <v>573</v>
      </c>
    </row>
    <row r="50" spans="1:86" x14ac:dyDescent="0.3">
      <c r="A50">
        <v>46</v>
      </c>
      <c r="B50" t="s">
        <v>328</v>
      </c>
      <c r="C50" t="s">
        <v>329</v>
      </c>
      <c r="D50" t="s">
        <v>590</v>
      </c>
      <c r="E50" t="s">
        <v>589</v>
      </c>
      <c r="F50" t="s">
        <v>577</v>
      </c>
      <c r="G50" t="s">
        <v>578</v>
      </c>
      <c r="I50" t="s">
        <v>567</v>
      </c>
      <c r="S50">
        <v>40</v>
      </c>
      <c r="AI50">
        <v>2</v>
      </c>
      <c r="AK50">
        <v>0.9</v>
      </c>
      <c r="AL50">
        <v>0.9</v>
      </c>
      <c r="AM50">
        <v>211</v>
      </c>
      <c r="AQ50">
        <v>2.13</v>
      </c>
      <c r="AV50">
        <v>3</v>
      </c>
      <c r="BG50" t="s">
        <v>313</v>
      </c>
      <c r="BH50" t="s">
        <v>584</v>
      </c>
      <c r="BI50" s="10" t="s">
        <v>568</v>
      </c>
      <c r="BK50" s="10" t="s">
        <v>137</v>
      </c>
      <c r="BL50" s="17">
        <v>0.69</v>
      </c>
      <c r="BN50" s="17">
        <v>0.13</v>
      </c>
      <c r="CE50" s="10" t="s">
        <v>580</v>
      </c>
      <c r="CG50" t="s">
        <v>572</v>
      </c>
      <c r="CH50" s="10" t="s">
        <v>573</v>
      </c>
    </row>
    <row r="51" spans="1:86" x14ac:dyDescent="0.3">
      <c r="A51">
        <v>47</v>
      </c>
      <c r="B51" t="s">
        <v>328</v>
      </c>
      <c r="C51" t="s">
        <v>329</v>
      </c>
      <c r="D51" t="s">
        <v>588</v>
      </c>
      <c r="E51" t="s">
        <v>589</v>
      </c>
      <c r="F51" t="s">
        <v>577</v>
      </c>
      <c r="G51" t="s">
        <v>578</v>
      </c>
      <c r="I51" t="s">
        <v>567</v>
      </c>
      <c r="S51">
        <v>140</v>
      </c>
      <c r="AI51">
        <v>2</v>
      </c>
      <c r="AK51">
        <v>0.9</v>
      </c>
      <c r="AL51">
        <v>0.9</v>
      </c>
      <c r="AM51">
        <v>211</v>
      </c>
      <c r="AQ51">
        <v>2.13</v>
      </c>
      <c r="AV51">
        <v>3</v>
      </c>
      <c r="BG51" t="s">
        <v>313</v>
      </c>
      <c r="BH51" t="s">
        <v>584</v>
      </c>
      <c r="BI51" s="10" t="s">
        <v>568</v>
      </c>
      <c r="BK51" s="10" t="s">
        <v>137</v>
      </c>
      <c r="BL51" s="17">
        <v>1.84</v>
      </c>
      <c r="BN51" s="17">
        <v>0.08</v>
      </c>
      <c r="CE51" s="10" t="s">
        <v>580</v>
      </c>
      <c r="CG51" t="s">
        <v>572</v>
      </c>
      <c r="CH51" s="10" t="s">
        <v>573</v>
      </c>
    </row>
    <row r="52" spans="1:86" x14ac:dyDescent="0.3">
      <c r="A52">
        <v>48</v>
      </c>
      <c r="B52" t="s">
        <v>328</v>
      </c>
      <c r="C52" t="s">
        <v>329</v>
      </c>
      <c r="D52" t="s">
        <v>590</v>
      </c>
      <c r="E52" t="s">
        <v>589</v>
      </c>
      <c r="F52" t="s">
        <v>577</v>
      </c>
      <c r="G52" t="s">
        <v>578</v>
      </c>
      <c r="I52" t="s">
        <v>567</v>
      </c>
      <c r="S52">
        <v>140</v>
      </c>
      <c r="AI52">
        <v>2</v>
      </c>
      <c r="AK52">
        <v>0.9</v>
      </c>
      <c r="AL52">
        <v>0.9</v>
      </c>
      <c r="AM52">
        <v>211</v>
      </c>
      <c r="AQ52">
        <v>2.13</v>
      </c>
      <c r="AV52">
        <v>3</v>
      </c>
      <c r="BG52" t="s">
        <v>313</v>
      </c>
      <c r="BH52" t="s">
        <v>584</v>
      </c>
      <c r="BI52" s="10" t="s">
        <v>568</v>
      </c>
      <c r="BK52" s="10" t="s">
        <v>137</v>
      </c>
      <c r="BL52" s="17">
        <v>1.79</v>
      </c>
      <c r="BN52" s="17">
        <v>0.02</v>
      </c>
      <c r="CE52" s="10" t="s">
        <v>580</v>
      </c>
      <c r="CG52" t="s">
        <v>572</v>
      </c>
      <c r="CH52" s="10" t="s">
        <v>573</v>
      </c>
    </row>
    <row r="53" spans="1:86" x14ac:dyDescent="0.3">
      <c r="A53">
        <v>49</v>
      </c>
      <c r="B53" t="s">
        <v>328</v>
      </c>
      <c r="C53" t="s">
        <v>329</v>
      </c>
      <c r="D53" t="s">
        <v>588</v>
      </c>
      <c r="E53" t="s">
        <v>589</v>
      </c>
      <c r="F53" t="s">
        <v>577</v>
      </c>
      <c r="G53" t="s">
        <v>578</v>
      </c>
      <c r="I53" t="s">
        <v>567</v>
      </c>
      <c r="S53">
        <v>250</v>
      </c>
      <c r="AI53">
        <v>2</v>
      </c>
      <c r="AK53">
        <v>0.9</v>
      </c>
      <c r="AL53">
        <v>0.9</v>
      </c>
      <c r="AM53">
        <v>211</v>
      </c>
      <c r="AQ53">
        <v>2.13</v>
      </c>
      <c r="AV53">
        <v>3</v>
      </c>
      <c r="BG53" t="s">
        <v>313</v>
      </c>
      <c r="BH53" t="s">
        <v>584</v>
      </c>
      <c r="BI53" s="10" t="s">
        <v>568</v>
      </c>
      <c r="BK53" s="10" t="s">
        <v>137</v>
      </c>
      <c r="BL53" s="17">
        <v>2.57</v>
      </c>
      <c r="BN53" s="17">
        <v>0.06</v>
      </c>
      <c r="BR53" s="10" t="s">
        <v>842</v>
      </c>
      <c r="CE53" s="10" t="s">
        <v>580</v>
      </c>
      <c r="CG53" t="s">
        <v>572</v>
      </c>
      <c r="CH53" s="10" t="s">
        <v>573</v>
      </c>
    </row>
    <row r="54" spans="1:86" x14ac:dyDescent="0.3">
      <c r="A54">
        <v>50</v>
      </c>
      <c r="B54" t="s">
        <v>328</v>
      </c>
      <c r="C54" t="s">
        <v>329</v>
      </c>
      <c r="D54" t="s">
        <v>590</v>
      </c>
      <c r="E54" t="s">
        <v>589</v>
      </c>
      <c r="F54" t="s">
        <v>577</v>
      </c>
      <c r="G54" t="s">
        <v>578</v>
      </c>
      <c r="I54" t="s">
        <v>567</v>
      </c>
      <c r="S54">
        <v>250</v>
      </c>
      <c r="AI54">
        <v>2</v>
      </c>
      <c r="AK54">
        <v>0.9</v>
      </c>
      <c r="AL54">
        <v>0.9</v>
      </c>
      <c r="AM54">
        <v>211</v>
      </c>
      <c r="AQ54">
        <v>2.13</v>
      </c>
      <c r="AV54">
        <v>3</v>
      </c>
      <c r="BG54" t="s">
        <v>313</v>
      </c>
      <c r="BH54" t="s">
        <v>584</v>
      </c>
      <c r="BI54" s="10" t="s">
        <v>568</v>
      </c>
      <c r="BK54" s="10" t="s">
        <v>137</v>
      </c>
      <c r="BL54" s="17">
        <v>2.61</v>
      </c>
      <c r="BN54" s="17">
        <v>0.3</v>
      </c>
      <c r="BR54" s="10" t="s">
        <v>842</v>
      </c>
      <c r="CE54" s="10" t="s">
        <v>580</v>
      </c>
      <c r="CG54" t="s">
        <v>572</v>
      </c>
      <c r="CH54" s="10" t="s">
        <v>573</v>
      </c>
    </row>
    <row r="55" spans="1:86" x14ac:dyDescent="0.3">
      <c r="A55">
        <v>51</v>
      </c>
      <c r="B55" t="s">
        <v>328</v>
      </c>
      <c r="C55" t="s">
        <v>329</v>
      </c>
      <c r="D55" t="s">
        <v>588</v>
      </c>
      <c r="E55" t="s">
        <v>589</v>
      </c>
      <c r="F55" t="s">
        <v>577</v>
      </c>
      <c r="G55" t="s">
        <v>578</v>
      </c>
      <c r="I55" t="s">
        <v>567</v>
      </c>
      <c r="S55">
        <v>40</v>
      </c>
      <c r="AI55">
        <v>2</v>
      </c>
      <c r="AK55">
        <v>0.9</v>
      </c>
      <c r="AL55">
        <v>0.9</v>
      </c>
      <c r="AM55">
        <v>211</v>
      </c>
      <c r="AQ55">
        <v>2.13</v>
      </c>
      <c r="AV55">
        <v>3</v>
      </c>
      <c r="BG55" t="s">
        <v>311</v>
      </c>
      <c r="BH55" t="s">
        <v>315</v>
      </c>
      <c r="BI55" s="10" t="s">
        <v>568</v>
      </c>
      <c r="BK55" s="10" t="s">
        <v>137</v>
      </c>
      <c r="BL55" s="17">
        <v>1.27</v>
      </c>
      <c r="BN55" s="17">
        <v>0.09</v>
      </c>
      <c r="CE55" s="10" t="s">
        <v>580</v>
      </c>
      <c r="CG55" t="s">
        <v>572</v>
      </c>
      <c r="CH55" s="10" t="s">
        <v>573</v>
      </c>
    </row>
    <row r="56" spans="1:86" x14ac:dyDescent="0.3">
      <c r="A56">
        <v>52</v>
      </c>
      <c r="B56" t="s">
        <v>328</v>
      </c>
      <c r="C56" t="s">
        <v>329</v>
      </c>
      <c r="D56" t="s">
        <v>590</v>
      </c>
      <c r="E56" t="s">
        <v>589</v>
      </c>
      <c r="F56" t="s">
        <v>577</v>
      </c>
      <c r="G56" t="s">
        <v>578</v>
      </c>
      <c r="I56" t="s">
        <v>567</v>
      </c>
      <c r="S56">
        <v>40</v>
      </c>
      <c r="AI56">
        <v>2</v>
      </c>
      <c r="AK56">
        <v>0.9</v>
      </c>
      <c r="AL56">
        <v>0.9</v>
      </c>
      <c r="AM56">
        <v>211</v>
      </c>
      <c r="AQ56">
        <v>2.13</v>
      </c>
      <c r="AV56">
        <v>3</v>
      </c>
      <c r="BG56" t="s">
        <v>311</v>
      </c>
      <c r="BH56" t="s">
        <v>315</v>
      </c>
      <c r="BI56" s="10" t="s">
        <v>568</v>
      </c>
      <c r="BK56" s="10" t="s">
        <v>137</v>
      </c>
      <c r="BL56" s="17">
        <v>1.06</v>
      </c>
      <c r="BN56" s="17">
        <v>0.08</v>
      </c>
      <c r="CE56" s="10" t="s">
        <v>580</v>
      </c>
      <c r="CG56" t="s">
        <v>572</v>
      </c>
      <c r="CH56" s="10" t="s">
        <v>573</v>
      </c>
    </row>
    <row r="57" spans="1:86" x14ac:dyDescent="0.3">
      <c r="A57">
        <v>53</v>
      </c>
      <c r="B57" t="s">
        <v>328</v>
      </c>
      <c r="C57" t="s">
        <v>329</v>
      </c>
      <c r="D57" t="s">
        <v>588</v>
      </c>
      <c r="E57" t="s">
        <v>589</v>
      </c>
      <c r="F57" t="s">
        <v>577</v>
      </c>
      <c r="G57" t="s">
        <v>578</v>
      </c>
      <c r="I57" t="s">
        <v>567</v>
      </c>
      <c r="S57">
        <v>140</v>
      </c>
      <c r="AI57">
        <v>2</v>
      </c>
      <c r="AK57">
        <v>0.9</v>
      </c>
      <c r="AL57">
        <v>0.9</v>
      </c>
      <c r="AM57">
        <v>211</v>
      </c>
      <c r="AQ57">
        <v>2.13</v>
      </c>
      <c r="AV57">
        <v>3</v>
      </c>
      <c r="BG57" t="s">
        <v>311</v>
      </c>
      <c r="BH57" t="s">
        <v>315</v>
      </c>
      <c r="BI57" s="10" t="s">
        <v>568</v>
      </c>
      <c r="BK57" s="10" t="s">
        <v>137</v>
      </c>
      <c r="BL57" s="17">
        <v>3.04</v>
      </c>
      <c r="BN57" s="17">
        <v>0.25</v>
      </c>
      <c r="CE57" s="10" t="s">
        <v>580</v>
      </c>
      <c r="CG57" t="s">
        <v>572</v>
      </c>
      <c r="CH57" s="10" t="s">
        <v>573</v>
      </c>
    </row>
    <row r="58" spans="1:86" x14ac:dyDescent="0.3">
      <c r="A58">
        <v>54</v>
      </c>
      <c r="B58" t="s">
        <v>328</v>
      </c>
      <c r="C58" t="s">
        <v>329</v>
      </c>
      <c r="D58" t="s">
        <v>590</v>
      </c>
      <c r="E58" t="s">
        <v>589</v>
      </c>
      <c r="F58" t="s">
        <v>577</v>
      </c>
      <c r="G58" t="s">
        <v>578</v>
      </c>
      <c r="I58" t="s">
        <v>567</v>
      </c>
      <c r="S58">
        <v>140</v>
      </c>
      <c r="AI58">
        <v>2</v>
      </c>
      <c r="AK58">
        <v>0.9</v>
      </c>
      <c r="AL58">
        <v>0.9</v>
      </c>
      <c r="AM58">
        <v>211</v>
      </c>
      <c r="AQ58">
        <v>2.13</v>
      </c>
      <c r="AV58">
        <v>3</v>
      </c>
      <c r="BG58" t="s">
        <v>311</v>
      </c>
      <c r="BH58" t="s">
        <v>315</v>
      </c>
      <c r="BI58" s="10" t="s">
        <v>568</v>
      </c>
      <c r="BK58" s="10" t="s">
        <v>137</v>
      </c>
      <c r="BL58" s="17">
        <v>2.69</v>
      </c>
      <c r="BN58" s="17">
        <v>0.08</v>
      </c>
      <c r="CE58" s="10" t="s">
        <v>580</v>
      </c>
      <c r="CG58" t="s">
        <v>572</v>
      </c>
      <c r="CH58" s="10" t="s">
        <v>573</v>
      </c>
    </row>
    <row r="59" spans="1:86" x14ac:dyDescent="0.3">
      <c r="A59">
        <v>55</v>
      </c>
      <c r="B59" t="s">
        <v>328</v>
      </c>
      <c r="C59" t="s">
        <v>329</v>
      </c>
      <c r="D59" t="s">
        <v>588</v>
      </c>
      <c r="E59" t="s">
        <v>589</v>
      </c>
      <c r="F59" t="s">
        <v>577</v>
      </c>
      <c r="G59" t="s">
        <v>578</v>
      </c>
      <c r="I59" t="s">
        <v>567</v>
      </c>
      <c r="S59">
        <v>250</v>
      </c>
      <c r="AI59">
        <v>2</v>
      </c>
      <c r="AK59">
        <v>0.9</v>
      </c>
      <c r="AL59">
        <v>0.9</v>
      </c>
      <c r="AM59">
        <v>211</v>
      </c>
      <c r="AQ59">
        <v>2.13</v>
      </c>
      <c r="AV59">
        <v>3</v>
      </c>
      <c r="BG59" t="s">
        <v>311</v>
      </c>
      <c r="BH59" t="s">
        <v>315</v>
      </c>
      <c r="BI59" s="10" t="s">
        <v>568</v>
      </c>
      <c r="BK59" s="10" t="s">
        <v>137</v>
      </c>
      <c r="BL59" s="17">
        <v>3.81</v>
      </c>
      <c r="BN59" s="17">
        <v>0</v>
      </c>
      <c r="BR59" s="10" t="s">
        <v>842</v>
      </c>
      <c r="CE59" s="10" t="s">
        <v>580</v>
      </c>
      <c r="CG59" t="s">
        <v>572</v>
      </c>
      <c r="CH59" s="10" t="s">
        <v>573</v>
      </c>
    </row>
    <row r="60" spans="1:86" x14ac:dyDescent="0.3">
      <c r="A60">
        <v>56</v>
      </c>
      <c r="B60" t="s">
        <v>328</v>
      </c>
      <c r="C60" t="s">
        <v>329</v>
      </c>
      <c r="D60" t="s">
        <v>590</v>
      </c>
      <c r="E60" t="s">
        <v>589</v>
      </c>
      <c r="F60" t="s">
        <v>577</v>
      </c>
      <c r="G60" t="s">
        <v>578</v>
      </c>
      <c r="I60" t="s">
        <v>567</v>
      </c>
      <c r="S60">
        <v>250</v>
      </c>
      <c r="AI60">
        <v>2</v>
      </c>
      <c r="AK60">
        <v>0.9</v>
      </c>
      <c r="AL60">
        <v>0.9</v>
      </c>
      <c r="AM60">
        <v>211</v>
      </c>
      <c r="AQ60">
        <v>2.13</v>
      </c>
      <c r="AV60">
        <v>3</v>
      </c>
      <c r="BG60" t="s">
        <v>311</v>
      </c>
      <c r="BH60" t="s">
        <v>315</v>
      </c>
      <c r="BI60" s="10" t="s">
        <v>568</v>
      </c>
      <c r="BK60" s="10" t="s">
        <v>137</v>
      </c>
      <c r="BL60" s="17">
        <v>3.81</v>
      </c>
      <c r="BN60" s="17">
        <v>0</v>
      </c>
      <c r="BR60" s="10" t="s">
        <v>842</v>
      </c>
      <c r="CE60" s="10" t="s">
        <v>580</v>
      </c>
      <c r="CG60" t="s">
        <v>572</v>
      </c>
      <c r="CH60" s="10" t="s">
        <v>573</v>
      </c>
    </row>
    <row r="61" spans="1:86" x14ac:dyDescent="0.3">
      <c r="A61">
        <v>57</v>
      </c>
      <c r="B61" t="s">
        <v>328</v>
      </c>
      <c r="C61" t="s">
        <v>333</v>
      </c>
      <c r="D61" t="s">
        <v>591</v>
      </c>
      <c r="E61" t="s">
        <v>589</v>
      </c>
      <c r="F61" t="s">
        <v>577</v>
      </c>
      <c r="G61" t="s">
        <v>578</v>
      </c>
      <c r="I61" t="s">
        <v>567</v>
      </c>
      <c r="N61">
        <v>5</v>
      </c>
      <c r="S61">
        <v>40</v>
      </c>
      <c r="AI61">
        <v>2</v>
      </c>
      <c r="AK61">
        <v>0.9</v>
      </c>
      <c r="AL61">
        <v>0.9</v>
      </c>
      <c r="AM61">
        <v>211</v>
      </c>
      <c r="AQ61">
        <v>2.13</v>
      </c>
      <c r="AV61">
        <v>3</v>
      </c>
      <c r="BG61" t="s">
        <v>312</v>
      </c>
      <c r="BH61" t="s">
        <v>579</v>
      </c>
      <c r="BI61" s="10" t="s">
        <v>568</v>
      </c>
      <c r="BK61" s="10" t="s">
        <v>137</v>
      </c>
      <c r="BL61" s="17">
        <v>3.14</v>
      </c>
      <c r="BN61" s="17">
        <v>0.01</v>
      </c>
      <c r="CE61" s="10" t="s">
        <v>580</v>
      </c>
      <c r="CF61" t="s">
        <v>592</v>
      </c>
      <c r="CG61" t="s">
        <v>572</v>
      </c>
      <c r="CH61" s="10" t="s">
        <v>573</v>
      </c>
    </row>
    <row r="62" spans="1:86" x14ac:dyDescent="0.3">
      <c r="A62">
        <v>58</v>
      </c>
      <c r="B62" t="s">
        <v>328</v>
      </c>
      <c r="C62" t="s">
        <v>333</v>
      </c>
      <c r="D62" t="s">
        <v>591</v>
      </c>
      <c r="E62" t="s">
        <v>589</v>
      </c>
      <c r="F62" t="s">
        <v>577</v>
      </c>
      <c r="G62" t="s">
        <v>578</v>
      </c>
      <c r="I62" t="s">
        <v>567</v>
      </c>
      <c r="N62">
        <v>5</v>
      </c>
      <c r="S62">
        <v>140</v>
      </c>
      <c r="AI62">
        <v>2</v>
      </c>
      <c r="AK62">
        <v>0.9</v>
      </c>
      <c r="AL62">
        <v>0.9</v>
      </c>
      <c r="AM62">
        <v>211</v>
      </c>
      <c r="AQ62">
        <v>2.13</v>
      </c>
      <c r="AV62">
        <v>3</v>
      </c>
      <c r="BG62" t="s">
        <v>312</v>
      </c>
      <c r="BH62" t="s">
        <v>579</v>
      </c>
      <c r="BI62" s="10" t="s">
        <v>568</v>
      </c>
      <c r="BK62" s="10" t="s">
        <v>137</v>
      </c>
      <c r="BL62" s="17">
        <v>3.43</v>
      </c>
      <c r="BN62" s="17">
        <v>0.26</v>
      </c>
      <c r="CE62" s="10" t="s">
        <v>580</v>
      </c>
      <c r="CG62" t="s">
        <v>572</v>
      </c>
      <c r="CH62" s="10" t="s">
        <v>573</v>
      </c>
    </row>
    <row r="63" spans="1:86" x14ac:dyDescent="0.3">
      <c r="A63">
        <v>59</v>
      </c>
      <c r="B63" t="s">
        <v>328</v>
      </c>
      <c r="C63" t="s">
        <v>333</v>
      </c>
      <c r="D63" t="s">
        <v>591</v>
      </c>
      <c r="E63" t="s">
        <v>589</v>
      </c>
      <c r="F63" t="s">
        <v>577</v>
      </c>
      <c r="G63" t="s">
        <v>578</v>
      </c>
      <c r="I63" t="s">
        <v>567</v>
      </c>
      <c r="N63">
        <v>5</v>
      </c>
      <c r="S63">
        <v>250</v>
      </c>
      <c r="AI63">
        <v>2</v>
      </c>
      <c r="AK63">
        <v>0.9</v>
      </c>
      <c r="AL63">
        <v>0.9</v>
      </c>
      <c r="AM63">
        <v>211</v>
      </c>
      <c r="AQ63">
        <v>2.13</v>
      </c>
      <c r="AV63">
        <v>3</v>
      </c>
      <c r="BG63" t="s">
        <v>312</v>
      </c>
      <c r="BH63" t="s">
        <v>579</v>
      </c>
      <c r="BI63" s="10" t="s">
        <v>568</v>
      </c>
      <c r="BK63" s="10" t="s">
        <v>137</v>
      </c>
      <c r="BL63" s="17">
        <v>4.1900000000000004</v>
      </c>
      <c r="BN63" s="17">
        <v>0.24</v>
      </c>
      <c r="BR63" s="10" t="s">
        <v>842</v>
      </c>
      <c r="CE63" s="10" t="s">
        <v>580</v>
      </c>
      <c r="CG63" t="s">
        <v>572</v>
      </c>
      <c r="CH63" s="10" t="s">
        <v>573</v>
      </c>
    </row>
    <row r="64" spans="1:86" x14ac:dyDescent="0.3">
      <c r="A64">
        <v>60</v>
      </c>
      <c r="B64" t="s">
        <v>328</v>
      </c>
      <c r="C64" t="s">
        <v>333</v>
      </c>
      <c r="D64" t="s">
        <v>591</v>
      </c>
      <c r="E64" t="s">
        <v>589</v>
      </c>
      <c r="F64" t="s">
        <v>577</v>
      </c>
      <c r="G64" t="s">
        <v>578</v>
      </c>
      <c r="I64" t="s">
        <v>567</v>
      </c>
      <c r="N64">
        <v>5</v>
      </c>
      <c r="S64">
        <v>40</v>
      </c>
      <c r="AI64">
        <v>2</v>
      </c>
      <c r="AK64">
        <v>0.9</v>
      </c>
      <c r="AL64">
        <v>0.9</v>
      </c>
      <c r="AM64">
        <v>211</v>
      </c>
      <c r="AQ64">
        <v>2.13</v>
      </c>
      <c r="AV64">
        <v>3</v>
      </c>
      <c r="BG64" t="s">
        <v>313</v>
      </c>
      <c r="BH64" t="s">
        <v>584</v>
      </c>
      <c r="BI64" s="10" t="s">
        <v>568</v>
      </c>
      <c r="BK64" s="10" t="s">
        <v>137</v>
      </c>
      <c r="BL64" s="17">
        <v>0.67</v>
      </c>
      <c r="BN64" s="17">
        <v>0.12</v>
      </c>
      <c r="CE64" s="10" t="s">
        <v>580</v>
      </c>
      <c r="CF64" t="s">
        <v>592</v>
      </c>
      <c r="CG64" t="s">
        <v>572</v>
      </c>
      <c r="CH64" s="10" t="s">
        <v>573</v>
      </c>
    </row>
    <row r="65" spans="1:86" x14ac:dyDescent="0.3">
      <c r="A65">
        <v>61</v>
      </c>
      <c r="B65" t="s">
        <v>328</v>
      </c>
      <c r="C65" t="s">
        <v>333</v>
      </c>
      <c r="D65" t="s">
        <v>591</v>
      </c>
      <c r="E65" t="s">
        <v>589</v>
      </c>
      <c r="F65" t="s">
        <v>577</v>
      </c>
      <c r="G65" t="s">
        <v>578</v>
      </c>
      <c r="I65" t="s">
        <v>567</v>
      </c>
      <c r="N65">
        <v>5</v>
      </c>
      <c r="S65">
        <v>140</v>
      </c>
      <c r="AI65">
        <v>2</v>
      </c>
      <c r="AK65">
        <v>0.9</v>
      </c>
      <c r="AL65">
        <v>0.9</v>
      </c>
      <c r="AM65">
        <v>211</v>
      </c>
      <c r="AQ65">
        <v>2.13</v>
      </c>
      <c r="AV65">
        <v>3</v>
      </c>
      <c r="BG65" t="s">
        <v>313</v>
      </c>
      <c r="BH65" t="s">
        <v>584</v>
      </c>
      <c r="BI65" s="10" t="s">
        <v>568</v>
      </c>
      <c r="BK65" s="10" t="s">
        <v>137</v>
      </c>
      <c r="BL65" s="17">
        <v>1.67</v>
      </c>
      <c r="BN65" s="17">
        <v>0.02</v>
      </c>
      <c r="CE65" s="10" t="s">
        <v>580</v>
      </c>
      <c r="CG65" t="s">
        <v>572</v>
      </c>
      <c r="CH65" s="10" t="s">
        <v>573</v>
      </c>
    </row>
    <row r="66" spans="1:86" x14ac:dyDescent="0.3">
      <c r="A66">
        <v>62</v>
      </c>
      <c r="B66" t="s">
        <v>328</v>
      </c>
      <c r="C66" t="s">
        <v>333</v>
      </c>
      <c r="D66" t="s">
        <v>591</v>
      </c>
      <c r="E66" t="s">
        <v>589</v>
      </c>
      <c r="F66" t="s">
        <v>577</v>
      </c>
      <c r="G66" t="s">
        <v>578</v>
      </c>
      <c r="I66" t="s">
        <v>567</v>
      </c>
      <c r="N66">
        <v>5</v>
      </c>
      <c r="S66">
        <v>250</v>
      </c>
      <c r="AI66">
        <v>2</v>
      </c>
      <c r="AK66">
        <v>0.9</v>
      </c>
      <c r="AL66">
        <v>0.9</v>
      </c>
      <c r="AM66">
        <v>211</v>
      </c>
      <c r="AQ66">
        <v>2.13</v>
      </c>
      <c r="AV66">
        <v>3</v>
      </c>
      <c r="BG66" t="s">
        <v>313</v>
      </c>
      <c r="BH66" t="s">
        <v>584</v>
      </c>
      <c r="BI66" s="10" t="s">
        <v>568</v>
      </c>
      <c r="BK66" s="10" t="s">
        <v>137</v>
      </c>
      <c r="BL66" s="17">
        <v>2.17</v>
      </c>
      <c r="BN66" s="17">
        <v>0.12</v>
      </c>
      <c r="CE66" s="10" t="s">
        <v>580</v>
      </c>
      <c r="CG66" t="s">
        <v>572</v>
      </c>
      <c r="CH66" s="10" t="s">
        <v>573</v>
      </c>
    </row>
    <row r="67" spans="1:86" x14ac:dyDescent="0.3">
      <c r="A67">
        <v>63</v>
      </c>
      <c r="B67" t="s">
        <v>328</v>
      </c>
      <c r="C67" t="s">
        <v>333</v>
      </c>
      <c r="D67" t="s">
        <v>591</v>
      </c>
      <c r="E67" t="s">
        <v>589</v>
      </c>
      <c r="F67" t="s">
        <v>577</v>
      </c>
      <c r="G67" t="s">
        <v>578</v>
      </c>
      <c r="I67" t="s">
        <v>567</v>
      </c>
      <c r="N67">
        <v>5</v>
      </c>
      <c r="S67">
        <v>40</v>
      </c>
      <c r="AI67">
        <v>2</v>
      </c>
      <c r="AK67">
        <v>0.9</v>
      </c>
      <c r="AL67">
        <v>0.9</v>
      </c>
      <c r="AM67">
        <v>211</v>
      </c>
      <c r="AQ67">
        <v>2.13</v>
      </c>
      <c r="AV67">
        <v>3</v>
      </c>
      <c r="BG67" t="s">
        <v>311</v>
      </c>
      <c r="BH67" t="s">
        <v>315</v>
      </c>
      <c r="BI67" s="10" t="s">
        <v>568</v>
      </c>
      <c r="BK67" s="10" t="s">
        <v>137</v>
      </c>
      <c r="BL67" s="17">
        <v>1.26</v>
      </c>
      <c r="BN67" s="17">
        <v>0.09</v>
      </c>
      <c r="CE67" s="10" t="s">
        <v>580</v>
      </c>
      <c r="CG67" t="s">
        <v>572</v>
      </c>
      <c r="CH67" s="10" t="s">
        <v>573</v>
      </c>
    </row>
    <row r="68" spans="1:86" x14ac:dyDescent="0.3">
      <c r="A68">
        <v>64</v>
      </c>
      <c r="B68" t="s">
        <v>328</v>
      </c>
      <c r="C68" t="s">
        <v>333</v>
      </c>
      <c r="D68" t="s">
        <v>591</v>
      </c>
      <c r="E68" t="s">
        <v>589</v>
      </c>
      <c r="F68" t="s">
        <v>577</v>
      </c>
      <c r="G68" t="s">
        <v>578</v>
      </c>
      <c r="I68" t="s">
        <v>567</v>
      </c>
      <c r="N68">
        <v>5</v>
      </c>
      <c r="S68">
        <v>140</v>
      </c>
      <c r="AI68">
        <v>2</v>
      </c>
      <c r="AK68">
        <v>0.9</v>
      </c>
      <c r="AL68">
        <v>0.9</v>
      </c>
      <c r="AM68">
        <v>211</v>
      </c>
      <c r="AQ68">
        <v>2.13</v>
      </c>
      <c r="AV68">
        <v>3</v>
      </c>
      <c r="BG68" t="s">
        <v>311</v>
      </c>
      <c r="BH68" t="s">
        <v>315</v>
      </c>
      <c r="BI68" s="10" t="s">
        <v>568</v>
      </c>
      <c r="BK68" s="10" t="s">
        <v>137</v>
      </c>
      <c r="BL68" s="17">
        <v>3.04</v>
      </c>
      <c r="BN68" s="17">
        <v>0.25</v>
      </c>
      <c r="CE68" s="10" t="s">
        <v>580</v>
      </c>
      <c r="CF68" t="s">
        <v>593</v>
      </c>
      <c r="CG68" t="s">
        <v>572</v>
      </c>
      <c r="CH68" s="10" t="s">
        <v>573</v>
      </c>
    </row>
    <row r="69" spans="1:86" x14ac:dyDescent="0.3">
      <c r="A69">
        <v>65</v>
      </c>
      <c r="B69" t="s">
        <v>328</v>
      </c>
      <c r="C69" t="s">
        <v>333</v>
      </c>
      <c r="D69" t="s">
        <v>591</v>
      </c>
      <c r="E69" t="s">
        <v>589</v>
      </c>
      <c r="F69" t="s">
        <v>577</v>
      </c>
      <c r="G69" t="s">
        <v>578</v>
      </c>
      <c r="I69" t="s">
        <v>567</v>
      </c>
      <c r="N69">
        <v>5</v>
      </c>
      <c r="S69">
        <v>250</v>
      </c>
      <c r="AI69">
        <v>2</v>
      </c>
      <c r="AK69">
        <v>0.9</v>
      </c>
      <c r="AL69">
        <v>0.9</v>
      </c>
      <c r="AM69">
        <v>211</v>
      </c>
      <c r="AQ69">
        <v>2.13</v>
      </c>
      <c r="AV69">
        <v>3</v>
      </c>
      <c r="BG69" t="s">
        <v>311</v>
      </c>
      <c r="BH69" t="s">
        <v>315</v>
      </c>
      <c r="BI69" s="10" t="s">
        <v>568</v>
      </c>
      <c r="BK69" s="10" t="s">
        <v>137</v>
      </c>
      <c r="BL69" s="17">
        <v>3.8</v>
      </c>
      <c r="BN69" s="17">
        <v>0</v>
      </c>
      <c r="BR69" s="10" t="s">
        <v>842</v>
      </c>
      <c r="CE69" s="10" t="s">
        <v>580</v>
      </c>
      <c r="CG69" t="s">
        <v>572</v>
      </c>
      <c r="CH69" s="10" t="s">
        <v>573</v>
      </c>
    </row>
    <row r="70" spans="1:86" x14ac:dyDescent="0.3">
      <c r="A70">
        <v>66</v>
      </c>
      <c r="B70" t="s">
        <v>328</v>
      </c>
      <c r="C70" t="s">
        <v>329</v>
      </c>
      <c r="D70" t="s">
        <v>594</v>
      </c>
      <c r="E70" t="s">
        <v>595</v>
      </c>
      <c r="F70" t="s">
        <v>577</v>
      </c>
      <c r="G70" t="s">
        <v>578</v>
      </c>
      <c r="I70" t="s">
        <v>567</v>
      </c>
      <c r="S70">
        <v>40</v>
      </c>
      <c r="AI70">
        <v>6</v>
      </c>
      <c r="AK70">
        <v>5</v>
      </c>
      <c r="AL70">
        <v>0.9</v>
      </c>
      <c r="AQ70">
        <f t="shared" ref="AQ70:AQ87" si="0">1.48+2.48</f>
        <v>3.96</v>
      </c>
      <c r="AV70" t="s">
        <v>26</v>
      </c>
      <c r="BG70" t="s">
        <v>312</v>
      </c>
      <c r="BH70" t="s">
        <v>579</v>
      </c>
      <c r="BI70" s="10" t="s">
        <v>568</v>
      </c>
      <c r="BK70" s="10" t="s">
        <v>137</v>
      </c>
      <c r="BL70" s="17">
        <v>3.4</v>
      </c>
      <c r="BN70" s="17">
        <v>0.3</v>
      </c>
      <c r="CE70" s="10" t="s">
        <v>580</v>
      </c>
      <c r="CG70" t="s">
        <v>572</v>
      </c>
      <c r="CH70" s="10" t="s">
        <v>573</v>
      </c>
    </row>
    <row r="71" spans="1:86" x14ac:dyDescent="0.3">
      <c r="A71">
        <v>67</v>
      </c>
      <c r="B71" t="s">
        <v>328</v>
      </c>
      <c r="C71" t="s">
        <v>329</v>
      </c>
      <c r="D71" t="s">
        <v>596</v>
      </c>
      <c r="E71" t="s">
        <v>595</v>
      </c>
      <c r="F71" t="s">
        <v>577</v>
      </c>
      <c r="G71" t="s">
        <v>578</v>
      </c>
      <c r="I71" t="s">
        <v>567</v>
      </c>
      <c r="S71">
        <v>40</v>
      </c>
      <c r="AI71">
        <v>6</v>
      </c>
      <c r="AK71">
        <v>5</v>
      </c>
      <c r="AL71">
        <v>0.9</v>
      </c>
      <c r="AQ71">
        <f t="shared" si="0"/>
        <v>3.96</v>
      </c>
      <c r="AV71" t="s">
        <v>26</v>
      </c>
      <c r="BG71" t="s">
        <v>312</v>
      </c>
      <c r="BH71" t="s">
        <v>579</v>
      </c>
      <c r="BI71" s="10" t="s">
        <v>568</v>
      </c>
      <c r="BK71" s="10" t="s">
        <v>137</v>
      </c>
      <c r="BL71" s="17">
        <v>2.73</v>
      </c>
      <c r="BN71" s="17">
        <v>0.15</v>
      </c>
      <c r="CE71" s="10" t="s">
        <v>580</v>
      </c>
      <c r="CG71" t="s">
        <v>572</v>
      </c>
      <c r="CH71" s="10" t="s">
        <v>573</v>
      </c>
    </row>
    <row r="72" spans="1:86" x14ac:dyDescent="0.3">
      <c r="A72">
        <v>68</v>
      </c>
      <c r="B72" t="s">
        <v>328</v>
      </c>
      <c r="C72" t="s">
        <v>329</v>
      </c>
      <c r="D72" t="s">
        <v>594</v>
      </c>
      <c r="E72" t="s">
        <v>595</v>
      </c>
      <c r="F72" t="s">
        <v>577</v>
      </c>
      <c r="G72" t="s">
        <v>578</v>
      </c>
      <c r="I72" t="s">
        <v>567</v>
      </c>
      <c r="S72">
        <v>140</v>
      </c>
      <c r="AI72">
        <v>6</v>
      </c>
      <c r="AK72">
        <v>5</v>
      </c>
      <c r="AL72">
        <v>0.9</v>
      </c>
      <c r="AQ72">
        <f t="shared" si="0"/>
        <v>3.96</v>
      </c>
      <c r="AV72" t="s">
        <v>26</v>
      </c>
      <c r="BG72" t="s">
        <v>312</v>
      </c>
      <c r="BH72" t="s">
        <v>579</v>
      </c>
      <c r="BI72" s="10" t="s">
        <v>568</v>
      </c>
      <c r="BK72" s="10" t="s">
        <v>137</v>
      </c>
      <c r="BL72" s="17">
        <v>3.98</v>
      </c>
      <c r="BN72" s="17">
        <v>0.09</v>
      </c>
      <c r="CE72" s="10" t="s">
        <v>580</v>
      </c>
      <c r="CG72" t="s">
        <v>572</v>
      </c>
      <c r="CH72" s="10" t="s">
        <v>573</v>
      </c>
    </row>
    <row r="73" spans="1:86" x14ac:dyDescent="0.3">
      <c r="A73">
        <v>69</v>
      </c>
      <c r="B73" t="s">
        <v>328</v>
      </c>
      <c r="C73" t="s">
        <v>329</v>
      </c>
      <c r="D73" t="s">
        <v>596</v>
      </c>
      <c r="E73" t="s">
        <v>595</v>
      </c>
      <c r="F73" t="s">
        <v>577</v>
      </c>
      <c r="G73" t="s">
        <v>578</v>
      </c>
      <c r="I73" t="s">
        <v>567</v>
      </c>
      <c r="S73">
        <v>140</v>
      </c>
      <c r="AI73">
        <v>6</v>
      </c>
      <c r="AK73">
        <v>5</v>
      </c>
      <c r="AL73">
        <v>0.9</v>
      </c>
      <c r="AQ73">
        <f t="shared" si="0"/>
        <v>3.96</v>
      </c>
      <c r="AV73" t="s">
        <v>26</v>
      </c>
      <c r="BG73" t="s">
        <v>312</v>
      </c>
      <c r="BH73" t="s">
        <v>579</v>
      </c>
      <c r="BI73" s="10" t="s">
        <v>568</v>
      </c>
      <c r="BK73" s="10" t="s">
        <v>137</v>
      </c>
      <c r="BL73" s="17">
        <v>3.8</v>
      </c>
      <c r="BN73" s="17">
        <v>0.24</v>
      </c>
      <c r="CE73" s="10" t="s">
        <v>580</v>
      </c>
      <c r="CG73" t="s">
        <v>572</v>
      </c>
      <c r="CH73" s="10" t="s">
        <v>573</v>
      </c>
    </row>
    <row r="74" spans="1:86" x14ac:dyDescent="0.3">
      <c r="A74">
        <v>70</v>
      </c>
      <c r="B74" t="s">
        <v>328</v>
      </c>
      <c r="C74" t="s">
        <v>329</v>
      </c>
      <c r="D74" t="s">
        <v>594</v>
      </c>
      <c r="E74" t="s">
        <v>595</v>
      </c>
      <c r="F74" t="s">
        <v>577</v>
      </c>
      <c r="G74" t="s">
        <v>578</v>
      </c>
      <c r="I74" t="s">
        <v>567</v>
      </c>
      <c r="S74">
        <v>250</v>
      </c>
      <c r="AI74">
        <v>6</v>
      </c>
      <c r="AK74">
        <v>5</v>
      </c>
      <c r="AL74">
        <v>0.9</v>
      </c>
      <c r="AQ74">
        <f t="shared" si="0"/>
        <v>3.96</v>
      </c>
      <c r="AV74" t="s">
        <v>26</v>
      </c>
      <c r="BG74" t="s">
        <v>312</v>
      </c>
      <c r="BH74" t="s">
        <v>579</v>
      </c>
      <c r="BI74" s="10" t="s">
        <v>568</v>
      </c>
      <c r="BK74" s="10" t="s">
        <v>137</v>
      </c>
      <c r="BL74" s="17">
        <v>4.83</v>
      </c>
      <c r="BN74" s="17">
        <v>0.09</v>
      </c>
      <c r="CE74" s="10" t="s">
        <v>580</v>
      </c>
      <c r="CG74" t="s">
        <v>572</v>
      </c>
      <c r="CH74" s="10" t="s">
        <v>573</v>
      </c>
    </row>
    <row r="75" spans="1:86" x14ac:dyDescent="0.3">
      <c r="A75">
        <v>71</v>
      </c>
      <c r="B75" t="s">
        <v>328</v>
      </c>
      <c r="C75" t="s">
        <v>329</v>
      </c>
      <c r="D75" t="s">
        <v>596</v>
      </c>
      <c r="E75" t="s">
        <v>595</v>
      </c>
      <c r="F75" t="s">
        <v>577</v>
      </c>
      <c r="G75" t="s">
        <v>578</v>
      </c>
      <c r="I75" t="s">
        <v>567</v>
      </c>
      <c r="S75">
        <v>250</v>
      </c>
      <c r="AI75">
        <v>6</v>
      </c>
      <c r="AK75">
        <v>5</v>
      </c>
      <c r="AL75">
        <v>0.9</v>
      </c>
      <c r="AQ75">
        <f t="shared" si="0"/>
        <v>3.96</v>
      </c>
      <c r="AV75" t="s">
        <v>26</v>
      </c>
      <c r="BG75" t="s">
        <v>312</v>
      </c>
      <c r="BH75" t="s">
        <v>579</v>
      </c>
      <c r="BI75" s="10" t="s">
        <v>568</v>
      </c>
      <c r="BK75" s="10" t="s">
        <v>137</v>
      </c>
      <c r="BL75" s="17">
        <v>3.8</v>
      </c>
      <c r="BN75" s="17">
        <v>0.24</v>
      </c>
      <c r="CE75" s="10" t="s">
        <v>580</v>
      </c>
      <c r="CG75" t="s">
        <v>572</v>
      </c>
      <c r="CH75" s="10" t="s">
        <v>573</v>
      </c>
    </row>
    <row r="76" spans="1:86" x14ac:dyDescent="0.3">
      <c r="A76">
        <v>72</v>
      </c>
      <c r="B76" t="s">
        <v>328</v>
      </c>
      <c r="C76" t="s">
        <v>329</v>
      </c>
      <c r="D76" t="s">
        <v>594</v>
      </c>
      <c r="E76" t="s">
        <v>595</v>
      </c>
      <c r="F76" t="s">
        <v>577</v>
      </c>
      <c r="G76" t="s">
        <v>578</v>
      </c>
      <c r="I76" t="s">
        <v>567</v>
      </c>
      <c r="S76">
        <v>40</v>
      </c>
      <c r="AI76">
        <v>6</v>
      </c>
      <c r="AK76">
        <v>5</v>
      </c>
      <c r="AL76">
        <v>0.9</v>
      </c>
      <c r="AQ76">
        <f t="shared" si="0"/>
        <v>3.96</v>
      </c>
      <c r="AV76" t="s">
        <v>26</v>
      </c>
      <c r="BG76" t="s">
        <v>313</v>
      </c>
      <c r="BH76" t="s">
        <v>584</v>
      </c>
      <c r="BI76" s="10" t="s">
        <v>568</v>
      </c>
      <c r="BK76" s="10" t="s">
        <v>137</v>
      </c>
      <c r="BL76" s="17">
        <v>0.45</v>
      </c>
      <c r="BN76" s="17">
        <v>7.0000000000000007E-2</v>
      </c>
      <c r="CE76" s="10" t="s">
        <v>580</v>
      </c>
      <c r="CG76" t="s">
        <v>572</v>
      </c>
      <c r="CH76" s="10" t="s">
        <v>573</v>
      </c>
    </row>
    <row r="77" spans="1:86" x14ac:dyDescent="0.3">
      <c r="A77">
        <v>73</v>
      </c>
      <c r="B77" t="s">
        <v>328</v>
      </c>
      <c r="C77" t="s">
        <v>329</v>
      </c>
      <c r="D77" t="s">
        <v>596</v>
      </c>
      <c r="E77" t="s">
        <v>595</v>
      </c>
      <c r="F77" t="s">
        <v>577</v>
      </c>
      <c r="G77" t="s">
        <v>578</v>
      </c>
      <c r="I77" t="s">
        <v>567</v>
      </c>
      <c r="S77">
        <v>40</v>
      </c>
      <c r="AI77">
        <v>6</v>
      </c>
      <c r="AK77">
        <v>5</v>
      </c>
      <c r="AL77">
        <v>0.9</v>
      </c>
      <c r="AQ77">
        <f t="shared" si="0"/>
        <v>3.96</v>
      </c>
      <c r="AV77" t="s">
        <v>26</v>
      </c>
      <c r="BG77" t="s">
        <v>313</v>
      </c>
      <c r="BH77" t="s">
        <v>584</v>
      </c>
      <c r="BI77" s="10" t="s">
        <v>568</v>
      </c>
      <c r="BK77" s="10" t="s">
        <v>137</v>
      </c>
      <c r="BL77" s="17">
        <v>0.65</v>
      </c>
      <c r="BN77" s="17">
        <v>0.24</v>
      </c>
      <c r="CE77" s="10" t="s">
        <v>580</v>
      </c>
      <c r="CG77" t="s">
        <v>572</v>
      </c>
      <c r="CH77" s="10" t="s">
        <v>573</v>
      </c>
    </row>
    <row r="78" spans="1:86" x14ac:dyDescent="0.3">
      <c r="A78">
        <v>74</v>
      </c>
      <c r="B78" t="s">
        <v>328</v>
      </c>
      <c r="C78" t="s">
        <v>329</v>
      </c>
      <c r="D78" t="s">
        <v>594</v>
      </c>
      <c r="E78" t="s">
        <v>595</v>
      </c>
      <c r="F78" t="s">
        <v>577</v>
      </c>
      <c r="G78" t="s">
        <v>578</v>
      </c>
      <c r="I78" t="s">
        <v>567</v>
      </c>
      <c r="S78">
        <v>140</v>
      </c>
      <c r="AI78">
        <v>6</v>
      </c>
      <c r="AK78">
        <v>5</v>
      </c>
      <c r="AL78">
        <v>0.9</v>
      </c>
      <c r="AQ78">
        <f t="shared" si="0"/>
        <v>3.96</v>
      </c>
      <c r="AV78" t="s">
        <v>26</v>
      </c>
      <c r="BG78" t="s">
        <v>313</v>
      </c>
      <c r="BH78" t="s">
        <v>584</v>
      </c>
      <c r="BI78" s="10" t="s">
        <v>568</v>
      </c>
      <c r="BK78" s="10" t="s">
        <v>137</v>
      </c>
      <c r="BL78" s="17">
        <v>1.51</v>
      </c>
      <c r="BN78" s="17">
        <v>0.08</v>
      </c>
      <c r="CE78" s="10" t="s">
        <v>580</v>
      </c>
      <c r="CG78" t="s">
        <v>572</v>
      </c>
      <c r="CH78" s="10" t="s">
        <v>573</v>
      </c>
    </row>
    <row r="79" spans="1:86" x14ac:dyDescent="0.3">
      <c r="A79">
        <v>75</v>
      </c>
      <c r="B79" t="s">
        <v>328</v>
      </c>
      <c r="C79" t="s">
        <v>329</v>
      </c>
      <c r="D79" t="s">
        <v>596</v>
      </c>
      <c r="E79" t="s">
        <v>595</v>
      </c>
      <c r="F79" t="s">
        <v>577</v>
      </c>
      <c r="G79" t="s">
        <v>578</v>
      </c>
      <c r="I79" t="s">
        <v>567</v>
      </c>
      <c r="S79">
        <v>140</v>
      </c>
      <c r="AI79">
        <v>6</v>
      </c>
      <c r="AK79">
        <v>5</v>
      </c>
      <c r="AL79">
        <v>0.9</v>
      </c>
      <c r="AQ79">
        <f t="shared" si="0"/>
        <v>3.96</v>
      </c>
      <c r="AV79" t="s">
        <v>26</v>
      </c>
      <c r="BG79" t="s">
        <v>313</v>
      </c>
      <c r="BH79" t="s">
        <v>584</v>
      </c>
      <c r="BI79" s="10" t="s">
        <v>568</v>
      </c>
      <c r="BK79" s="10" t="s">
        <v>137</v>
      </c>
      <c r="BL79" s="17">
        <v>1.47</v>
      </c>
      <c r="BN79" s="17">
        <v>0.14000000000000001</v>
      </c>
      <c r="CE79" s="10" t="s">
        <v>580</v>
      </c>
      <c r="CG79" t="s">
        <v>572</v>
      </c>
      <c r="CH79" s="10" t="s">
        <v>573</v>
      </c>
    </row>
    <row r="80" spans="1:86" x14ac:dyDescent="0.3">
      <c r="A80">
        <v>76</v>
      </c>
      <c r="B80" t="s">
        <v>328</v>
      </c>
      <c r="C80" t="s">
        <v>329</v>
      </c>
      <c r="D80" t="s">
        <v>594</v>
      </c>
      <c r="E80" t="s">
        <v>595</v>
      </c>
      <c r="F80" t="s">
        <v>577</v>
      </c>
      <c r="G80" t="s">
        <v>578</v>
      </c>
      <c r="I80" t="s">
        <v>567</v>
      </c>
      <c r="S80">
        <v>250</v>
      </c>
      <c r="AI80">
        <v>6</v>
      </c>
      <c r="AK80">
        <v>5</v>
      </c>
      <c r="AL80">
        <v>0.9</v>
      </c>
      <c r="AQ80">
        <f t="shared" si="0"/>
        <v>3.96</v>
      </c>
      <c r="AV80" t="s">
        <v>26</v>
      </c>
      <c r="BG80" t="s">
        <v>313</v>
      </c>
      <c r="BH80" t="s">
        <v>584</v>
      </c>
      <c r="BI80" s="10" t="s">
        <v>568</v>
      </c>
      <c r="BK80" s="10" t="s">
        <v>137</v>
      </c>
      <c r="BL80" s="17">
        <v>1.92</v>
      </c>
      <c r="BN80" s="17">
        <v>0.21</v>
      </c>
      <c r="CE80" s="10" t="s">
        <v>580</v>
      </c>
      <c r="CG80" t="s">
        <v>572</v>
      </c>
      <c r="CH80" s="10" t="s">
        <v>573</v>
      </c>
    </row>
    <row r="81" spans="1:86" x14ac:dyDescent="0.3">
      <c r="A81">
        <v>77</v>
      </c>
      <c r="B81" t="s">
        <v>328</v>
      </c>
      <c r="C81" t="s">
        <v>329</v>
      </c>
      <c r="D81" t="s">
        <v>596</v>
      </c>
      <c r="E81" t="s">
        <v>595</v>
      </c>
      <c r="F81" t="s">
        <v>577</v>
      </c>
      <c r="G81" t="s">
        <v>578</v>
      </c>
      <c r="I81" t="s">
        <v>567</v>
      </c>
      <c r="S81">
        <v>250</v>
      </c>
      <c r="AI81">
        <v>6</v>
      </c>
      <c r="AK81">
        <v>5</v>
      </c>
      <c r="AL81">
        <v>0.9</v>
      </c>
      <c r="AQ81">
        <f t="shared" si="0"/>
        <v>3.96</v>
      </c>
      <c r="AV81" t="s">
        <v>26</v>
      </c>
      <c r="BG81" t="s">
        <v>313</v>
      </c>
      <c r="BH81" t="s">
        <v>584</v>
      </c>
      <c r="BI81" s="10" t="s">
        <v>568</v>
      </c>
      <c r="BK81" s="10" t="s">
        <v>137</v>
      </c>
      <c r="BL81" s="17">
        <v>1.68</v>
      </c>
      <c r="BN81" s="17">
        <v>0</v>
      </c>
      <c r="CE81" s="10" t="s">
        <v>580</v>
      </c>
      <c r="CG81" t="s">
        <v>572</v>
      </c>
      <c r="CH81" s="10" t="s">
        <v>573</v>
      </c>
    </row>
    <row r="82" spans="1:86" x14ac:dyDescent="0.3">
      <c r="A82">
        <v>78</v>
      </c>
      <c r="B82" t="s">
        <v>328</v>
      </c>
      <c r="C82" t="s">
        <v>329</v>
      </c>
      <c r="D82" t="s">
        <v>594</v>
      </c>
      <c r="E82" t="s">
        <v>595</v>
      </c>
      <c r="F82" t="s">
        <v>577</v>
      </c>
      <c r="G82" t="s">
        <v>578</v>
      </c>
      <c r="I82" t="s">
        <v>567</v>
      </c>
      <c r="S82">
        <v>40</v>
      </c>
      <c r="AI82">
        <v>6</v>
      </c>
      <c r="AK82">
        <v>5</v>
      </c>
      <c r="AL82">
        <v>0.9</v>
      </c>
      <c r="AQ82">
        <f t="shared" si="0"/>
        <v>3.96</v>
      </c>
      <c r="AV82" t="s">
        <v>26</v>
      </c>
      <c r="BG82" t="s">
        <v>311</v>
      </c>
      <c r="BH82" t="s">
        <v>315</v>
      </c>
      <c r="BI82" s="10" t="s">
        <v>568</v>
      </c>
      <c r="BK82" s="10" t="s">
        <v>137</v>
      </c>
      <c r="BL82" s="17">
        <v>0.97</v>
      </c>
      <c r="BN82" s="17">
        <v>0.05</v>
      </c>
      <c r="CE82" s="10" t="s">
        <v>580</v>
      </c>
      <c r="CG82" t="s">
        <v>572</v>
      </c>
      <c r="CH82" s="10" t="s">
        <v>573</v>
      </c>
    </row>
    <row r="83" spans="1:86" x14ac:dyDescent="0.3">
      <c r="A83">
        <v>79</v>
      </c>
      <c r="B83" t="s">
        <v>328</v>
      </c>
      <c r="C83" t="s">
        <v>329</v>
      </c>
      <c r="D83" t="s">
        <v>596</v>
      </c>
      <c r="E83" t="s">
        <v>595</v>
      </c>
      <c r="F83" t="s">
        <v>577</v>
      </c>
      <c r="G83" t="s">
        <v>578</v>
      </c>
      <c r="I83" t="s">
        <v>567</v>
      </c>
      <c r="S83">
        <v>40</v>
      </c>
      <c r="AI83">
        <v>6</v>
      </c>
      <c r="AK83">
        <v>5</v>
      </c>
      <c r="AL83">
        <v>0.9</v>
      </c>
      <c r="AQ83">
        <f t="shared" si="0"/>
        <v>3.96</v>
      </c>
      <c r="AV83" t="s">
        <v>26</v>
      </c>
      <c r="BG83" t="s">
        <v>311</v>
      </c>
      <c r="BH83" t="s">
        <v>315</v>
      </c>
      <c r="BI83" s="10" t="s">
        <v>568</v>
      </c>
      <c r="BK83" s="10" t="s">
        <v>137</v>
      </c>
      <c r="BL83" s="17">
        <v>0.71</v>
      </c>
      <c r="BN83" s="17">
        <v>0.08</v>
      </c>
      <c r="CE83" s="10" t="s">
        <v>580</v>
      </c>
      <c r="CG83" t="s">
        <v>572</v>
      </c>
      <c r="CH83" s="10" t="s">
        <v>573</v>
      </c>
    </row>
    <row r="84" spans="1:86" x14ac:dyDescent="0.3">
      <c r="A84">
        <v>80</v>
      </c>
      <c r="B84" t="s">
        <v>328</v>
      </c>
      <c r="C84" t="s">
        <v>329</v>
      </c>
      <c r="D84" t="s">
        <v>594</v>
      </c>
      <c r="E84" t="s">
        <v>595</v>
      </c>
      <c r="F84" t="s">
        <v>577</v>
      </c>
      <c r="G84" t="s">
        <v>578</v>
      </c>
      <c r="I84" t="s">
        <v>567</v>
      </c>
      <c r="S84">
        <v>140</v>
      </c>
      <c r="AI84">
        <v>6</v>
      </c>
      <c r="AK84">
        <v>5</v>
      </c>
      <c r="AL84">
        <v>0.9</v>
      </c>
      <c r="AQ84">
        <f t="shared" si="0"/>
        <v>3.96</v>
      </c>
      <c r="AV84" t="s">
        <v>26</v>
      </c>
      <c r="BG84" t="s">
        <v>311</v>
      </c>
      <c r="BH84" t="s">
        <v>315</v>
      </c>
      <c r="BI84" s="10" t="s">
        <v>568</v>
      </c>
      <c r="BK84" s="10" t="s">
        <v>137</v>
      </c>
      <c r="BL84" s="17">
        <v>3.36</v>
      </c>
      <c r="BN84" s="17">
        <v>0.24</v>
      </c>
      <c r="CE84" s="10" t="s">
        <v>580</v>
      </c>
      <c r="CG84" t="s">
        <v>572</v>
      </c>
      <c r="CH84" s="10" t="s">
        <v>573</v>
      </c>
    </row>
    <row r="85" spans="1:86" x14ac:dyDescent="0.3">
      <c r="A85">
        <v>81</v>
      </c>
      <c r="B85" t="s">
        <v>328</v>
      </c>
      <c r="C85" t="s">
        <v>329</v>
      </c>
      <c r="D85" t="s">
        <v>596</v>
      </c>
      <c r="E85" t="s">
        <v>595</v>
      </c>
      <c r="F85" t="s">
        <v>577</v>
      </c>
      <c r="G85" t="s">
        <v>578</v>
      </c>
      <c r="I85" t="s">
        <v>567</v>
      </c>
      <c r="S85">
        <v>140</v>
      </c>
      <c r="AI85">
        <v>6</v>
      </c>
      <c r="AK85">
        <v>5</v>
      </c>
      <c r="AL85">
        <v>0.9</v>
      </c>
      <c r="AQ85">
        <f t="shared" si="0"/>
        <v>3.96</v>
      </c>
      <c r="AV85" t="s">
        <v>26</v>
      </c>
      <c r="BG85" t="s">
        <v>311</v>
      </c>
      <c r="BH85" t="s">
        <v>315</v>
      </c>
      <c r="BI85" s="10" t="s">
        <v>568</v>
      </c>
      <c r="BK85" s="10" t="s">
        <v>137</v>
      </c>
      <c r="BL85" s="17">
        <v>2.4700000000000002</v>
      </c>
      <c r="BN85" s="17">
        <v>0.11</v>
      </c>
      <c r="CE85" s="10" t="s">
        <v>580</v>
      </c>
      <c r="CG85" t="s">
        <v>572</v>
      </c>
      <c r="CH85" s="10" t="s">
        <v>573</v>
      </c>
    </row>
    <row r="86" spans="1:86" x14ac:dyDescent="0.3">
      <c r="A86">
        <v>82</v>
      </c>
      <c r="B86" t="s">
        <v>328</v>
      </c>
      <c r="C86" t="s">
        <v>329</v>
      </c>
      <c r="D86" t="s">
        <v>594</v>
      </c>
      <c r="E86" t="s">
        <v>595</v>
      </c>
      <c r="F86" t="s">
        <v>577</v>
      </c>
      <c r="G86" t="s">
        <v>578</v>
      </c>
      <c r="I86" t="s">
        <v>567</v>
      </c>
      <c r="S86">
        <v>250</v>
      </c>
      <c r="AI86">
        <v>6</v>
      </c>
      <c r="AK86">
        <v>5</v>
      </c>
      <c r="AL86">
        <v>0.9</v>
      </c>
      <c r="AQ86">
        <f t="shared" si="0"/>
        <v>3.96</v>
      </c>
      <c r="AV86" t="s">
        <v>26</v>
      </c>
      <c r="BG86" t="s">
        <v>311</v>
      </c>
      <c r="BH86" t="s">
        <v>315</v>
      </c>
      <c r="BI86" s="10" t="s">
        <v>568</v>
      </c>
      <c r="BK86" s="10" t="s">
        <v>137</v>
      </c>
      <c r="BL86" s="17">
        <v>3.36</v>
      </c>
      <c r="BN86" s="17">
        <v>0</v>
      </c>
      <c r="BR86" s="10" t="s">
        <v>842</v>
      </c>
      <c r="CE86" s="10" t="s">
        <v>580</v>
      </c>
      <c r="CG86" t="s">
        <v>572</v>
      </c>
      <c r="CH86" s="10" t="s">
        <v>573</v>
      </c>
    </row>
    <row r="87" spans="1:86" x14ac:dyDescent="0.3">
      <c r="A87">
        <v>83</v>
      </c>
      <c r="B87" t="s">
        <v>328</v>
      </c>
      <c r="C87" t="s">
        <v>329</v>
      </c>
      <c r="D87" t="s">
        <v>596</v>
      </c>
      <c r="E87" t="s">
        <v>595</v>
      </c>
      <c r="F87" t="s">
        <v>577</v>
      </c>
      <c r="G87" t="s">
        <v>578</v>
      </c>
      <c r="I87" t="s">
        <v>567</v>
      </c>
      <c r="S87">
        <v>250</v>
      </c>
      <c r="AI87">
        <v>6</v>
      </c>
      <c r="AK87">
        <v>5</v>
      </c>
      <c r="AL87">
        <v>0.9</v>
      </c>
      <c r="AQ87">
        <f t="shared" si="0"/>
        <v>3.96</v>
      </c>
      <c r="AV87" t="s">
        <v>26</v>
      </c>
      <c r="BG87" t="s">
        <v>311</v>
      </c>
      <c r="BH87" t="s">
        <v>315</v>
      </c>
      <c r="BI87" s="10" t="s">
        <v>568</v>
      </c>
      <c r="BK87" s="10" t="s">
        <v>137</v>
      </c>
      <c r="BL87" s="17">
        <v>3.36</v>
      </c>
      <c r="BN87" s="17">
        <v>0</v>
      </c>
      <c r="BR87" s="10" t="s">
        <v>842</v>
      </c>
      <c r="CE87" s="10" t="s">
        <v>580</v>
      </c>
      <c r="CG87" t="s">
        <v>572</v>
      </c>
      <c r="CH87" s="10" t="s">
        <v>573</v>
      </c>
    </row>
    <row r="88" spans="1:86" x14ac:dyDescent="0.3">
      <c r="A88">
        <v>84</v>
      </c>
      <c r="B88" t="s">
        <v>328</v>
      </c>
      <c r="C88" t="s">
        <v>329</v>
      </c>
      <c r="D88" t="s">
        <v>597</v>
      </c>
      <c r="E88" t="s">
        <v>598</v>
      </c>
      <c r="F88" t="s">
        <v>577</v>
      </c>
      <c r="G88" t="s">
        <v>578</v>
      </c>
      <c r="I88" t="s">
        <v>567</v>
      </c>
      <c r="S88">
        <v>20</v>
      </c>
      <c r="AI88">
        <v>2</v>
      </c>
      <c r="AK88">
        <v>2.5</v>
      </c>
      <c r="AL88">
        <v>0.59</v>
      </c>
      <c r="AM88">
        <v>210</v>
      </c>
      <c r="AQ88">
        <f>0.58+0.58+0.68</f>
        <v>1.8399999999999999</v>
      </c>
      <c r="AV88">
        <v>0.78</v>
      </c>
      <c r="BG88" t="s">
        <v>312</v>
      </c>
      <c r="BH88" t="s">
        <v>599</v>
      </c>
      <c r="BI88" s="10" t="s">
        <v>568</v>
      </c>
      <c r="BK88" s="10" t="s">
        <v>137</v>
      </c>
      <c r="BL88" s="17">
        <v>3.04</v>
      </c>
      <c r="BN88" s="17">
        <v>0.14399999999999999</v>
      </c>
      <c r="CE88" s="10" t="s">
        <v>600</v>
      </c>
      <c r="CG88" t="s">
        <v>572</v>
      </c>
      <c r="CH88" s="10" t="s">
        <v>573</v>
      </c>
    </row>
    <row r="89" spans="1:86" x14ac:dyDescent="0.3">
      <c r="A89">
        <v>85</v>
      </c>
      <c r="B89" t="s">
        <v>328</v>
      </c>
      <c r="C89" t="s">
        <v>333</v>
      </c>
      <c r="D89" t="s">
        <v>601</v>
      </c>
      <c r="E89" t="s">
        <v>598</v>
      </c>
      <c r="F89" t="s">
        <v>577</v>
      </c>
      <c r="G89" t="s">
        <v>578</v>
      </c>
      <c r="I89" t="s">
        <v>567</v>
      </c>
      <c r="N89">
        <v>5</v>
      </c>
      <c r="S89">
        <v>20</v>
      </c>
      <c r="AI89">
        <v>2</v>
      </c>
      <c r="AK89">
        <v>2.5</v>
      </c>
      <c r="AL89">
        <v>0.59</v>
      </c>
      <c r="AM89">
        <v>210</v>
      </c>
      <c r="AQ89">
        <f>0.58+0.58+0.68</f>
        <v>1.8399999999999999</v>
      </c>
      <c r="AV89">
        <v>0.78</v>
      </c>
      <c r="BG89" t="s">
        <v>312</v>
      </c>
      <c r="BH89" t="s">
        <v>599</v>
      </c>
      <c r="BI89" s="10" t="s">
        <v>568</v>
      </c>
      <c r="BK89" s="10" t="s">
        <v>137</v>
      </c>
      <c r="BL89" s="17">
        <v>3.38</v>
      </c>
      <c r="BN89" s="17">
        <v>0.214</v>
      </c>
      <c r="CE89" s="10" t="s">
        <v>600</v>
      </c>
      <c r="CG89" t="s">
        <v>572</v>
      </c>
      <c r="CH89" s="10" t="s">
        <v>573</v>
      </c>
    </row>
    <row r="90" spans="1:86" x14ac:dyDescent="0.3">
      <c r="A90">
        <v>86</v>
      </c>
      <c r="B90" t="s">
        <v>328</v>
      </c>
      <c r="C90" t="s">
        <v>337</v>
      </c>
      <c r="D90" t="s">
        <v>602</v>
      </c>
      <c r="E90" t="s">
        <v>586</v>
      </c>
      <c r="F90" t="s">
        <v>577</v>
      </c>
      <c r="G90" t="s">
        <v>578</v>
      </c>
      <c r="I90" t="s">
        <v>567</v>
      </c>
      <c r="N90">
        <v>5</v>
      </c>
      <c r="S90">
        <v>20</v>
      </c>
      <c r="AI90">
        <v>2</v>
      </c>
      <c r="AK90">
        <v>0.56999999999999995</v>
      </c>
      <c r="AL90">
        <v>0.6</v>
      </c>
      <c r="AM90">
        <v>121</v>
      </c>
      <c r="AQ90">
        <v>0.9</v>
      </c>
      <c r="AV90">
        <v>0.26</v>
      </c>
      <c r="BG90" t="s">
        <v>312</v>
      </c>
      <c r="BH90" t="s">
        <v>599</v>
      </c>
      <c r="BI90" s="10" t="s">
        <v>568</v>
      </c>
      <c r="BK90" s="10" t="s">
        <v>137</v>
      </c>
      <c r="BL90" s="17">
        <v>3.59</v>
      </c>
      <c r="BN90" s="17">
        <v>4.8000000000000001E-2</v>
      </c>
      <c r="CE90" s="10" t="s">
        <v>600</v>
      </c>
      <c r="CG90" t="s">
        <v>572</v>
      </c>
      <c r="CH90" s="10" t="s">
        <v>573</v>
      </c>
    </row>
    <row r="91" spans="1:86" x14ac:dyDescent="0.3">
      <c r="A91">
        <v>87</v>
      </c>
      <c r="B91" t="s">
        <v>328</v>
      </c>
      <c r="C91" t="s">
        <v>329</v>
      </c>
      <c r="D91" t="s">
        <v>585</v>
      </c>
      <c r="E91" t="s">
        <v>586</v>
      </c>
      <c r="F91" t="s">
        <v>577</v>
      </c>
      <c r="G91" t="s">
        <v>578</v>
      </c>
      <c r="I91" t="s">
        <v>567</v>
      </c>
      <c r="S91">
        <v>40</v>
      </c>
      <c r="AI91">
        <v>2</v>
      </c>
      <c r="AK91">
        <v>0.56999999999999995</v>
      </c>
      <c r="AL91">
        <v>0.6</v>
      </c>
      <c r="AM91">
        <v>121</v>
      </c>
      <c r="AQ91">
        <v>0.9</v>
      </c>
      <c r="AV91">
        <v>0.26</v>
      </c>
      <c r="BG91" t="s">
        <v>312</v>
      </c>
      <c r="BH91" t="s">
        <v>599</v>
      </c>
      <c r="BI91" s="10" t="s">
        <v>568</v>
      </c>
      <c r="BK91" s="10" t="s">
        <v>137</v>
      </c>
      <c r="BL91" s="17">
        <v>3.54</v>
      </c>
      <c r="BN91" s="17">
        <v>6.7000000000000004E-2</v>
      </c>
      <c r="CE91" s="10" t="s">
        <v>600</v>
      </c>
      <c r="CG91" t="s">
        <v>572</v>
      </c>
      <c r="CH91" s="10" t="s">
        <v>573</v>
      </c>
    </row>
    <row r="92" spans="1:86" x14ac:dyDescent="0.3">
      <c r="A92">
        <v>88</v>
      </c>
      <c r="B92" t="s">
        <v>328</v>
      </c>
      <c r="C92" t="s">
        <v>337</v>
      </c>
      <c r="D92" t="s">
        <v>602</v>
      </c>
      <c r="E92" t="s">
        <v>586</v>
      </c>
      <c r="F92" t="s">
        <v>577</v>
      </c>
      <c r="G92" t="s">
        <v>578</v>
      </c>
      <c r="I92" t="s">
        <v>567</v>
      </c>
      <c r="N92">
        <v>5</v>
      </c>
      <c r="S92">
        <v>40</v>
      </c>
      <c r="AI92">
        <v>2</v>
      </c>
      <c r="AK92">
        <v>0.56999999999999995</v>
      </c>
      <c r="AL92">
        <v>0.6</v>
      </c>
      <c r="AM92">
        <v>121</v>
      </c>
      <c r="AQ92">
        <v>0.9</v>
      </c>
      <c r="AV92">
        <v>0.26</v>
      </c>
      <c r="BG92" t="s">
        <v>312</v>
      </c>
      <c r="BH92" t="s">
        <v>599</v>
      </c>
      <c r="BI92" s="10" t="s">
        <v>568</v>
      </c>
      <c r="BK92" s="10" t="s">
        <v>137</v>
      </c>
      <c r="BL92" s="17">
        <v>3.55</v>
      </c>
      <c r="BN92" s="17">
        <v>5.3999999999999999E-2</v>
      </c>
      <c r="CE92" s="10" t="s">
        <v>600</v>
      </c>
      <c r="CG92" t="s">
        <v>572</v>
      </c>
      <c r="CH92" s="10" t="s">
        <v>573</v>
      </c>
    </row>
    <row r="93" spans="1:86" x14ac:dyDescent="0.3">
      <c r="A93">
        <v>89</v>
      </c>
      <c r="B93" t="s">
        <v>328</v>
      </c>
      <c r="C93" t="s">
        <v>329</v>
      </c>
      <c r="D93" t="s">
        <v>594</v>
      </c>
      <c r="E93" t="s">
        <v>595</v>
      </c>
      <c r="F93" t="s">
        <v>577</v>
      </c>
      <c r="G93" t="s">
        <v>578</v>
      </c>
      <c r="I93" t="s">
        <v>567</v>
      </c>
      <c r="S93">
        <v>39</v>
      </c>
      <c r="AI93">
        <v>6</v>
      </c>
      <c r="AK93">
        <v>5</v>
      </c>
      <c r="AL93">
        <v>0.9</v>
      </c>
      <c r="AQ93">
        <f t="shared" ref="AQ93:AQ128" si="1">1.48+2.48</f>
        <v>3.96</v>
      </c>
      <c r="AV93" t="s">
        <v>26</v>
      </c>
      <c r="BG93" t="s">
        <v>311</v>
      </c>
      <c r="BH93" t="s">
        <v>316</v>
      </c>
      <c r="BI93" s="10" t="s">
        <v>568</v>
      </c>
      <c r="BJ93" s="10" t="s">
        <v>569</v>
      </c>
      <c r="BK93" s="10" t="s">
        <v>41</v>
      </c>
      <c r="BL93" s="17">
        <v>1</v>
      </c>
      <c r="CE93" s="10" t="s">
        <v>603</v>
      </c>
      <c r="CF93" t="s">
        <v>604</v>
      </c>
      <c r="CG93" t="s">
        <v>572</v>
      </c>
      <c r="CH93" s="10" t="s">
        <v>573</v>
      </c>
    </row>
    <row r="94" spans="1:86" x14ac:dyDescent="0.3">
      <c r="A94">
        <v>90</v>
      </c>
      <c r="B94" t="s">
        <v>328</v>
      </c>
      <c r="C94" t="s">
        <v>329</v>
      </c>
      <c r="D94" t="s">
        <v>594</v>
      </c>
      <c r="E94" t="s">
        <v>595</v>
      </c>
      <c r="F94" t="s">
        <v>577</v>
      </c>
      <c r="G94" t="s">
        <v>578</v>
      </c>
      <c r="I94" t="s">
        <v>567</v>
      </c>
      <c r="S94">
        <v>79</v>
      </c>
      <c r="AI94">
        <v>6</v>
      </c>
      <c r="AK94">
        <v>5</v>
      </c>
      <c r="AL94">
        <v>0.9</v>
      </c>
      <c r="AQ94">
        <f t="shared" si="1"/>
        <v>3.96</v>
      </c>
      <c r="AV94" t="s">
        <v>26</v>
      </c>
      <c r="BG94" t="s">
        <v>311</v>
      </c>
      <c r="BH94" t="s">
        <v>316</v>
      </c>
      <c r="BI94" s="10" t="s">
        <v>568</v>
      </c>
      <c r="BJ94" s="10" t="s">
        <v>569</v>
      </c>
      <c r="BK94" s="10" t="s">
        <v>41</v>
      </c>
      <c r="BL94" s="17">
        <v>2</v>
      </c>
      <c r="CE94" s="10" t="s">
        <v>603</v>
      </c>
      <c r="CF94" t="s">
        <v>604</v>
      </c>
      <c r="CG94" t="s">
        <v>572</v>
      </c>
      <c r="CH94" s="10" t="s">
        <v>573</v>
      </c>
    </row>
    <row r="95" spans="1:86" x14ac:dyDescent="0.3">
      <c r="A95">
        <v>91</v>
      </c>
      <c r="B95" t="s">
        <v>328</v>
      </c>
      <c r="C95" t="s">
        <v>329</v>
      </c>
      <c r="D95" t="s">
        <v>594</v>
      </c>
      <c r="E95" t="s">
        <v>595</v>
      </c>
      <c r="F95" t="s">
        <v>577</v>
      </c>
      <c r="G95" t="s">
        <v>578</v>
      </c>
      <c r="I95" t="s">
        <v>567</v>
      </c>
      <c r="S95">
        <v>118</v>
      </c>
      <c r="AI95">
        <v>6</v>
      </c>
      <c r="AK95">
        <v>5</v>
      </c>
      <c r="AL95">
        <v>0.9</v>
      </c>
      <c r="AQ95">
        <f t="shared" si="1"/>
        <v>3.96</v>
      </c>
      <c r="AV95" t="s">
        <v>26</v>
      </c>
      <c r="BG95" t="s">
        <v>311</v>
      </c>
      <c r="BH95" t="s">
        <v>316</v>
      </c>
      <c r="BI95" s="10" t="s">
        <v>568</v>
      </c>
      <c r="BJ95" s="10" t="s">
        <v>569</v>
      </c>
      <c r="BK95" s="10" t="s">
        <v>41</v>
      </c>
      <c r="BL95" s="17">
        <v>3</v>
      </c>
      <c r="CE95" s="10" t="s">
        <v>603</v>
      </c>
      <c r="CF95" t="s">
        <v>604</v>
      </c>
      <c r="CG95" t="s">
        <v>572</v>
      </c>
      <c r="CH95" s="10" t="s">
        <v>573</v>
      </c>
    </row>
    <row r="96" spans="1:86" x14ac:dyDescent="0.3">
      <c r="A96">
        <v>92</v>
      </c>
      <c r="B96" t="s">
        <v>328</v>
      </c>
      <c r="C96" t="s">
        <v>329</v>
      </c>
      <c r="D96" t="s">
        <v>594</v>
      </c>
      <c r="E96" t="s">
        <v>595</v>
      </c>
      <c r="F96" t="s">
        <v>577</v>
      </c>
      <c r="G96" t="s">
        <v>578</v>
      </c>
      <c r="I96" t="s">
        <v>567</v>
      </c>
      <c r="S96">
        <v>156</v>
      </c>
      <c r="AI96">
        <v>6</v>
      </c>
      <c r="AK96">
        <v>5</v>
      </c>
      <c r="AL96">
        <v>0.9</v>
      </c>
      <c r="AQ96">
        <f t="shared" si="1"/>
        <v>3.96</v>
      </c>
      <c r="AV96" t="s">
        <v>26</v>
      </c>
      <c r="BG96" t="s">
        <v>311</v>
      </c>
      <c r="BH96" t="s">
        <v>316</v>
      </c>
      <c r="BI96" s="10" t="s">
        <v>568</v>
      </c>
      <c r="BJ96" s="10" t="s">
        <v>569</v>
      </c>
      <c r="BK96" s="10" t="s">
        <v>41</v>
      </c>
      <c r="BL96" s="17">
        <v>4</v>
      </c>
      <c r="CE96" s="10" t="s">
        <v>603</v>
      </c>
      <c r="CF96" t="s">
        <v>604</v>
      </c>
      <c r="CG96" t="s">
        <v>572</v>
      </c>
      <c r="CH96" s="10" t="s">
        <v>573</v>
      </c>
    </row>
    <row r="97" spans="1:86" x14ac:dyDescent="0.3">
      <c r="A97">
        <v>93</v>
      </c>
      <c r="B97" t="s">
        <v>328</v>
      </c>
      <c r="C97" t="s">
        <v>329</v>
      </c>
      <c r="D97" t="s">
        <v>596</v>
      </c>
      <c r="E97" t="s">
        <v>595</v>
      </c>
      <c r="F97" t="s">
        <v>577</v>
      </c>
      <c r="G97" t="s">
        <v>578</v>
      </c>
      <c r="I97" t="s">
        <v>567</v>
      </c>
      <c r="S97">
        <v>20</v>
      </c>
      <c r="AI97">
        <v>6</v>
      </c>
      <c r="AK97">
        <v>5</v>
      </c>
      <c r="AL97">
        <v>0.9</v>
      </c>
      <c r="AQ97">
        <f t="shared" si="1"/>
        <v>3.96</v>
      </c>
      <c r="AV97" t="s">
        <v>26</v>
      </c>
      <c r="BG97" t="s">
        <v>311</v>
      </c>
      <c r="BH97" t="s">
        <v>316</v>
      </c>
      <c r="BI97" s="10" t="s">
        <v>568</v>
      </c>
      <c r="BK97" s="10" t="s">
        <v>41</v>
      </c>
      <c r="BL97" s="17">
        <v>1</v>
      </c>
      <c r="CE97" s="10" t="s">
        <v>605</v>
      </c>
      <c r="CF97" t="s">
        <v>604</v>
      </c>
      <c r="CG97" t="s">
        <v>572</v>
      </c>
      <c r="CH97" s="10" t="s">
        <v>573</v>
      </c>
    </row>
    <row r="98" spans="1:86" x14ac:dyDescent="0.3">
      <c r="A98">
        <v>94</v>
      </c>
      <c r="B98" t="s">
        <v>328</v>
      </c>
      <c r="C98" t="s">
        <v>329</v>
      </c>
      <c r="D98" t="s">
        <v>596</v>
      </c>
      <c r="E98" t="s">
        <v>595</v>
      </c>
      <c r="F98" t="s">
        <v>577</v>
      </c>
      <c r="G98" t="s">
        <v>578</v>
      </c>
      <c r="I98" t="s">
        <v>567</v>
      </c>
      <c r="S98">
        <v>38</v>
      </c>
      <c r="AI98">
        <v>6</v>
      </c>
      <c r="AK98">
        <v>5</v>
      </c>
      <c r="AL98">
        <v>0.9</v>
      </c>
      <c r="AQ98">
        <f t="shared" si="1"/>
        <v>3.96</v>
      </c>
      <c r="AV98" t="s">
        <v>26</v>
      </c>
      <c r="BG98" t="s">
        <v>311</v>
      </c>
      <c r="BH98" t="s">
        <v>316</v>
      </c>
      <c r="BI98" s="10" t="s">
        <v>568</v>
      </c>
      <c r="BK98" s="10" t="s">
        <v>41</v>
      </c>
      <c r="BL98" s="17">
        <v>2</v>
      </c>
      <c r="CE98" s="10" t="s">
        <v>605</v>
      </c>
      <c r="CF98" t="s">
        <v>604</v>
      </c>
      <c r="CG98" t="s">
        <v>572</v>
      </c>
      <c r="CH98" s="10" t="s">
        <v>573</v>
      </c>
    </row>
    <row r="99" spans="1:86" x14ac:dyDescent="0.3">
      <c r="A99">
        <v>95</v>
      </c>
      <c r="B99" t="s">
        <v>328</v>
      </c>
      <c r="C99" t="s">
        <v>329</v>
      </c>
      <c r="D99" t="s">
        <v>596</v>
      </c>
      <c r="E99" t="s">
        <v>595</v>
      </c>
      <c r="F99" t="s">
        <v>577</v>
      </c>
      <c r="G99" t="s">
        <v>578</v>
      </c>
      <c r="I99" t="s">
        <v>567</v>
      </c>
      <c r="S99">
        <v>58</v>
      </c>
      <c r="AI99">
        <v>6</v>
      </c>
      <c r="AK99">
        <v>5</v>
      </c>
      <c r="AL99">
        <v>0.9</v>
      </c>
      <c r="AQ99">
        <f t="shared" si="1"/>
        <v>3.96</v>
      </c>
      <c r="AV99" t="s">
        <v>26</v>
      </c>
      <c r="BG99" t="s">
        <v>311</v>
      </c>
      <c r="BH99" t="s">
        <v>316</v>
      </c>
      <c r="BI99" s="10" t="s">
        <v>568</v>
      </c>
      <c r="BK99" s="10" t="s">
        <v>41</v>
      </c>
      <c r="BL99" s="17">
        <v>3</v>
      </c>
      <c r="CE99" s="10" t="s">
        <v>605</v>
      </c>
      <c r="CF99" t="s">
        <v>604</v>
      </c>
      <c r="CG99" t="s">
        <v>572</v>
      </c>
      <c r="CH99" s="10" t="s">
        <v>573</v>
      </c>
    </row>
    <row r="100" spans="1:86" x14ac:dyDescent="0.3">
      <c r="A100">
        <v>96</v>
      </c>
      <c r="B100" t="s">
        <v>328</v>
      </c>
      <c r="C100" t="s">
        <v>329</v>
      </c>
      <c r="D100" t="s">
        <v>596</v>
      </c>
      <c r="E100" t="s">
        <v>595</v>
      </c>
      <c r="F100" t="s">
        <v>577</v>
      </c>
      <c r="G100" t="s">
        <v>578</v>
      </c>
      <c r="I100" t="s">
        <v>567</v>
      </c>
      <c r="S100">
        <v>77</v>
      </c>
      <c r="AI100">
        <v>6</v>
      </c>
      <c r="AK100">
        <v>5</v>
      </c>
      <c r="AL100">
        <v>0.9</v>
      </c>
      <c r="AQ100">
        <f t="shared" si="1"/>
        <v>3.96</v>
      </c>
      <c r="AV100" t="s">
        <v>26</v>
      </c>
      <c r="BG100" t="s">
        <v>311</v>
      </c>
      <c r="BH100" t="s">
        <v>316</v>
      </c>
      <c r="BI100" s="10" t="s">
        <v>568</v>
      </c>
      <c r="BK100" s="10" t="s">
        <v>41</v>
      </c>
      <c r="BL100" s="17">
        <v>4</v>
      </c>
      <c r="CE100" s="10" t="s">
        <v>605</v>
      </c>
      <c r="CF100" t="s">
        <v>604</v>
      </c>
      <c r="CG100" t="s">
        <v>572</v>
      </c>
      <c r="CH100" s="10" t="s">
        <v>573</v>
      </c>
    </row>
    <row r="101" spans="1:86" x14ac:dyDescent="0.3">
      <c r="A101">
        <v>97</v>
      </c>
      <c r="B101" t="s">
        <v>328</v>
      </c>
      <c r="C101" t="s">
        <v>333</v>
      </c>
      <c r="D101" t="s">
        <v>606</v>
      </c>
      <c r="E101" t="s">
        <v>595</v>
      </c>
      <c r="F101" t="s">
        <v>577</v>
      </c>
      <c r="G101" t="s">
        <v>578</v>
      </c>
      <c r="I101" t="s">
        <v>567</v>
      </c>
      <c r="N101">
        <v>5</v>
      </c>
      <c r="S101">
        <v>44</v>
      </c>
      <c r="AI101">
        <v>6</v>
      </c>
      <c r="AK101">
        <v>5</v>
      </c>
      <c r="AL101">
        <v>0.9</v>
      </c>
      <c r="AQ101">
        <f t="shared" si="1"/>
        <v>3.96</v>
      </c>
      <c r="AV101" t="s">
        <v>26</v>
      </c>
      <c r="BG101" t="s">
        <v>311</v>
      </c>
      <c r="BH101" t="s">
        <v>316</v>
      </c>
      <c r="BI101" s="10" t="s">
        <v>568</v>
      </c>
      <c r="BK101" s="10" t="s">
        <v>41</v>
      </c>
      <c r="BL101" s="17">
        <v>1</v>
      </c>
      <c r="CE101" s="10" t="s">
        <v>607</v>
      </c>
      <c r="CF101" t="s">
        <v>604</v>
      </c>
      <c r="CG101" t="s">
        <v>572</v>
      </c>
      <c r="CH101" s="10" t="s">
        <v>573</v>
      </c>
    </row>
    <row r="102" spans="1:86" x14ac:dyDescent="0.3">
      <c r="A102">
        <v>98</v>
      </c>
      <c r="B102" t="s">
        <v>328</v>
      </c>
      <c r="C102" t="s">
        <v>333</v>
      </c>
      <c r="D102" t="s">
        <v>606</v>
      </c>
      <c r="E102" t="s">
        <v>595</v>
      </c>
      <c r="F102" t="s">
        <v>577</v>
      </c>
      <c r="G102" t="s">
        <v>578</v>
      </c>
      <c r="I102" t="s">
        <v>567</v>
      </c>
      <c r="N102">
        <v>5</v>
      </c>
      <c r="S102">
        <v>89</v>
      </c>
      <c r="AI102">
        <v>6</v>
      </c>
      <c r="AK102">
        <v>5</v>
      </c>
      <c r="AL102">
        <v>0.9</v>
      </c>
      <c r="AQ102">
        <f t="shared" si="1"/>
        <v>3.96</v>
      </c>
      <c r="AV102" t="s">
        <v>26</v>
      </c>
      <c r="BG102" t="s">
        <v>311</v>
      </c>
      <c r="BH102" t="s">
        <v>316</v>
      </c>
      <c r="BI102" s="10" t="s">
        <v>568</v>
      </c>
      <c r="BK102" s="10" t="s">
        <v>41</v>
      </c>
      <c r="BL102" s="17">
        <v>2</v>
      </c>
      <c r="CE102" s="10" t="s">
        <v>607</v>
      </c>
      <c r="CF102" t="s">
        <v>604</v>
      </c>
      <c r="CG102" t="s">
        <v>572</v>
      </c>
      <c r="CH102" s="10" t="s">
        <v>573</v>
      </c>
    </row>
    <row r="103" spans="1:86" x14ac:dyDescent="0.3">
      <c r="A103">
        <v>99</v>
      </c>
      <c r="B103" t="s">
        <v>328</v>
      </c>
      <c r="C103" t="s">
        <v>333</v>
      </c>
      <c r="D103" t="s">
        <v>606</v>
      </c>
      <c r="E103" t="s">
        <v>595</v>
      </c>
      <c r="F103" t="s">
        <v>577</v>
      </c>
      <c r="G103" t="s">
        <v>578</v>
      </c>
      <c r="I103" t="s">
        <v>567</v>
      </c>
      <c r="N103">
        <v>5</v>
      </c>
      <c r="S103">
        <v>133</v>
      </c>
      <c r="AI103">
        <v>6</v>
      </c>
      <c r="AK103">
        <v>5</v>
      </c>
      <c r="AL103">
        <v>0.9</v>
      </c>
      <c r="AQ103">
        <f t="shared" si="1"/>
        <v>3.96</v>
      </c>
      <c r="AV103" t="s">
        <v>26</v>
      </c>
      <c r="BG103" t="s">
        <v>311</v>
      </c>
      <c r="BH103" t="s">
        <v>316</v>
      </c>
      <c r="BI103" s="10" t="s">
        <v>568</v>
      </c>
      <c r="BK103" s="10" t="s">
        <v>41</v>
      </c>
      <c r="BL103" s="17">
        <v>3</v>
      </c>
      <c r="CE103" s="10" t="s">
        <v>607</v>
      </c>
      <c r="CF103" t="s">
        <v>604</v>
      </c>
      <c r="CG103" t="s">
        <v>572</v>
      </c>
      <c r="CH103" s="10" t="s">
        <v>573</v>
      </c>
    </row>
    <row r="104" spans="1:86" x14ac:dyDescent="0.3">
      <c r="A104">
        <v>100</v>
      </c>
      <c r="B104" t="s">
        <v>328</v>
      </c>
      <c r="C104" t="s">
        <v>333</v>
      </c>
      <c r="D104" t="s">
        <v>606</v>
      </c>
      <c r="E104" t="s">
        <v>595</v>
      </c>
      <c r="F104" t="s">
        <v>577</v>
      </c>
      <c r="G104" t="s">
        <v>578</v>
      </c>
      <c r="I104" t="s">
        <v>567</v>
      </c>
      <c r="N104">
        <v>5</v>
      </c>
      <c r="S104">
        <v>178</v>
      </c>
      <c r="AI104">
        <v>6</v>
      </c>
      <c r="AK104">
        <v>5</v>
      </c>
      <c r="AL104">
        <v>0.9</v>
      </c>
      <c r="AQ104">
        <f t="shared" si="1"/>
        <v>3.96</v>
      </c>
      <c r="AV104" t="s">
        <v>26</v>
      </c>
      <c r="BG104" t="s">
        <v>311</v>
      </c>
      <c r="BH104" t="s">
        <v>316</v>
      </c>
      <c r="BI104" s="10" t="s">
        <v>568</v>
      </c>
      <c r="BK104" s="10" t="s">
        <v>41</v>
      </c>
      <c r="BL104" s="17">
        <v>4</v>
      </c>
      <c r="CE104" s="10" t="s">
        <v>607</v>
      </c>
      <c r="CF104" t="s">
        <v>604</v>
      </c>
      <c r="CG104" t="s">
        <v>572</v>
      </c>
      <c r="CH104" s="10" t="s">
        <v>573</v>
      </c>
    </row>
    <row r="105" spans="1:86" x14ac:dyDescent="0.3">
      <c r="A105">
        <v>101</v>
      </c>
      <c r="B105" t="s">
        <v>328</v>
      </c>
      <c r="C105" t="s">
        <v>329</v>
      </c>
      <c r="D105" t="s">
        <v>594</v>
      </c>
      <c r="E105" t="s">
        <v>595</v>
      </c>
      <c r="F105" t="s">
        <v>577</v>
      </c>
      <c r="G105" t="s">
        <v>578</v>
      </c>
      <c r="I105" t="s">
        <v>567</v>
      </c>
      <c r="S105">
        <v>7</v>
      </c>
      <c r="AI105">
        <v>6</v>
      </c>
      <c r="AK105">
        <v>5</v>
      </c>
      <c r="AL105">
        <v>0.9</v>
      </c>
      <c r="AQ105">
        <f t="shared" si="1"/>
        <v>3.96</v>
      </c>
      <c r="AV105" t="s">
        <v>26</v>
      </c>
      <c r="BG105" t="s">
        <v>311</v>
      </c>
      <c r="BH105" t="s">
        <v>608</v>
      </c>
      <c r="BI105" s="10" t="s">
        <v>568</v>
      </c>
      <c r="BK105" s="10" t="s">
        <v>41</v>
      </c>
      <c r="BL105" s="17">
        <v>1</v>
      </c>
      <c r="CE105" s="10" t="s">
        <v>603</v>
      </c>
      <c r="CF105" t="s">
        <v>604</v>
      </c>
      <c r="CG105" t="s">
        <v>572</v>
      </c>
      <c r="CH105" s="10" t="s">
        <v>573</v>
      </c>
    </row>
    <row r="106" spans="1:86" x14ac:dyDescent="0.3">
      <c r="A106">
        <v>102</v>
      </c>
      <c r="B106" t="s">
        <v>328</v>
      </c>
      <c r="C106" t="s">
        <v>329</v>
      </c>
      <c r="D106" t="s">
        <v>594</v>
      </c>
      <c r="E106" t="s">
        <v>595</v>
      </c>
      <c r="F106" t="s">
        <v>577</v>
      </c>
      <c r="G106" t="s">
        <v>578</v>
      </c>
      <c r="I106" t="s">
        <v>567</v>
      </c>
      <c r="S106">
        <v>16</v>
      </c>
      <c r="AI106">
        <v>6</v>
      </c>
      <c r="AK106">
        <v>5</v>
      </c>
      <c r="AL106">
        <v>0.9</v>
      </c>
      <c r="AQ106">
        <f t="shared" si="1"/>
        <v>3.96</v>
      </c>
      <c r="AV106" t="s">
        <v>26</v>
      </c>
      <c r="BG106" t="s">
        <v>311</v>
      </c>
      <c r="BH106" t="s">
        <v>608</v>
      </c>
      <c r="BI106" s="10" t="s">
        <v>568</v>
      </c>
      <c r="BK106" s="10" t="s">
        <v>41</v>
      </c>
      <c r="BL106" s="17">
        <v>2</v>
      </c>
      <c r="CE106" s="10" t="s">
        <v>603</v>
      </c>
      <c r="CF106" t="s">
        <v>604</v>
      </c>
      <c r="CG106" t="s">
        <v>572</v>
      </c>
      <c r="CH106" s="10" t="s">
        <v>573</v>
      </c>
    </row>
    <row r="107" spans="1:86" x14ac:dyDescent="0.3">
      <c r="A107">
        <v>103</v>
      </c>
      <c r="B107" t="s">
        <v>328</v>
      </c>
      <c r="C107" t="s">
        <v>329</v>
      </c>
      <c r="D107" t="s">
        <v>594</v>
      </c>
      <c r="E107" t="s">
        <v>595</v>
      </c>
      <c r="F107" t="s">
        <v>577</v>
      </c>
      <c r="G107" t="s">
        <v>578</v>
      </c>
      <c r="I107" t="s">
        <v>567</v>
      </c>
      <c r="S107">
        <v>23</v>
      </c>
      <c r="AI107">
        <v>6</v>
      </c>
      <c r="AK107">
        <v>5</v>
      </c>
      <c r="AL107">
        <v>0.9</v>
      </c>
      <c r="AQ107">
        <f t="shared" si="1"/>
        <v>3.96</v>
      </c>
      <c r="AV107" t="s">
        <v>26</v>
      </c>
      <c r="BG107" t="s">
        <v>311</v>
      </c>
      <c r="BH107" t="s">
        <v>608</v>
      </c>
      <c r="BI107" s="10" t="s">
        <v>568</v>
      </c>
      <c r="BK107" s="10" t="s">
        <v>41</v>
      </c>
      <c r="BL107" s="17">
        <v>3</v>
      </c>
      <c r="CE107" s="10" t="s">
        <v>603</v>
      </c>
      <c r="CF107" t="s">
        <v>604</v>
      </c>
      <c r="CG107" t="s">
        <v>572</v>
      </c>
      <c r="CH107" s="10" t="s">
        <v>573</v>
      </c>
    </row>
    <row r="108" spans="1:86" x14ac:dyDescent="0.3">
      <c r="A108">
        <v>104</v>
      </c>
      <c r="B108" t="s">
        <v>328</v>
      </c>
      <c r="C108" t="s">
        <v>329</v>
      </c>
      <c r="D108" t="s">
        <v>594</v>
      </c>
      <c r="E108" t="s">
        <v>595</v>
      </c>
      <c r="F108" t="s">
        <v>577</v>
      </c>
      <c r="G108" t="s">
        <v>578</v>
      </c>
      <c r="I108" t="s">
        <v>567</v>
      </c>
      <c r="S108">
        <v>32</v>
      </c>
      <c r="AI108">
        <v>6</v>
      </c>
      <c r="AK108">
        <v>5</v>
      </c>
      <c r="AL108">
        <v>0.9</v>
      </c>
      <c r="AQ108">
        <f t="shared" si="1"/>
        <v>3.96</v>
      </c>
      <c r="AV108" t="s">
        <v>26</v>
      </c>
      <c r="BG108" t="s">
        <v>311</v>
      </c>
      <c r="BH108" t="s">
        <v>608</v>
      </c>
      <c r="BI108" s="10" t="s">
        <v>568</v>
      </c>
      <c r="BK108" s="10" t="s">
        <v>41</v>
      </c>
      <c r="BL108" s="17">
        <v>4</v>
      </c>
      <c r="CE108" s="10" t="s">
        <v>603</v>
      </c>
      <c r="CF108" t="s">
        <v>604</v>
      </c>
      <c r="CG108" t="s">
        <v>572</v>
      </c>
      <c r="CH108" s="10" t="s">
        <v>573</v>
      </c>
    </row>
    <row r="109" spans="1:86" x14ac:dyDescent="0.3">
      <c r="A109">
        <v>105</v>
      </c>
      <c r="B109" t="s">
        <v>328</v>
      </c>
      <c r="C109" t="s">
        <v>329</v>
      </c>
      <c r="D109" t="s">
        <v>596</v>
      </c>
      <c r="E109" t="s">
        <v>595</v>
      </c>
      <c r="F109" t="s">
        <v>577</v>
      </c>
      <c r="G109" t="s">
        <v>578</v>
      </c>
      <c r="I109" t="s">
        <v>567</v>
      </c>
      <c r="S109">
        <v>7</v>
      </c>
      <c r="AI109">
        <v>6</v>
      </c>
      <c r="AK109">
        <v>5</v>
      </c>
      <c r="AL109">
        <v>0.9</v>
      </c>
      <c r="AQ109">
        <f t="shared" si="1"/>
        <v>3.96</v>
      </c>
      <c r="AV109" t="s">
        <v>26</v>
      </c>
      <c r="BG109" t="s">
        <v>311</v>
      </c>
      <c r="BH109" t="s">
        <v>608</v>
      </c>
      <c r="BI109" s="10" t="s">
        <v>568</v>
      </c>
      <c r="BK109" s="10" t="s">
        <v>41</v>
      </c>
      <c r="BL109" s="17">
        <v>1</v>
      </c>
      <c r="CE109" s="10" t="s">
        <v>605</v>
      </c>
      <c r="CF109" t="s">
        <v>604</v>
      </c>
      <c r="CG109" t="s">
        <v>572</v>
      </c>
      <c r="CH109" s="10" t="s">
        <v>573</v>
      </c>
    </row>
    <row r="110" spans="1:86" x14ac:dyDescent="0.3">
      <c r="A110">
        <v>106</v>
      </c>
      <c r="B110" t="s">
        <v>328</v>
      </c>
      <c r="C110" t="s">
        <v>329</v>
      </c>
      <c r="D110" t="s">
        <v>596</v>
      </c>
      <c r="E110" t="s">
        <v>595</v>
      </c>
      <c r="F110" t="s">
        <v>577</v>
      </c>
      <c r="G110" t="s">
        <v>578</v>
      </c>
      <c r="I110" t="s">
        <v>567</v>
      </c>
      <c r="S110">
        <v>12</v>
      </c>
      <c r="AI110">
        <v>6</v>
      </c>
      <c r="AK110">
        <v>5</v>
      </c>
      <c r="AL110">
        <v>0.9</v>
      </c>
      <c r="AQ110">
        <f t="shared" si="1"/>
        <v>3.96</v>
      </c>
      <c r="AV110" t="s">
        <v>26</v>
      </c>
      <c r="BG110" t="s">
        <v>311</v>
      </c>
      <c r="BH110" t="s">
        <v>608</v>
      </c>
      <c r="BI110" s="10" t="s">
        <v>568</v>
      </c>
      <c r="BK110" s="10" t="s">
        <v>41</v>
      </c>
      <c r="BL110" s="17">
        <v>2</v>
      </c>
      <c r="CE110" s="10" t="s">
        <v>605</v>
      </c>
      <c r="CF110" t="s">
        <v>604</v>
      </c>
      <c r="CG110" t="s">
        <v>572</v>
      </c>
      <c r="CH110" s="10" t="s">
        <v>573</v>
      </c>
    </row>
    <row r="111" spans="1:86" x14ac:dyDescent="0.3">
      <c r="A111">
        <v>107</v>
      </c>
      <c r="B111" t="s">
        <v>328</v>
      </c>
      <c r="C111" t="s">
        <v>329</v>
      </c>
      <c r="D111" t="s">
        <v>596</v>
      </c>
      <c r="E111" t="s">
        <v>595</v>
      </c>
      <c r="F111" t="s">
        <v>577</v>
      </c>
      <c r="G111" t="s">
        <v>578</v>
      </c>
      <c r="I111" t="s">
        <v>567</v>
      </c>
      <c r="S111">
        <v>19</v>
      </c>
      <c r="AI111">
        <v>6</v>
      </c>
      <c r="AK111">
        <v>5</v>
      </c>
      <c r="AL111">
        <v>0.9</v>
      </c>
      <c r="AQ111">
        <f t="shared" si="1"/>
        <v>3.96</v>
      </c>
      <c r="AV111" t="s">
        <v>26</v>
      </c>
      <c r="BG111" t="s">
        <v>311</v>
      </c>
      <c r="BH111" t="s">
        <v>608</v>
      </c>
      <c r="BI111" s="10" t="s">
        <v>568</v>
      </c>
      <c r="BK111" s="10" t="s">
        <v>41</v>
      </c>
      <c r="BL111" s="17">
        <v>3</v>
      </c>
      <c r="CE111" s="10" t="s">
        <v>605</v>
      </c>
      <c r="CF111" t="s">
        <v>604</v>
      </c>
      <c r="CG111" t="s">
        <v>572</v>
      </c>
      <c r="CH111" s="10" t="s">
        <v>573</v>
      </c>
    </row>
    <row r="112" spans="1:86" x14ac:dyDescent="0.3">
      <c r="A112">
        <v>108</v>
      </c>
      <c r="B112" t="s">
        <v>328</v>
      </c>
      <c r="C112" t="s">
        <v>329</v>
      </c>
      <c r="D112" t="s">
        <v>596</v>
      </c>
      <c r="E112" t="s">
        <v>595</v>
      </c>
      <c r="F112" t="s">
        <v>577</v>
      </c>
      <c r="G112" t="s">
        <v>578</v>
      </c>
      <c r="I112" t="s">
        <v>567</v>
      </c>
      <c r="S112">
        <v>25</v>
      </c>
      <c r="AI112">
        <v>6</v>
      </c>
      <c r="AK112">
        <v>5</v>
      </c>
      <c r="AL112">
        <v>0.9</v>
      </c>
      <c r="AQ112">
        <f t="shared" si="1"/>
        <v>3.96</v>
      </c>
      <c r="AV112" t="s">
        <v>26</v>
      </c>
      <c r="BG112" t="s">
        <v>311</v>
      </c>
      <c r="BH112" t="s">
        <v>608</v>
      </c>
      <c r="BI112" s="10" t="s">
        <v>568</v>
      </c>
      <c r="BK112" s="10" t="s">
        <v>41</v>
      </c>
      <c r="BL112" s="17">
        <v>4</v>
      </c>
      <c r="CE112" s="10" t="s">
        <v>605</v>
      </c>
      <c r="CF112" t="s">
        <v>604</v>
      </c>
      <c r="CG112" t="s">
        <v>572</v>
      </c>
      <c r="CH112" s="10" t="s">
        <v>573</v>
      </c>
    </row>
    <row r="113" spans="1:86" x14ac:dyDescent="0.3">
      <c r="A113">
        <v>109</v>
      </c>
      <c r="B113" t="s">
        <v>328</v>
      </c>
      <c r="C113" t="s">
        <v>333</v>
      </c>
      <c r="D113" t="s">
        <v>606</v>
      </c>
      <c r="E113" t="s">
        <v>595</v>
      </c>
      <c r="F113" t="s">
        <v>577</v>
      </c>
      <c r="G113" t="s">
        <v>578</v>
      </c>
      <c r="I113" t="s">
        <v>567</v>
      </c>
      <c r="N113">
        <v>5</v>
      </c>
      <c r="S113">
        <v>4</v>
      </c>
      <c r="AI113">
        <v>6</v>
      </c>
      <c r="AK113">
        <v>5</v>
      </c>
      <c r="AL113">
        <v>0.9</v>
      </c>
      <c r="AQ113">
        <f t="shared" si="1"/>
        <v>3.96</v>
      </c>
      <c r="AV113" t="s">
        <v>26</v>
      </c>
      <c r="BG113" t="s">
        <v>311</v>
      </c>
      <c r="BH113" t="s">
        <v>608</v>
      </c>
      <c r="BI113" s="10" t="s">
        <v>568</v>
      </c>
      <c r="BK113" s="10" t="s">
        <v>41</v>
      </c>
      <c r="BL113" s="17">
        <v>1</v>
      </c>
      <c r="CE113" s="10" t="s">
        <v>607</v>
      </c>
      <c r="CF113" t="s">
        <v>604</v>
      </c>
      <c r="CG113" t="s">
        <v>572</v>
      </c>
      <c r="CH113" s="10" t="s">
        <v>573</v>
      </c>
    </row>
    <row r="114" spans="1:86" x14ac:dyDescent="0.3">
      <c r="A114">
        <v>110</v>
      </c>
      <c r="B114" t="s">
        <v>328</v>
      </c>
      <c r="C114" t="s">
        <v>333</v>
      </c>
      <c r="D114" t="s">
        <v>606</v>
      </c>
      <c r="E114" t="s">
        <v>595</v>
      </c>
      <c r="F114" t="s">
        <v>577</v>
      </c>
      <c r="G114" t="s">
        <v>578</v>
      </c>
      <c r="I114" t="s">
        <v>567</v>
      </c>
      <c r="N114">
        <v>5</v>
      </c>
      <c r="S114">
        <v>7</v>
      </c>
      <c r="AI114">
        <v>6</v>
      </c>
      <c r="AK114">
        <v>5</v>
      </c>
      <c r="AL114">
        <v>0.9</v>
      </c>
      <c r="AQ114">
        <f t="shared" si="1"/>
        <v>3.96</v>
      </c>
      <c r="AV114" t="s">
        <v>26</v>
      </c>
      <c r="BG114" t="s">
        <v>311</v>
      </c>
      <c r="BH114" t="s">
        <v>608</v>
      </c>
      <c r="BI114" s="10" t="s">
        <v>568</v>
      </c>
      <c r="BK114" s="10" t="s">
        <v>41</v>
      </c>
      <c r="BL114" s="17">
        <v>2</v>
      </c>
      <c r="CE114" s="10" t="s">
        <v>607</v>
      </c>
      <c r="CF114" t="s">
        <v>604</v>
      </c>
      <c r="CG114" t="s">
        <v>572</v>
      </c>
      <c r="CH114" s="10" t="s">
        <v>573</v>
      </c>
    </row>
    <row r="115" spans="1:86" x14ac:dyDescent="0.3">
      <c r="A115">
        <v>111</v>
      </c>
      <c r="B115" t="s">
        <v>328</v>
      </c>
      <c r="C115" t="s">
        <v>333</v>
      </c>
      <c r="D115" t="s">
        <v>606</v>
      </c>
      <c r="E115" t="s">
        <v>595</v>
      </c>
      <c r="F115" t="s">
        <v>577</v>
      </c>
      <c r="G115" t="s">
        <v>578</v>
      </c>
      <c r="I115" t="s">
        <v>567</v>
      </c>
      <c r="N115">
        <v>5</v>
      </c>
      <c r="S115">
        <v>11</v>
      </c>
      <c r="AI115">
        <v>6</v>
      </c>
      <c r="AK115">
        <v>5</v>
      </c>
      <c r="AL115">
        <v>0.9</v>
      </c>
      <c r="AQ115">
        <f t="shared" si="1"/>
        <v>3.96</v>
      </c>
      <c r="AV115" t="s">
        <v>26</v>
      </c>
      <c r="BG115" t="s">
        <v>311</v>
      </c>
      <c r="BH115" t="s">
        <v>608</v>
      </c>
      <c r="BI115" s="10" t="s">
        <v>568</v>
      </c>
      <c r="BK115" s="10" t="s">
        <v>41</v>
      </c>
      <c r="BL115" s="17">
        <v>3</v>
      </c>
      <c r="CE115" s="10" t="s">
        <v>607</v>
      </c>
      <c r="CF115" t="s">
        <v>604</v>
      </c>
      <c r="CG115" t="s">
        <v>572</v>
      </c>
      <c r="CH115" s="10" t="s">
        <v>573</v>
      </c>
    </row>
    <row r="116" spans="1:86" x14ac:dyDescent="0.3">
      <c r="A116">
        <v>112</v>
      </c>
      <c r="B116" t="s">
        <v>328</v>
      </c>
      <c r="C116" t="s">
        <v>333</v>
      </c>
      <c r="D116" t="s">
        <v>606</v>
      </c>
      <c r="E116" t="s">
        <v>595</v>
      </c>
      <c r="F116" t="s">
        <v>577</v>
      </c>
      <c r="G116" t="s">
        <v>578</v>
      </c>
      <c r="I116" t="s">
        <v>567</v>
      </c>
      <c r="N116">
        <v>5</v>
      </c>
      <c r="S116">
        <v>16</v>
      </c>
      <c r="AI116">
        <v>6</v>
      </c>
      <c r="AK116">
        <v>5</v>
      </c>
      <c r="AL116">
        <v>0.9</v>
      </c>
      <c r="AQ116">
        <f t="shared" si="1"/>
        <v>3.96</v>
      </c>
      <c r="AV116" t="s">
        <v>26</v>
      </c>
      <c r="BG116" t="s">
        <v>311</v>
      </c>
      <c r="BH116" t="s">
        <v>608</v>
      </c>
      <c r="BI116" s="10" t="s">
        <v>568</v>
      </c>
      <c r="BK116" s="10" t="s">
        <v>41</v>
      </c>
      <c r="BL116" s="17">
        <v>4</v>
      </c>
      <c r="CE116" s="10" t="s">
        <v>607</v>
      </c>
      <c r="CF116" t="s">
        <v>604</v>
      </c>
      <c r="CG116" t="s">
        <v>572</v>
      </c>
      <c r="CH116" s="10" t="s">
        <v>573</v>
      </c>
    </row>
    <row r="117" spans="1:86" x14ac:dyDescent="0.3">
      <c r="A117">
        <v>113</v>
      </c>
      <c r="B117" t="s">
        <v>328</v>
      </c>
      <c r="C117" t="s">
        <v>329</v>
      </c>
      <c r="D117" t="s">
        <v>594</v>
      </c>
      <c r="E117" t="s">
        <v>595</v>
      </c>
      <c r="F117" t="s">
        <v>577</v>
      </c>
      <c r="G117" t="s">
        <v>578</v>
      </c>
      <c r="I117" t="s">
        <v>567</v>
      </c>
      <c r="S117">
        <v>25</v>
      </c>
      <c r="AI117">
        <v>6</v>
      </c>
      <c r="AK117">
        <v>5</v>
      </c>
      <c r="AL117">
        <v>0.9</v>
      </c>
      <c r="AQ117">
        <f t="shared" si="1"/>
        <v>3.96</v>
      </c>
      <c r="AV117" t="s">
        <v>26</v>
      </c>
      <c r="BG117" t="s">
        <v>311</v>
      </c>
      <c r="BH117" t="s">
        <v>609</v>
      </c>
      <c r="BI117" s="10" t="s">
        <v>568</v>
      </c>
      <c r="BK117" s="10" t="s">
        <v>41</v>
      </c>
      <c r="BL117" s="17">
        <v>1</v>
      </c>
      <c r="CE117" s="10" t="s">
        <v>603</v>
      </c>
      <c r="CF117" t="s">
        <v>604</v>
      </c>
      <c r="CG117" t="s">
        <v>572</v>
      </c>
      <c r="CH117" s="10" t="s">
        <v>573</v>
      </c>
    </row>
    <row r="118" spans="1:86" x14ac:dyDescent="0.3">
      <c r="A118">
        <v>114</v>
      </c>
      <c r="B118" t="s">
        <v>328</v>
      </c>
      <c r="C118" t="s">
        <v>329</v>
      </c>
      <c r="D118" t="s">
        <v>594</v>
      </c>
      <c r="E118" t="s">
        <v>595</v>
      </c>
      <c r="F118" t="s">
        <v>577</v>
      </c>
      <c r="G118" t="s">
        <v>578</v>
      </c>
      <c r="I118" t="s">
        <v>567</v>
      </c>
      <c r="S118">
        <v>51</v>
      </c>
      <c r="AI118">
        <v>6</v>
      </c>
      <c r="AK118">
        <v>5</v>
      </c>
      <c r="AL118">
        <v>0.9</v>
      </c>
      <c r="AQ118">
        <f t="shared" si="1"/>
        <v>3.96</v>
      </c>
      <c r="AV118" t="s">
        <v>26</v>
      </c>
      <c r="BG118" t="s">
        <v>311</v>
      </c>
      <c r="BH118" t="s">
        <v>609</v>
      </c>
      <c r="BI118" s="10" t="s">
        <v>568</v>
      </c>
      <c r="BK118" s="10" t="s">
        <v>41</v>
      </c>
      <c r="BL118" s="17">
        <v>2</v>
      </c>
      <c r="CE118" s="10" t="s">
        <v>603</v>
      </c>
      <c r="CF118" t="s">
        <v>604</v>
      </c>
      <c r="CG118" t="s">
        <v>572</v>
      </c>
      <c r="CH118" s="10" t="s">
        <v>573</v>
      </c>
    </row>
    <row r="119" spans="1:86" x14ac:dyDescent="0.3">
      <c r="A119">
        <v>115</v>
      </c>
      <c r="B119" t="s">
        <v>328</v>
      </c>
      <c r="C119" t="s">
        <v>329</v>
      </c>
      <c r="D119" t="s">
        <v>594</v>
      </c>
      <c r="E119" t="s">
        <v>595</v>
      </c>
      <c r="F119" t="s">
        <v>577</v>
      </c>
      <c r="G119" t="s">
        <v>578</v>
      </c>
      <c r="I119" t="s">
        <v>567</v>
      </c>
      <c r="S119">
        <v>75</v>
      </c>
      <c r="AI119">
        <v>6</v>
      </c>
      <c r="AK119">
        <v>5</v>
      </c>
      <c r="AL119">
        <v>0.9</v>
      </c>
      <c r="AQ119">
        <f t="shared" si="1"/>
        <v>3.96</v>
      </c>
      <c r="AV119" t="s">
        <v>26</v>
      </c>
      <c r="BG119" t="s">
        <v>311</v>
      </c>
      <c r="BH119" t="s">
        <v>609</v>
      </c>
      <c r="BI119" s="10" t="s">
        <v>568</v>
      </c>
      <c r="BK119" s="10" t="s">
        <v>41</v>
      </c>
      <c r="BL119" s="17">
        <v>3</v>
      </c>
      <c r="CE119" s="10" t="s">
        <v>603</v>
      </c>
      <c r="CF119" t="s">
        <v>604</v>
      </c>
      <c r="CG119" t="s">
        <v>572</v>
      </c>
      <c r="CH119" s="10" t="s">
        <v>573</v>
      </c>
    </row>
    <row r="120" spans="1:86" x14ac:dyDescent="0.3">
      <c r="A120">
        <v>116</v>
      </c>
      <c r="B120" t="s">
        <v>328</v>
      </c>
      <c r="C120" t="s">
        <v>329</v>
      </c>
      <c r="D120" t="s">
        <v>594</v>
      </c>
      <c r="E120" t="s">
        <v>595</v>
      </c>
      <c r="F120" t="s">
        <v>577</v>
      </c>
      <c r="G120" t="s">
        <v>578</v>
      </c>
      <c r="I120" t="s">
        <v>567</v>
      </c>
      <c r="S120">
        <v>100</v>
      </c>
      <c r="AI120">
        <v>6</v>
      </c>
      <c r="AK120">
        <v>5</v>
      </c>
      <c r="AL120">
        <v>0.9</v>
      </c>
      <c r="AQ120">
        <f t="shared" si="1"/>
        <v>3.96</v>
      </c>
      <c r="AV120" t="s">
        <v>26</v>
      </c>
      <c r="BG120" t="s">
        <v>311</v>
      </c>
      <c r="BH120" t="s">
        <v>609</v>
      </c>
      <c r="BI120" s="10" t="s">
        <v>568</v>
      </c>
      <c r="BK120" s="10" t="s">
        <v>41</v>
      </c>
      <c r="BL120" s="17">
        <v>4</v>
      </c>
      <c r="CE120" s="10" t="s">
        <v>603</v>
      </c>
      <c r="CF120" t="s">
        <v>604</v>
      </c>
      <c r="CG120" t="s">
        <v>572</v>
      </c>
      <c r="CH120" s="10" t="s">
        <v>573</v>
      </c>
    </row>
    <row r="121" spans="1:86" x14ac:dyDescent="0.3">
      <c r="A121">
        <v>117</v>
      </c>
      <c r="B121" t="s">
        <v>328</v>
      </c>
      <c r="C121" t="s">
        <v>329</v>
      </c>
      <c r="D121" t="s">
        <v>596</v>
      </c>
      <c r="E121" t="s">
        <v>595</v>
      </c>
      <c r="F121" t="s">
        <v>577</v>
      </c>
      <c r="G121" t="s">
        <v>578</v>
      </c>
      <c r="I121" t="s">
        <v>567</v>
      </c>
      <c r="S121">
        <v>12</v>
      </c>
      <c r="AI121">
        <v>6</v>
      </c>
      <c r="AK121">
        <v>5</v>
      </c>
      <c r="AL121">
        <v>0.9</v>
      </c>
      <c r="AQ121">
        <f t="shared" si="1"/>
        <v>3.96</v>
      </c>
      <c r="AV121" t="s">
        <v>26</v>
      </c>
      <c r="BG121" t="s">
        <v>311</v>
      </c>
      <c r="BH121" t="s">
        <v>609</v>
      </c>
      <c r="BI121" s="10" t="s">
        <v>568</v>
      </c>
      <c r="BK121" s="10" t="s">
        <v>41</v>
      </c>
      <c r="BL121" s="17">
        <v>1</v>
      </c>
      <c r="CE121" s="10" t="s">
        <v>605</v>
      </c>
      <c r="CF121" t="s">
        <v>604</v>
      </c>
      <c r="CG121" t="s">
        <v>572</v>
      </c>
      <c r="CH121" s="10" t="s">
        <v>573</v>
      </c>
    </row>
    <row r="122" spans="1:86" x14ac:dyDescent="0.3">
      <c r="A122">
        <v>118</v>
      </c>
      <c r="B122" t="s">
        <v>328</v>
      </c>
      <c r="C122" t="s">
        <v>329</v>
      </c>
      <c r="D122" t="s">
        <v>596</v>
      </c>
      <c r="E122" t="s">
        <v>595</v>
      </c>
      <c r="F122" t="s">
        <v>577</v>
      </c>
      <c r="G122" t="s">
        <v>578</v>
      </c>
      <c r="I122" t="s">
        <v>567</v>
      </c>
      <c r="S122">
        <v>24</v>
      </c>
      <c r="AI122">
        <v>6</v>
      </c>
      <c r="AK122">
        <v>5</v>
      </c>
      <c r="AL122">
        <v>0.9</v>
      </c>
      <c r="AQ122">
        <f t="shared" si="1"/>
        <v>3.96</v>
      </c>
      <c r="AV122" t="s">
        <v>26</v>
      </c>
      <c r="BG122" t="s">
        <v>311</v>
      </c>
      <c r="BH122" t="s">
        <v>609</v>
      </c>
      <c r="BI122" s="10" t="s">
        <v>568</v>
      </c>
      <c r="BK122" s="10" t="s">
        <v>41</v>
      </c>
      <c r="BL122" s="17">
        <v>2</v>
      </c>
      <c r="CE122" s="10" t="s">
        <v>605</v>
      </c>
      <c r="CF122" t="s">
        <v>604</v>
      </c>
      <c r="CG122" t="s">
        <v>572</v>
      </c>
      <c r="CH122" s="10" t="s">
        <v>573</v>
      </c>
    </row>
    <row r="123" spans="1:86" x14ac:dyDescent="0.3">
      <c r="A123">
        <v>119</v>
      </c>
      <c r="B123" t="s">
        <v>328</v>
      </c>
      <c r="C123" t="s">
        <v>329</v>
      </c>
      <c r="D123" t="s">
        <v>596</v>
      </c>
      <c r="E123" t="s">
        <v>595</v>
      </c>
      <c r="F123" t="s">
        <v>577</v>
      </c>
      <c r="G123" t="s">
        <v>578</v>
      </c>
      <c r="I123" t="s">
        <v>567</v>
      </c>
      <c r="S123">
        <v>36</v>
      </c>
      <c r="AI123">
        <v>6</v>
      </c>
      <c r="AK123">
        <v>5</v>
      </c>
      <c r="AL123">
        <v>0.9</v>
      </c>
      <c r="AQ123">
        <f t="shared" si="1"/>
        <v>3.96</v>
      </c>
      <c r="AV123" t="s">
        <v>26</v>
      </c>
      <c r="BG123" t="s">
        <v>311</v>
      </c>
      <c r="BH123" t="s">
        <v>609</v>
      </c>
      <c r="BI123" s="10" t="s">
        <v>568</v>
      </c>
      <c r="BK123" s="10" t="s">
        <v>41</v>
      </c>
      <c r="BL123" s="17">
        <v>3</v>
      </c>
      <c r="CE123" s="10" t="s">
        <v>605</v>
      </c>
      <c r="CF123" t="s">
        <v>604</v>
      </c>
      <c r="CG123" t="s">
        <v>572</v>
      </c>
      <c r="CH123" s="10" t="s">
        <v>573</v>
      </c>
    </row>
    <row r="124" spans="1:86" x14ac:dyDescent="0.3">
      <c r="A124">
        <v>120</v>
      </c>
      <c r="B124" t="s">
        <v>328</v>
      </c>
      <c r="C124" t="s">
        <v>329</v>
      </c>
      <c r="D124" t="s">
        <v>596</v>
      </c>
      <c r="E124" t="s">
        <v>595</v>
      </c>
      <c r="F124" t="s">
        <v>577</v>
      </c>
      <c r="G124" t="s">
        <v>578</v>
      </c>
      <c r="I124" t="s">
        <v>567</v>
      </c>
      <c r="S124">
        <v>48</v>
      </c>
      <c r="AI124">
        <v>6</v>
      </c>
      <c r="AK124">
        <v>5</v>
      </c>
      <c r="AL124">
        <v>0.9</v>
      </c>
      <c r="AQ124">
        <f t="shared" si="1"/>
        <v>3.96</v>
      </c>
      <c r="AV124" t="s">
        <v>26</v>
      </c>
      <c r="BG124" t="s">
        <v>311</v>
      </c>
      <c r="BH124" t="s">
        <v>609</v>
      </c>
      <c r="BI124" s="10" t="s">
        <v>568</v>
      </c>
      <c r="BK124" s="10" t="s">
        <v>41</v>
      </c>
      <c r="BL124" s="17">
        <v>4</v>
      </c>
      <c r="CE124" s="10" t="s">
        <v>605</v>
      </c>
      <c r="CF124" t="s">
        <v>604</v>
      </c>
      <c r="CG124" t="s">
        <v>572</v>
      </c>
      <c r="CH124" s="10" t="s">
        <v>573</v>
      </c>
    </row>
    <row r="125" spans="1:86" x14ac:dyDescent="0.3">
      <c r="A125">
        <v>121</v>
      </c>
      <c r="B125" t="s">
        <v>328</v>
      </c>
      <c r="C125" t="s">
        <v>333</v>
      </c>
      <c r="D125" t="s">
        <v>606</v>
      </c>
      <c r="E125" t="s">
        <v>595</v>
      </c>
      <c r="F125" t="s">
        <v>577</v>
      </c>
      <c r="G125" t="s">
        <v>578</v>
      </c>
      <c r="I125" t="s">
        <v>567</v>
      </c>
      <c r="N125">
        <v>5</v>
      </c>
      <c r="S125">
        <v>24</v>
      </c>
      <c r="AI125">
        <v>6</v>
      </c>
      <c r="AK125">
        <v>5</v>
      </c>
      <c r="AL125">
        <v>0.9</v>
      </c>
      <c r="AQ125">
        <f t="shared" si="1"/>
        <v>3.96</v>
      </c>
      <c r="AV125" t="s">
        <v>26</v>
      </c>
      <c r="BG125" t="s">
        <v>311</v>
      </c>
      <c r="BH125" t="s">
        <v>609</v>
      </c>
      <c r="BI125" s="10" t="s">
        <v>568</v>
      </c>
      <c r="BK125" s="10" t="s">
        <v>41</v>
      </c>
      <c r="BL125" s="17">
        <v>1</v>
      </c>
      <c r="CE125" s="10" t="s">
        <v>607</v>
      </c>
      <c r="CF125" t="s">
        <v>604</v>
      </c>
      <c r="CG125" t="s">
        <v>572</v>
      </c>
      <c r="CH125" s="10" t="s">
        <v>573</v>
      </c>
    </row>
    <row r="126" spans="1:86" x14ac:dyDescent="0.3">
      <c r="A126">
        <v>122</v>
      </c>
      <c r="B126" t="s">
        <v>328</v>
      </c>
      <c r="C126" t="s">
        <v>333</v>
      </c>
      <c r="D126" t="s">
        <v>606</v>
      </c>
      <c r="E126" t="s">
        <v>595</v>
      </c>
      <c r="F126" t="s">
        <v>577</v>
      </c>
      <c r="G126" t="s">
        <v>578</v>
      </c>
      <c r="I126" t="s">
        <v>567</v>
      </c>
      <c r="N126">
        <v>5</v>
      </c>
      <c r="S126">
        <v>48</v>
      </c>
      <c r="AI126">
        <v>6</v>
      </c>
      <c r="AK126">
        <v>5</v>
      </c>
      <c r="AL126">
        <v>0.9</v>
      </c>
      <c r="AQ126">
        <f t="shared" si="1"/>
        <v>3.96</v>
      </c>
      <c r="AV126" t="s">
        <v>26</v>
      </c>
      <c r="BG126" t="s">
        <v>311</v>
      </c>
      <c r="BH126" t="s">
        <v>609</v>
      </c>
      <c r="BI126" s="10" t="s">
        <v>568</v>
      </c>
      <c r="BK126" s="10" t="s">
        <v>41</v>
      </c>
      <c r="BL126" s="17">
        <v>2</v>
      </c>
      <c r="CE126" s="10" t="s">
        <v>607</v>
      </c>
      <c r="CF126" t="s">
        <v>604</v>
      </c>
      <c r="CG126" t="s">
        <v>572</v>
      </c>
      <c r="CH126" s="10" t="s">
        <v>573</v>
      </c>
    </row>
    <row r="127" spans="1:86" x14ac:dyDescent="0.3">
      <c r="A127">
        <v>123</v>
      </c>
      <c r="B127" t="s">
        <v>328</v>
      </c>
      <c r="C127" t="s">
        <v>333</v>
      </c>
      <c r="D127" t="s">
        <v>606</v>
      </c>
      <c r="E127" t="s">
        <v>595</v>
      </c>
      <c r="F127" t="s">
        <v>577</v>
      </c>
      <c r="G127" t="s">
        <v>578</v>
      </c>
      <c r="I127" t="s">
        <v>567</v>
      </c>
      <c r="N127">
        <v>5</v>
      </c>
      <c r="S127">
        <v>72</v>
      </c>
      <c r="AI127">
        <v>6</v>
      </c>
      <c r="AK127">
        <v>5</v>
      </c>
      <c r="AL127">
        <v>0.9</v>
      </c>
      <c r="AQ127">
        <f t="shared" si="1"/>
        <v>3.96</v>
      </c>
      <c r="AV127" t="s">
        <v>26</v>
      </c>
      <c r="BG127" t="s">
        <v>311</v>
      </c>
      <c r="BH127" t="s">
        <v>609</v>
      </c>
      <c r="BI127" s="10" t="s">
        <v>568</v>
      </c>
      <c r="BK127" s="10" t="s">
        <v>41</v>
      </c>
      <c r="BL127" s="17">
        <v>3</v>
      </c>
      <c r="CE127" s="10" t="s">
        <v>607</v>
      </c>
      <c r="CF127" t="s">
        <v>604</v>
      </c>
      <c r="CG127" t="s">
        <v>572</v>
      </c>
      <c r="CH127" s="10" t="s">
        <v>573</v>
      </c>
    </row>
    <row r="128" spans="1:86" x14ac:dyDescent="0.3">
      <c r="A128">
        <v>124</v>
      </c>
      <c r="B128" t="s">
        <v>328</v>
      </c>
      <c r="C128" t="s">
        <v>333</v>
      </c>
      <c r="D128" t="s">
        <v>606</v>
      </c>
      <c r="E128" t="s">
        <v>595</v>
      </c>
      <c r="F128" t="s">
        <v>577</v>
      </c>
      <c r="G128" t="s">
        <v>578</v>
      </c>
      <c r="I128" t="s">
        <v>567</v>
      </c>
      <c r="N128">
        <v>5</v>
      </c>
      <c r="S128">
        <v>96</v>
      </c>
      <c r="AI128">
        <v>6</v>
      </c>
      <c r="AK128">
        <v>5</v>
      </c>
      <c r="AL128">
        <v>0.9</v>
      </c>
      <c r="AQ128">
        <f t="shared" si="1"/>
        <v>3.96</v>
      </c>
      <c r="AV128" t="s">
        <v>26</v>
      </c>
      <c r="BG128" t="s">
        <v>311</v>
      </c>
      <c r="BH128" t="s">
        <v>609</v>
      </c>
      <c r="BI128" s="10" t="s">
        <v>568</v>
      </c>
      <c r="BK128" s="10" t="s">
        <v>41</v>
      </c>
      <c r="BL128" s="17">
        <v>4</v>
      </c>
      <c r="CE128" s="10" t="s">
        <v>607</v>
      </c>
      <c r="CF128" t="s">
        <v>604</v>
      </c>
      <c r="CG128" t="s">
        <v>572</v>
      </c>
      <c r="CH128" s="10" t="s">
        <v>573</v>
      </c>
    </row>
    <row r="129" spans="1:86" x14ac:dyDescent="0.3">
      <c r="A129">
        <v>125</v>
      </c>
      <c r="B129" t="s">
        <v>332</v>
      </c>
      <c r="C129" t="s">
        <v>339</v>
      </c>
      <c r="D129" t="s">
        <v>610</v>
      </c>
      <c r="E129" t="s">
        <v>611</v>
      </c>
      <c r="F129" t="s">
        <v>612</v>
      </c>
      <c r="H129" t="s">
        <v>613</v>
      </c>
      <c r="I129" t="s">
        <v>614</v>
      </c>
      <c r="BG129" t="s">
        <v>312</v>
      </c>
      <c r="BH129" t="s">
        <v>314</v>
      </c>
      <c r="BI129" s="10" t="s">
        <v>568</v>
      </c>
      <c r="BK129" s="10" t="s">
        <v>137</v>
      </c>
      <c r="BL129" s="17">
        <v>0.32</v>
      </c>
      <c r="BM129" s="52">
        <f>AVERAGE(6,6)</f>
        <v>6</v>
      </c>
      <c r="BR129" s="10" t="s">
        <v>842</v>
      </c>
      <c r="BS129" s="10">
        <f>LOG(5.2)</f>
        <v>0.71600334363479923</v>
      </c>
      <c r="BV129" s="10">
        <v>0</v>
      </c>
      <c r="BW129" s="10">
        <f>LOG(27)</f>
        <v>1.4313637641589874</v>
      </c>
      <c r="BX129" s="10" t="s">
        <v>842</v>
      </c>
      <c r="BY129" s="10">
        <f>LOG(2.5)</f>
        <v>0.3979400086720376</v>
      </c>
      <c r="CB129" s="10">
        <v>0</v>
      </c>
      <c r="CC129" s="10">
        <f>LOG(5)</f>
        <v>0.69897000433601886</v>
      </c>
      <c r="CD129" s="10" t="s">
        <v>842</v>
      </c>
      <c r="CE129" s="10" t="s">
        <v>615</v>
      </c>
      <c r="CG129" t="s">
        <v>616</v>
      </c>
      <c r="CH129" t="s">
        <v>573</v>
      </c>
    </row>
    <row r="130" spans="1:86" x14ac:dyDescent="0.3">
      <c r="A130">
        <v>126</v>
      </c>
      <c r="B130" t="s">
        <v>332</v>
      </c>
      <c r="C130" t="s">
        <v>343</v>
      </c>
      <c r="D130" t="s">
        <v>617</v>
      </c>
      <c r="E130" t="s">
        <v>611</v>
      </c>
      <c r="F130" t="s">
        <v>612</v>
      </c>
      <c r="H130" t="s">
        <v>613</v>
      </c>
      <c r="I130" t="s">
        <v>614</v>
      </c>
      <c r="BG130" t="s">
        <v>312</v>
      </c>
      <c r="BH130" t="s">
        <v>314</v>
      </c>
      <c r="BI130" s="10" t="s">
        <v>568</v>
      </c>
      <c r="BK130" s="10" t="s">
        <v>137</v>
      </c>
      <c r="BL130" s="17">
        <v>0.61</v>
      </c>
      <c r="BM130" s="52">
        <f>AVERAGE(39,8)</f>
        <v>23.5</v>
      </c>
      <c r="BR130" s="10" t="s">
        <v>842</v>
      </c>
      <c r="BS130" s="10">
        <f>LOG(75)</f>
        <v>1.8750612633917001</v>
      </c>
      <c r="BV130" s="52">
        <v>0</v>
      </c>
      <c r="BW130" s="52">
        <f>LOG(850)</f>
        <v>2.9294189257142929</v>
      </c>
      <c r="BX130" s="52" t="s">
        <v>842</v>
      </c>
      <c r="BY130" s="52">
        <f>LOG(18)</f>
        <v>1.255272505103306</v>
      </c>
      <c r="BZ130" s="52"/>
      <c r="CA130" s="52"/>
      <c r="CB130" s="52">
        <f>LOG(3)</f>
        <v>0.47712125471966244</v>
      </c>
      <c r="CC130" s="52">
        <f>LOG(240)</f>
        <v>2.3802112417116059</v>
      </c>
      <c r="CE130" s="10" t="s">
        <v>615</v>
      </c>
      <c r="CG130" t="s">
        <v>616</v>
      </c>
      <c r="CH130" t="s">
        <v>573</v>
      </c>
    </row>
    <row r="131" spans="1:86" x14ac:dyDescent="0.3">
      <c r="A131">
        <v>127</v>
      </c>
      <c r="B131" t="s">
        <v>332</v>
      </c>
      <c r="C131" t="s">
        <v>345</v>
      </c>
      <c r="D131" t="s">
        <v>618</v>
      </c>
      <c r="E131" t="s">
        <v>611</v>
      </c>
      <c r="F131" t="s">
        <v>612</v>
      </c>
      <c r="H131" t="s">
        <v>613</v>
      </c>
      <c r="I131" t="s">
        <v>614</v>
      </c>
      <c r="BG131" t="s">
        <v>312</v>
      </c>
      <c r="BH131" t="s">
        <v>314</v>
      </c>
      <c r="BI131" s="10" t="s">
        <v>568</v>
      </c>
      <c r="BK131" s="10" t="s">
        <v>137</v>
      </c>
      <c r="BL131" s="17">
        <v>-1.4</v>
      </c>
      <c r="BM131" s="52">
        <f>AVERAGE(6,9)</f>
        <v>7.5</v>
      </c>
      <c r="BR131" s="10" t="s">
        <v>842</v>
      </c>
      <c r="BS131" s="10">
        <f>LOG(2.5)</f>
        <v>0.3979400086720376</v>
      </c>
      <c r="BV131" s="10">
        <v>0</v>
      </c>
      <c r="BW131" s="10">
        <f>LOG(5)</f>
        <v>0.69897000433601886</v>
      </c>
      <c r="BX131" s="10" t="s">
        <v>842</v>
      </c>
      <c r="BY131" s="10">
        <f>LOG(60)</f>
        <v>1.7781512503836436</v>
      </c>
      <c r="CB131" s="10">
        <v>0</v>
      </c>
      <c r="CC131" s="10">
        <f>LOG(1000)</f>
        <v>3</v>
      </c>
      <c r="CD131" s="10" t="s">
        <v>842</v>
      </c>
      <c r="CE131" s="10" t="s">
        <v>615</v>
      </c>
      <c r="CG131" t="s">
        <v>616</v>
      </c>
      <c r="CH131" t="s">
        <v>573</v>
      </c>
    </row>
    <row r="132" spans="1:86" x14ac:dyDescent="0.3">
      <c r="A132">
        <v>128</v>
      </c>
      <c r="B132" t="s">
        <v>332</v>
      </c>
      <c r="C132" t="s">
        <v>346</v>
      </c>
      <c r="D132" t="s">
        <v>619</v>
      </c>
      <c r="E132" t="s">
        <v>611</v>
      </c>
      <c r="F132" t="s">
        <v>612</v>
      </c>
      <c r="H132" t="s">
        <v>613</v>
      </c>
      <c r="I132" t="s">
        <v>614</v>
      </c>
      <c r="Z132">
        <v>45</v>
      </c>
      <c r="BG132" t="s">
        <v>312</v>
      </c>
      <c r="BH132" t="s">
        <v>314</v>
      </c>
      <c r="BI132" s="10" t="s">
        <v>568</v>
      </c>
      <c r="BK132" s="10" t="s">
        <v>137</v>
      </c>
      <c r="BL132" s="17">
        <v>0.83</v>
      </c>
      <c r="BM132" s="52">
        <f>AVERAGE(97,17)</f>
        <v>57</v>
      </c>
      <c r="BS132" s="10">
        <f>LOG(375)</f>
        <v>2.5740312677277188</v>
      </c>
      <c r="BV132" s="10">
        <f>LOG(10)</f>
        <v>1</v>
      </c>
      <c r="BW132" s="10">
        <f>LOG(7700)</f>
        <v>3.8864907251724818</v>
      </c>
      <c r="BY132" s="10">
        <f>LOG(86)</f>
        <v>1.9344984512435677</v>
      </c>
      <c r="CB132" s="10">
        <f>LOG(4)</f>
        <v>0.6020599913279624</v>
      </c>
      <c r="CC132" s="10">
        <f>LOG(440)</f>
        <v>2.6434526764861874</v>
      </c>
      <c r="CE132" s="10" t="s">
        <v>620</v>
      </c>
      <c r="CG132" t="s">
        <v>616</v>
      </c>
      <c r="CH132" t="s">
        <v>573</v>
      </c>
    </row>
    <row r="133" spans="1:86" x14ac:dyDescent="0.3">
      <c r="A133">
        <v>129</v>
      </c>
      <c r="B133" t="s">
        <v>332</v>
      </c>
      <c r="C133" t="s">
        <v>346</v>
      </c>
      <c r="D133" t="s">
        <v>621</v>
      </c>
      <c r="E133" t="s">
        <v>611</v>
      </c>
      <c r="F133" t="s">
        <v>612</v>
      </c>
      <c r="H133" t="s">
        <v>613</v>
      </c>
      <c r="I133" t="s">
        <v>614</v>
      </c>
      <c r="Z133">
        <v>45</v>
      </c>
      <c r="BG133" t="s">
        <v>312</v>
      </c>
      <c r="BH133" t="s">
        <v>314</v>
      </c>
      <c r="BI133" s="10" t="s">
        <v>568</v>
      </c>
      <c r="BK133" s="10" t="s">
        <v>137</v>
      </c>
      <c r="BL133" s="17">
        <v>-0.32</v>
      </c>
      <c r="BM133" s="52">
        <f>AVERAGE(18,41)</f>
        <v>29.5</v>
      </c>
      <c r="BS133" s="10">
        <f>LOG(66)</f>
        <v>1.8195439355418688</v>
      </c>
      <c r="BV133" s="10">
        <f>LOG(10)</f>
        <v>1</v>
      </c>
      <c r="BW133" s="10">
        <f>LOG(7300)</f>
        <v>3.8633228601204559</v>
      </c>
      <c r="BY133" s="10">
        <f>LOG(139)</f>
        <v>2.143014800254095</v>
      </c>
      <c r="CB133" s="10">
        <f>LOG(10)</f>
        <v>1</v>
      </c>
      <c r="CC133" s="10">
        <f>LOG(2400)</f>
        <v>3.3802112417116059</v>
      </c>
      <c r="CE133" s="10" t="s">
        <v>620</v>
      </c>
      <c r="CG133" t="s">
        <v>616</v>
      </c>
      <c r="CH133" t="s">
        <v>573</v>
      </c>
    </row>
    <row r="134" spans="1:86" x14ac:dyDescent="0.3">
      <c r="A134">
        <v>130</v>
      </c>
      <c r="B134" t="s">
        <v>332</v>
      </c>
      <c r="C134" t="s">
        <v>346</v>
      </c>
      <c r="D134" t="s">
        <v>622</v>
      </c>
      <c r="E134" t="s">
        <v>611</v>
      </c>
      <c r="F134" t="s">
        <v>612</v>
      </c>
      <c r="H134" t="s">
        <v>613</v>
      </c>
      <c r="I134" t="s">
        <v>614</v>
      </c>
      <c r="Z134">
        <v>45</v>
      </c>
      <c r="BG134" t="s">
        <v>312</v>
      </c>
      <c r="BH134" t="s">
        <v>314</v>
      </c>
      <c r="BI134" s="10" t="s">
        <v>568</v>
      </c>
      <c r="BK134" s="10" t="s">
        <v>137</v>
      </c>
      <c r="BL134" s="17">
        <v>0.5</v>
      </c>
      <c r="BM134" s="52">
        <f>AVERAGE(115,58)</f>
        <v>86.5</v>
      </c>
      <c r="BS134" s="10">
        <f>LOG(375)</f>
        <v>2.5740312677277188</v>
      </c>
      <c r="BV134" s="10">
        <f>LOG(10)</f>
        <v>1</v>
      </c>
      <c r="BW134" s="10">
        <f>LOG(7700)</f>
        <v>3.8864907251724818</v>
      </c>
      <c r="BY134" s="10">
        <f>LOG(119)</f>
        <v>2.0755469613925306</v>
      </c>
      <c r="CB134" s="10">
        <f>LOG(4)</f>
        <v>0.6020599913279624</v>
      </c>
      <c r="CC134" s="10">
        <f>LOG(2400)</f>
        <v>3.3802112417116059</v>
      </c>
      <c r="CE134" s="10" t="s">
        <v>620</v>
      </c>
      <c r="CG134" t="s">
        <v>616</v>
      </c>
      <c r="CH134" t="s">
        <v>573</v>
      </c>
    </row>
    <row r="135" spans="1:86" x14ac:dyDescent="0.3">
      <c r="A135">
        <v>131</v>
      </c>
      <c r="B135" t="s">
        <v>332</v>
      </c>
      <c r="C135" t="s">
        <v>346</v>
      </c>
      <c r="D135" t="s">
        <v>619</v>
      </c>
      <c r="E135" t="s">
        <v>611</v>
      </c>
      <c r="F135" t="s">
        <v>612</v>
      </c>
      <c r="H135" t="s">
        <v>613</v>
      </c>
      <c r="I135" t="s">
        <v>614</v>
      </c>
      <c r="Z135">
        <v>45</v>
      </c>
      <c r="BG135" t="s">
        <v>313</v>
      </c>
      <c r="BH135" t="s">
        <v>623</v>
      </c>
      <c r="BI135" s="10" t="s">
        <v>568</v>
      </c>
      <c r="BK135" s="10" t="s">
        <v>137</v>
      </c>
      <c r="BL135" s="17">
        <v>1.19</v>
      </c>
      <c r="BM135" s="52">
        <f>AVERAGE(71,17)</f>
        <v>44</v>
      </c>
      <c r="BS135" s="10">
        <f>LOG(30)</f>
        <v>1.4771212547196624</v>
      </c>
      <c r="BV135" s="10">
        <v>0</v>
      </c>
      <c r="BW135" s="10">
        <f>LOG(670)</f>
        <v>2.8260748027008264</v>
      </c>
      <c r="BY135" s="10">
        <f>LOG(2)</f>
        <v>0.3010299956639812</v>
      </c>
      <c r="CB135" s="10">
        <v>0</v>
      </c>
      <c r="CC135" s="10">
        <f>LOG(50)</f>
        <v>1.6989700043360187</v>
      </c>
      <c r="CE135" s="10" t="s">
        <v>620</v>
      </c>
      <c r="CG135" t="s">
        <v>616</v>
      </c>
      <c r="CH135" t="s">
        <v>573</v>
      </c>
    </row>
    <row r="136" spans="1:86" x14ac:dyDescent="0.3">
      <c r="A136">
        <v>132</v>
      </c>
      <c r="B136" t="s">
        <v>332</v>
      </c>
      <c r="C136" t="s">
        <v>346</v>
      </c>
      <c r="D136" t="s">
        <v>621</v>
      </c>
      <c r="E136" t="s">
        <v>611</v>
      </c>
      <c r="F136" t="s">
        <v>612</v>
      </c>
      <c r="H136" t="s">
        <v>613</v>
      </c>
      <c r="I136" t="s">
        <v>614</v>
      </c>
      <c r="Z136">
        <v>45</v>
      </c>
      <c r="BG136" t="s">
        <v>313</v>
      </c>
      <c r="BH136" t="s">
        <v>623</v>
      </c>
      <c r="BI136" s="10" t="s">
        <v>568</v>
      </c>
      <c r="BK136" s="10" t="s">
        <v>137</v>
      </c>
      <c r="BL136" s="17">
        <v>0.83</v>
      </c>
      <c r="BM136" s="52">
        <f>AVERAGE(14,14)</f>
        <v>14</v>
      </c>
      <c r="BS136" s="10">
        <f>LOG(17)</f>
        <v>1.2304489213782739</v>
      </c>
      <c r="BV136" s="10">
        <v>0</v>
      </c>
      <c r="BW136" s="10">
        <f>LOG(1500)</f>
        <v>3.1760912590556813</v>
      </c>
      <c r="BY136" s="10">
        <f>LOG(2.5)</f>
        <v>0.3979400086720376</v>
      </c>
      <c r="CB136" s="10">
        <v>0</v>
      </c>
      <c r="CC136" s="10">
        <f>LOG(40)</f>
        <v>1.6020599913279623</v>
      </c>
      <c r="CE136" s="10" t="s">
        <v>620</v>
      </c>
      <c r="CG136" t="s">
        <v>616</v>
      </c>
      <c r="CH136" t="s">
        <v>573</v>
      </c>
    </row>
    <row r="137" spans="1:86" x14ac:dyDescent="0.3">
      <c r="A137">
        <v>133</v>
      </c>
      <c r="B137" t="s">
        <v>332</v>
      </c>
      <c r="C137" t="s">
        <v>346</v>
      </c>
      <c r="D137" t="s">
        <v>622</v>
      </c>
      <c r="E137" t="s">
        <v>611</v>
      </c>
      <c r="F137" t="s">
        <v>612</v>
      </c>
      <c r="H137" t="s">
        <v>613</v>
      </c>
      <c r="I137" t="s">
        <v>614</v>
      </c>
      <c r="Z137">
        <v>45</v>
      </c>
      <c r="BG137" t="s">
        <v>313</v>
      </c>
      <c r="BH137" t="s">
        <v>623</v>
      </c>
      <c r="BI137" s="10" t="s">
        <v>568</v>
      </c>
      <c r="BK137" s="10" t="s">
        <v>137</v>
      </c>
      <c r="BL137" s="17">
        <v>1.06</v>
      </c>
      <c r="BM137" s="52">
        <f>AVERAGE(85,31)</f>
        <v>58</v>
      </c>
      <c r="BS137" s="10">
        <f>LOG(25)</f>
        <v>1.3979400086720377</v>
      </c>
      <c r="BV137" s="10">
        <v>0</v>
      </c>
      <c r="BW137" s="10">
        <f>LOG(1500)</f>
        <v>3.1760912590556813</v>
      </c>
      <c r="BY137" s="10">
        <f>LOG(2)</f>
        <v>0.3010299956639812</v>
      </c>
      <c r="CB137" s="10">
        <v>0</v>
      </c>
      <c r="CC137" s="10">
        <f>LOG(50)</f>
        <v>1.6989700043360187</v>
      </c>
      <c r="CE137" s="10" t="s">
        <v>620</v>
      </c>
      <c r="CG137" t="s">
        <v>616</v>
      </c>
      <c r="CH137" t="s">
        <v>573</v>
      </c>
    </row>
    <row r="138" spans="1:86" x14ac:dyDescent="0.3">
      <c r="A138">
        <v>134</v>
      </c>
      <c r="B138" t="s">
        <v>332</v>
      </c>
      <c r="C138" t="s">
        <v>346</v>
      </c>
      <c r="D138" t="s">
        <v>619</v>
      </c>
      <c r="E138" t="s">
        <v>611</v>
      </c>
      <c r="F138" t="s">
        <v>612</v>
      </c>
      <c r="H138" t="s">
        <v>613</v>
      </c>
      <c r="I138" t="s">
        <v>614</v>
      </c>
      <c r="Z138">
        <v>45</v>
      </c>
      <c r="BG138" t="s">
        <v>311</v>
      </c>
      <c r="BH138" t="s">
        <v>624</v>
      </c>
      <c r="BI138" s="10" t="s">
        <v>568</v>
      </c>
      <c r="BK138" s="10" t="s">
        <v>137</v>
      </c>
      <c r="BL138" s="17">
        <v>0.27</v>
      </c>
      <c r="BM138" s="52">
        <f>AVERAGE(71,17)</f>
        <v>44</v>
      </c>
      <c r="BS138" s="10">
        <f>LOG(84)</f>
        <v>1.9242792860618816</v>
      </c>
      <c r="BV138" s="10">
        <v>8</v>
      </c>
      <c r="BW138" s="10">
        <f>LOG(2000)</f>
        <v>3.3010299956639813</v>
      </c>
      <c r="BY138" s="10">
        <f>LOG(45)</f>
        <v>1.6532125137753437</v>
      </c>
      <c r="CB138" s="10">
        <f>LOG(9)</f>
        <v>0.95424250943932487</v>
      </c>
      <c r="CC138" s="10">
        <f>LOG(310)</f>
        <v>2.4913616938342726</v>
      </c>
      <c r="CE138" s="10" t="s">
        <v>620</v>
      </c>
      <c r="CG138" t="s">
        <v>616</v>
      </c>
      <c r="CH138" t="s">
        <v>573</v>
      </c>
    </row>
    <row r="139" spans="1:86" x14ac:dyDescent="0.3">
      <c r="A139">
        <v>135</v>
      </c>
      <c r="B139" t="s">
        <v>332</v>
      </c>
      <c r="C139" t="s">
        <v>346</v>
      </c>
      <c r="D139" t="s">
        <v>621</v>
      </c>
      <c r="E139" t="s">
        <v>611</v>
      </c>
      <c r="F139" t="s">
        <v>612</v>
      </c>
      <c r="H139" t="s">
        <v>613</v>
      </c>
      <c r="I139" t="s">
        <v>614</v>
      </c>
      <c r="Z139">
        <v>45</v>
      </c>
      <c r="BG139" t="s">
        <v>311</v>
      </c>
      <c r="BH139" t="s">
        <v>624</v>
      </c>
      <c r="BI139" s="10" t="s">
        <v>568</v>
      </c>
      <c r="BK139" s="10" t="s">
        <v>137</v>
      </c>
      <c r="BL139" s="17">
        <v>0.15</v>
      </c>
      <c r="BM139" s="52">
        <f>AVERAGE(14,14)</f>
        <v>14</v>
      </c>
      <c r="BS139" s="10">
        <f>LOG(74)</f>
        <v>1.8692317197309762</v>
      </c>
      <c r="BV139" s="10">
        <v>4</v>
      </c>
      <c r="BW139" s="10">
        <f>LOG(2300)</f>
        <v>3.3617278360175931</v>
      </c>
      <c r="BY139" s="10">
        <f>LOG(52)</f>
        <v>1.7160033436347992</v>
      </c>
      <c r="CB139" s="10">
        <v>0</v>
      </c>
      <c r="CC139" s="10">
        <f>LOG(400)</f>
        <v>2.6020599913279625</v>
      </c>
      <c r="CE139" s="10" t="s">
        <v>620</v>
      </c>
      <c r="CG139" t="s">
        <v>616</v>
      </c>
      <c r="CH139" t="s">
        <v>573</v>
      </c>
    </row>
    <row r="140" spans="1:86" x14ac:dyDescent="0.3">
      <c r="A140">
        <v>136</v>
      </c>
      <c r="B140" t="s">
        <v>332</v>
      </c>
      <c r="C140" t="s">
        <v>346</v>
      </c>
      <c r="D140" t="s">
        <v>622</v>
      </c>
      <c r="E140" t="s">
        <v>611</v>
      </c>
      <c r="F140" t="s">
        <v>612</v>
      </c>
      <c r="H140" t="s">
        <v>613</v>
      </c>
      <c r="I140" t="s">
        <v>614</v>
      </c>
      <c r="Z140">
        <v>45</v>
      </c>
      <c r="BG140" t="s">
        <v>311</v>
      </c>
      <c r="BH140" t="s">
        <v>624</v>
      </c>
      <c r="BI140" s="10" t="s">
        <v>568</v>
      </c>
      <c r="BK140" s="10" t="s">
        <v>137</v>
      </c>
      <c r="BL140" s="17">
        <v>0.09</v>
      </c>
      <c r="BM140" s="52">
        <f>AVERAGE(85,31)</f>
        <v>58</v>
      </c>
      <c r="BS140" s="10">
        <f>LOG(71)</f>
        <v>1.8512583487190752</v>
      </c>
      <c r="BV140" s="10">
        <v>4</v>
      </c>
      <c r="BW140" s="10">
        <f>LOG(2300)</f>
        <v>3.3617278360175931</v>
      </c>
      <c r="BY140" s="10">
        <f>LOG(58)</f>
        <v>1.7634279935629373</v>
      </c>
      <c r="CB140" s="10">
        <v>0</v>
      </c>
      <c r="CC140" s="10">
        <f>LOG(400)</f>
        <v>2.6020599913279625</v>
      </c>
      <c r="CE140" s="10" t="s">
        <v>620</v>
      </c>
      <c r="CG140" t="s">
        <v>616</v>
      </c>
      <c r="CH140" t="s">
        <v>573</v>
      </c>
    </row>
    <row r="141" spans="1:86" x14ac:dyDescent="0.3">
      <c r="A141">
        <v>137</v>
      </c>
      <c r="B141" t="s">
        <v>332</v>
      </c>
      <c r="C141" t="s">
        <v>329</v>
      </c>
      <c r="E141" t="s">
        <v>611</v>
      </c>
      <c r="F141" t="s">
        <v>612</v>
      </c>
      <c r="H141" t="s">
        <v>613</v>
      </c>
      <c r="I141" t="s">
        <v>614</v>
      </c>
      <c r="S141">
        <v>5.2</v>
      </c>
      <c r="BG141" t="s">
        <v>312</v>
      </c>
      <c r="BH141" t="s">
        <v>314</v>
      </c>
      <c r="BI141" s="10" t="s">
        <v>568</v>
      </c>
      <c r="BJ141" s="10" t="s">
        <v>625</v>
      </c>
      <c r="BK141" s="10" t="s">
        <v>137</v>
      </c>
      <c r="BL141" s="17">
        <v>1.24</v>
      </c>
      <c r="BM141" s="52">
        <f>AVERAGE(64,48)</f>
        <v>56</v>
      </c>
      <c r="BR141" s="10" t="s">
        <v>842</v>
      </c>
      <c r="BS141" s="10">
        <f>LOG(119)</f>
        <v>2.0755469613925306</v>
      </c>
      <c r="BV141" s="10">
        <f>LOG(4)</f>
        <v>0.6020599913279624</v>
      </c>
      <c r="BW141" s="10">
        <f>LOG(2400)</f>
        <v>3.3802112417116059</v>
      </c>
      <c r="BX141" s="10" t="s">
        <v>842</v>
      </c>
      <c r="BY141" s="10">
        <f>LOG(6.9)</f>
        <v>0.83884909073725533</v>
      </c>
      <c r="CB141" s="10">
        <v>0</v>
      </c>
      <c r="CC141" s="10">
        <f>LOG(160)</f>
        <v>2.2041199826559246</v>
      </c>
      <c r="CE141" s="10" t="s">
        <v>626</v>
      </c>
      <c r="CF141" t="s">
        <v>627</v>
      </c>
      <c r="CG141" t="s">
        <v>616</v>
      </c>
      <c r="CH141" t="s">
        <v>628</v>
      </c>
    </row>
    <row r="142" spans="1:86" x14ac:dyDescent="0.3">
      <c r="A142">
        <v>138</v>
      </c>
      <c r="B142" t="s">
        <v>332</v>
      </c>
      <c r="C142" t="s">
        <v>329</v>
      </c>
      <c r="E142" t="s">
        <v>611</v>
      </c>
      <c r="F142" t="s">
        <v>612</v>
      </c>
      <c r="H142" t="s">
        <v>613</v>
      </c>
      <c r="I142" t="s">
        <v>614</v>
      </c>
      <c r="S142">
        <v>5.2</v>
      </c>
      <c r="BG142" t="s">
        <v>313</v>
      </c>
      <c r="BH142" t="s">
        <v>623</v>
      </c>
      <c r="BI142" s="10" t="s">
        <v>568</v>
      </c>
      <c r="BJ142" s="10" t="s">
        <v>629</v>
      </c>
      <c r="BK142" s="10" t="s">
        <v>137</v>
      </c>
      <c r="BL142" s="17">
        <v>0.06</v>
      </c>
      <c r="BM142" s="52">
        <f>AVERAGE(37,34)</f>
        <v>35.5</v>
      </c>
      <c r="BR142" s="10" t="s">
        <v>842</v>
      </c>
      <c r="BS142" s="10">
        <f>LOG(2.2)</f>
        <v>0.34242268082220628</v>
      </c>
      <c r="BV142" s="10">
        <v>0</v>
      </c>
      <c r="BW142" s="10">
        <f>LOG(50)</f>
        <v>1.6989700043360187</v>
      </c>
      <c r="BX142" s="10" t="s">
        <v>842</v>
      </c>
      <c r="BY142" s="10">
        <f>LOG(1.9)</f>
        <v>0.27875360095282892</v>
      </c>
      <c r="CB142" s="10">
        <v>0</v>
      </c>
      <c r="CC142" s="10">
        <f>LOG(48)</f>
        <v>1.6812412373755872</v>
      </c>
      <c r="CE142" s="10" t="s">
        <v>626</v>
      </c>
      <c r="CF142" t="s">
        <v>630</v>
      </c>
      <c r="CG142" t="s">
        <v>616</v>
      </c>
      <c r="CH142" t="s">
        <v>628</v>
      </c>
    </row>
    <row r="143" spans="1:86" x14ac:dyDescent="0.3">
      <c r="A143">
        <v>139</v>
      </c>
      <c r="B143" t="s">
        <v>332</v>
      </c>
      <c r="C143" t="s">
        <v>329</v>
      </c>
      <c r="E143" t="s">
        <v>611</v>
      </c>
      <c r="F143" t="s">
        <v>612</v>
      </c>
      <c r="H143" t="s">
        <v>613</v>
      </c>
      <c r="I143" t="s">
        <v>614</v>
      </c>
      <c r="S143">
        <v>5.2</v>
      </c>
      <c r="BG143" t="s">
        <v>311</v>
      </c>
      <c r="BH143" t="s">
        <v>631</v>
      </c>
      <c r="BI143" s="10" t="s">
        <v>568</v>
      </c>
      <c r="BJ143" s="10" t="s">
        <v>632</v>
      </c>
      <c r="BK143" s="10" t="s">
        <v>137</v>
      </c>
      <c r="BL143" s="17">
        <v>1</v>
      </c>
      <c r="BM143" s="52">
        <f>AVERAGE(37,19)</f>
        <v>28</v>
      </c>
      <c r="BR143" s="10" t="s">
        <v>842</v>
      </c>
      <c r="BS143" s="10">
        <f>LOG(58)</f>
        <v>1.7634279935629373</v>
      </c>
      <c r="BV143" s="10">
        <v>0</v>
      </c>
      <c r="BW143" s="10">
        <f>LOG(400)</f>
        <v>2.6020599913279625</v>
      </c>
      <c r="BX143" s="10" t="s">
        <v>842</v>
      </c>
      <c r="BY143" s="10">
        <f>LOG(5.8)</f>
        <v>0.76342799356293722</v>
      </c>
      <c r="CB143" s="10">
        <v>0</v>
      </c>
      <c r="CC143" s="10">
        <f>LOG(60)</f>
        <v>1.7781512503836436</v>
      </c>
      <c r="CE143" s="10" t="s">
        <v>626</v>
      </c>
      <c r="CF143" t="s">
        <v>633</v>
      </c>
      <c r="CG143" t="s">
        <v>616</v>
      </c>
      <c r="CH143" t="s">
        <v>628</v>
      </c>
    </row>
    <row r="144" spans="1:86" x14ac:dyDescent="0.3">
      <c r="A144">
        <v>140</v>
      </c>
      <c r="B144" t="s">
        <v>332</v>
      </c>
      <c r="C144" t="s">
        <v>350</v>
      </c>
      <c r="D144" t="s">
        <v>634</v>
      </c>
      <c r="E144" t="s">
        <v>611</v>
      </c>
      <c r="F144" t="s">
        <v>612</v>
      </c>
      <c r="H144" t="s">
        <v>613</v>
      </c>
      <c r="I144" t="s">
        <v>614</v>
      </c>
      <c r="Z144">
        <v>2</v>
      </c>
      <c r="BG144" t="s">
        <v>312</v>
      </c>
      <c r="BH144" t="s">
        <v>314</v>
      </c>
      <c r="BI144" s="10" t="s">
        <v>568</v>
      </c>
      <c r="BK144" s="10" t="s">
        <v>137</v>
      </c>
      <c r="BL144" s="17">
        <v>1.3</v>
      </c>
      <c r="BM144" s="52">
        <f>AVERAGE(54,71)</f>
        <v>62.5</v>
      </c>
      <c r="BS144" s="10">
        <f>LOG(11000)</f>
        <v>4.0413926851582254</v>
      </c>
      <c r="BV144" s="10">
        <f>LOG(63)</f>
        <v>1.7993405494535817</v>
      </c>
      <c r="BW144" s="10">
        <f>LOG(87000)</f>
        <v>4.9395192526186182</v>
      </c>
      <c r="BY144" s="10">
        <f>LOG(581)</f>
        <v>2.7641761323903307</v>
      </c>
      <c r="CB144" s="10">
        <f>LOG(26)</f>
        <v>1.414973347970818</v>
      </c>
      <c r="CC144" s="10">
        <f>LOG(7700)</f>
        <v>3.8864907251724818</v>
      </c>
      <c r="CE144" s="10" t="s">
        <v>635</v>
      </c>
      <c r="CG144" t="s">
        <v>572</v>
      </c>
      <c r="CH144" s="10" t="s">
        <v>636</v>
      </c>
    </row>
    <row r="145" spans="1:86" x14ac:dyDescent="0.3">
      <c r="A145">
        <v>141</v>
      </c>
      <c r="B145" t="s">
        <v>332</v>
      </c>
      <c r="C145" t="s">
        <v>350</v>
      </c>
      <c r="D145" t="s">
        <v>637</v>
      </c>
      <c r="E145" t="s">
        <v>611</v>
      </c>
      <c r="F145" t="s">
        <v>612</v>
      </c>
      <c r="H145" t="s">
        <v>613</v>
      </c>
      <c r="I145" t="s">
        <v>614</v>
      </c>
      <c r="Z145">
        <v>2</v>
      </c>
      <c r="BG145" t="s">
        <v>312</v>
      </c>
      <c r="BH145" t="s">
        <v>314</v>
      </c>
      <c r="BI145" s="10" t="s">
        <v>568</v>
      </c>
      <c r="BK145" s="10" t="s">
        <v>137</v>
      </c>
      <c r="BL145" s="17">
        <v>0.49</v>
      </c>
      <c r="BM145" s="52">
        <f>AVERAGE(31,18)</f>
        <v>24.5</v>
      </c>
      <c r="BS145" s="10">
        <f>LOG(202)</f>
        <v>2.3053513694466239</v>
      </c>
      <c r="BV145" s="10">
        <f>LOG(10)</f>
        <v>1</v>
      </c>
      <c r="BW145" s="10">
        <f>LOG(7300)</f>
        <v>3.8633228601204559</v>
      </c>
      <c r="BY145" s="10">
        <f>LOG(66)</f>
        <v>1.8195439355418688</v>
      </c>
      <c r="CB145" s="10">
        <f>LOG(10)</f>
        <v>1</v>
      </c>
      <c r="CC145" s="10">
        <f>LOG(7300)</f>
        <v>3.8633228601204559</v>
      </c>
      <c r="CE145" s="10" t="s">
        <v>635</v>
      </c>
      <c r="CG145" t="s">
        <v>572</v>
      </c>
      <c r="CH145" s="10" t="s">
        <v>636</v>
      </c>
    </row>
    <row r="146" spans="1:86" x14ac:dyDescent="0.3">
      <c r="A146">
        <v>142</v>
      </c>
      <c r="B146" t="s">
        <v>332</v>
      </c>
      <c r="C146" t="s">
        <v>350</v>
      </c>
      <c r="D146" t="s">
        <v>638</v>
      </c>
      <c r="E146" t="s">
        <v>611</v>
      </c>
      <c r="F146" t="s">
        <v>612</v>
      </c>
      <c r="H146" t="s">
        <v>613</v>
      </c>
      <c r="I146" t="s">
        <v>614</v>
      </c>
      <c r="Z146">
        <v>2</v>
      </c>
      <c r="BG146" t="s">
        <v>312</v>
      </c>
      <c r="BH146" t="s">
        <v>314</v>
      </c>
      <c r="BI146" s="10" t="s">
        <v>568</v>
      </c>
      <c r="BK146" s="10" t="s">
        <v>137</v>
      </c>
      <c r="BL146" s="17">
        <v>0.83</v>
      </c>
      <c r="BM146" s="52">
        <f>AVERAGE(85,89)</f>
        <v>87</v>
      </c>
      <c r="BS146" s="10">
        <f>LOG(2525)</f>
        <v>3.4022613824546801</v>
      </c>
      <c r="BV146" s="10">
        <f>LOG(10)</f>
        <v>1</v>
      </c>
      <c r="BW146" s="10">
        <f>LOG(87000)</f>
        <v>4.9395192526186182</v>
      </c>
      <c r="BY146" s="10">
        <f>LOG(375)</f>
        <v>2.5740312677277188</v>
      </c>
      <c r="CB146" s="10">
        <f>LOG(10)</f>
        <v>1</v>
      </c>
      <c r="CC146" s="10">
        <f>LOG(7700)</f>
        <v>3.8864907251724818</v>
      </c>
      <c r="CE146" s="10" t="s">
        <v>635</v>
      </c>
      <c r="CG146" t="s">
        <v>572</v>
      </c>
      <c r="CH146" s="10" t="s">
        <v>636</v>
      </c>
    </row>
    <row r="147" spans="1:86" x14ac:dyDescent="0.3">
      <c r="A147">
        <v>143</v>
      </c>
      <c r="B147" t="s">
        <v>332</v>
      </c>
      <c r="C147" t="s">
        <v>350</v>
      </c>
      <c r="D147" t="s">
        <v>634</v>
      </c>
      <c r="E147" t="s">
        <v>611</v>
      </c>
      <c r="F147" t="s">
        <v>612</v>
      </c>
      <c r="H147" t="s">
        <v>613</v>
      </c>
      <c r="I147" t="s">
        <v>614</v>
      </c>
      <c r="Z147">
        <v>2</v>
      </c>
      <c r="BG147" t="s">
        <v>313</v>
      </c>
      <c r="BH147" t="s">
        <v>623</v>
      </c>
      <c r="BI147" s="10" t="s">
        <v>568</v>
      </c>
      <c r="BK147" s="10" t="s">
        <v>137</v>
      </c>
      <c r="BL147" s="17">
        <v>1.6</v>
      </c>
      <c r="BM147" s="52">
        <f>AVERAGE(54,71)</f>
        <v>62.5</v>
      </c>
      <c r="BR147" s="10" t="s">
        <v>842</v>
      </c>
      <c r="BS147" s="10">
        <f>LOG(1060)</f>
        <v>3.0253058652647704</v>
      </c>
      <c r="BV147" s="10">
        <f>LOG(1)</f>
        <v>0</v>
      </c>
      <c r="BW147" s="10">
        <f>LOG(9000)</f>
        <v>3.9542425094393248</v>
      </c>
      <c r="BY147" s="10">
        <f>LOG(30)</f>
        <v>1.4771212547196624</v>
      </c>
      <c r="CB147" s="10">
        <v>0</v>
      </c>
      <c r="CC147" s="10">
        <f>LOG(670)</f>
        <v>2.8260748027008264</v>
      </c>
      <c r="CD147" s="10" t="s">
        <v>842</v>
      </c>
      <c r="CE147" s="10" t="s">
        <v>635</v>
      </c>
      <c r="CG147" t="s">
        <v>572</v>
      </c>
      <c r="CH147" s="10" t="s">
        <v>636</v>
      </c>
    </row>
    <row r="148" spans="1:86" x14ac:dyDescent="0.3">
      <c r="A148">
        <v>144</v>
      </c>
      <c r="B148" t="s">
        <v>332</v>
      </c>
      <c r="C148" t="s">
        <v>350</v>
      </c>
      <c r="D148" t="s">
        <v>637</v>
      </c>
      <c r="E148" t="s">
        <v>611</v>
      </c>
      <c r="F148" t="s">
        <v>612</v>
      </c>
      <c r="H148" t="s">
        <v>613</v>
      </c>
      <c r="I148" t="s">
        <v>614</v>
      </c>
      <c r="Z148">
        <v>2</v>
      </c>
      <c r="BG148" t="s">
        <v>313</v>
      </c>
      <c r="BH148" t="s">
        <v>623</v>
      </c>
      <c r="BI148" s="10" t="s">
        <v>568</v>
      </c>
      <c r="BK148" s="10" t="s">
        <v>137</v>
      </c>
      <c r="BL148" s="17">
        <v>0.46</v>
      </c>
      <c r="BM148" s="52">
        <f>AVERAGE(23,14)</f>
        <v>18.5</v>
      </c>
      <c r="BR148" s="10" t="s">
        <v>842</v>
      </c>
      <c r="BS148" s="10">
        <f>LOG(50)</f>
        <v>1.6989700043360187</v>
      </c>
      <c r="BV148" s="10">
        <f>LOG(1)</f>
        <v>0</v>
      </c>
      <c r="BW148" s="10">
        <f>LOG(1000)</f>
        <v>3</v>
      </c>
      <c r="BY148" s="10">
        <f>LOG(17)</f>
        <v>1.2304489213782739</v>
      </c>
      <c r="CB148" s="10">
        <v>0</v>
      </c>
      <c r="CC148" s="10">
        <f>LOG(1500)</f>
        <v>3.1760912590556813</v>
      </c>
      <c r="CD148" s="10" t="s">
        <v>842</v>
      </c>
      <c r="CE148" s="10" t="s">
        <v>635</v>
      </c>
      <c r="CG148" t="s">
        <v>572</v>
      </c>
      <c r="CH148" s="10" t="s">
        <v>636</v>
      </c>
    </row>
    <row r="149" spans="1:86" x14ac:dyDescent="0.3">
      <c r="A149">
        <v>145</v>
      </c>
      <c r="B149" t="s">
        <v>332</v>
      </c>
      <c r="C149" t="s">
        <v>350</v>
      </c>
      <c r="D149" t="s">
        <v>638</v>
      </c>
      <c r="E149" t="s">
        <v>611</v>
      </c>
      <c r="F149" t="s">
        <v>612</v>
      </c>
      <c r="H149" t="s">
        <v>613</v>
      </c>
      <c r="I149" t="s">
        <v>614</v>
      </c>
      <c r="Z149">
        <v>2</v>
      </c>
      <c r="BG149" t="s">
        <v>313</v>
      </c>
      <c r="BH149" t="s">
        <v>623</v>
      </c>
      <c r="BI149" s="10" t="s">
        <v>568</v>
      </c>
      <c r="BK149" s="10" t="s">
        <v>137</v>
      </c>
      <c r="BL149" s="17">
        <v>1.2</v>
      </c>
      <c r="BM149" s="52">
        <f>AVERAGE(77,85)</f>
        <v>81</v>
      </c>
      <c r="BR149" s="10" t="s">
        <v>842</v>
      </c>
      <c r="BS149" s="10">
        <f>LOG(426)</f>
        <v>2.6294095991027189</v>
      </c>
      <c r="BV149" s="10">
        <v>0</v>
      </c>
      <c r="BW149" s="10">
        <f>LOG(9000)</f>
        <v>3.9542425094393248</v>
      </c>
      <c r="BY149" s="10">
        <f>LOG(25)</f>
        <v>1.3979400086720377</v>
      </c>
      <c r="CB149" s="10">
        <v>0</v>
      </c>
      <c r="CC149" s="10">
        <f>LOG(1500)</f>
        <v>3.1760912590556813</v>
      </c>
      <c r="CD149" s="10" t="s">
        <v>842</v>
      </c>
      <c r="CE149" s="10" t="s">
        <v>635</v>
      </c>
      <c r="CG149" t="s">
        <v>572</v>
      </c>
      <c r="CH149" s="10" t="s">
        <v>636</v>
      </c>
    </row>
    <row r="150" spans="1:86" x14ac:dyDescent="0.3">
      <c r="A150">
        <v>146</v>
      </c>
      <c r="B150" t="s">
        <v>332</v>
      </c>
      <c r="C150" t="s">
        <v>350</v>
      </c>
      <c r="D150" t="s">
        <v>634</v>
      </c>
      <c r="E150" t="s">
        <v>611</v>
      </c>
      <c r="F150" t="s">
        <v>612</v>
      </c>
      <c r="H150" t="s">
        <v>613</v>
      </c>
      <c r="I150" t="s">
        <v>614</v>
      </c>
      <c r="Z150">
        <v>2</v>
      </c>
      <c r="BG150" t="s">
        <v>311</v>
      </c>
      <c r="BH150" t="s">
        <v>624</v>
      </c>
      <c r="BI150" s="10" t="s">
        <v>568</v>
      </c>
      <c r="BK150" s="10" t="s">
        <v>137</v>
      </c>
      <c r="BL150" s="17">
        <v>0.63</v>
      </c>
      <c r="BM150" s="52">
        <f>AVERAGE(54,71)</f>
        <v>62.5</v>
      </c>
      <c r="BS150" s="10">
        <f>LOG(360)</f>
        <v>2.5563025007672873</v>
      </c>
      <c r="BV150" s="10">
        <f>LOG(29)</f>
        <v>1.4623979978989561</v>
      </c>
      <c r="BW150" s="10">
        <f>LOG(6300)</f>
        <v>3.7993405494535817</v>
      </c>
      <c r="BY150" s="10">
        <f>LOG(84)</f>
        <v>1.9242792860618816</v>
      </c>
      <c r="CB150" s="10">
        <f>LOG(8)</f>
        <v>0.90308998699194354</v>
      </c>
      <c r="CC150" s="10">
        <f>LOG(2000)</f>
        <v>3.3010299956639813</v>
      </c>
      <c r="CE150" s="10" t="s">
        <v>635</v>
      </c>
      <c r="CG150" t="s">
        <v>572</v>
      </c>
      <c r="CH150" s="10" t="s">
        <v>636</v>
      </c>
    </row>
    <row r="151" spans="1:86" x14ac:dyDescent="0.3">
      <c r="A151">
        <v>147</v>
      </c>
      <c r="B151" t="s">
        <v>332</v>
      </c>
      <c r="C151" t="s">
        <v>350</v>
      </c>
      <c r="D151" t="s">
        <v>637</v>
      </c>
      <c r="E151" t="s">
        <v>611</v>
      </c>
      <c r="F151" t="s">
        <v>612</v>
      </c>
      <c r="H151" t="s">
        <v>613</v>
      </c>
      <c r="I151" t="s">
        <v>614</v>
      </c>
      <c r="Z151">
        <v>2</v>
      </c>
      <c r="BG151" t="s">
        <v>311</v>
      </c>
      <c r="BH151" t="s">
        <v>624</v>
      </c>
      <c r="BI151" s="10" t="s">
        <v>568</v>
      </c>
      <c r="BK151" s="10" t="s">
        <v>137</v>
      </c>
      <c r="BL151" s="17">
        <v>-0.18</v>
      </c>
      <c r="BM151" s="52">
        <f>AVERAGE(23,14)</f>
        <v>18.5</v>
      </c>
      <c r="BS151" s="10">
        <f>LOG(49)</f>
        <v>1.6901960800285136</v>
      </c>
      <c r="BV151" s="10">
        <f>LOG(3)</f>
        <v>0.47712125471966244</v>
      </c>
      <c r="BW151" s="10">
        <f>LOG(490)</f>
        <v>2.6901960800285138</v>
      </c>
      <c r="BY151" s="10">
        <f>LOG(74)</f>
        <v>1.8692317197309762</v>
      </c>
      <c r="CB151" s="10">
        <f>LOG(4)</f>
        <v>0.6020599913279624</v>
      </c>
      <c r="CC151" s="10">
        <f>LOG(2300)</f>
        <v>3.3617278360175931</v>
      </c>
      <c r="CE151" s="10" t="s">
        <v>635</v>
      </c>
      <c r="CG151" t="s">
        <v>572</v>
      </c>
      <c r="CH151" s="10" t="s">
        <v>636</v>
      </c>
    </row>
    <row r="152" spans="1:86" x14ac:dyDescent="0.3">
      <c r="A152">
        <v>148</v>
      </c>
      <c r="B152" t="s">
        <v>332</v>
      </c>
      <c r="C152" t="s">
        <v>350</v>
      </c>
      <c r="D152" t="s">
        <v>638</v>
      </c>
      <c r="E152" t="s">
        <v>611</v>
      </c>
      <c r="F152" t="s">
        <v>612</v>
      </c>
      <c r="H152" t="s">
        <v>613</v>
      </c>
      <c r="I152" t="s">
        <v>614</v>
      </c>
      <c r="Z152">
        <v>2</v>
      </c>
      <c r="BG152" t="s">
        <v>311</v>
      </c>
      <c r="BH152" t="s">
        <v>624</v>
      </c>
      <c r="BI152" s="10" t="s">
        <v>568</v>
      </c>
      <c r="BK152" s="10" t="s">
        <v>137</v>
      </c>
      <c r="BL152" s="17">
        <v>0.45</v>
      </c>
      <c r="BM152" s="52">
        <f>AVERAGE(77,85)</f>
        <v>81</v>
      </c>
      <c r="BS152" s="10">
        <f>LOG(199)</f>
        <v>2.2988530764097068</v>
      </c>
      <c r="BV152" s="10">
        <f>LOG(3)</f>
        <v>0.47712125471966244</v>
      </c>
      <c r="BW152" s="10">
        <f>LOG(6300)</f>
        <v>3.7993405494535817</v>
      </c>
      <c r="BY152" s="10">
        <f>LOG(71)</f>
        <v>1.8512583487190752</v>
      </c>
      <c r="CB152" s="10">
        <f>LOG(4)</f>
        <v>0.6020599913279624</v>
      </c>
      <c r="CC152" s="10">
        <f>LOG(2300)</f>
        <v>3.3617278360175931</v>
      </c>
      <c r="CE152" s="10" t="s">
        <v>635</v>
      </c>
      <c r="CG152" t="s">
        <v>572</v>
      </c>
      <c r="CH152" s="10" t="s">
        <v>636</v>
      </c>
    </row>
    <row r="153" spans="1:86" x14ac:dyDescent="0.3">
      <c r="A153">
        <v>149</v>
      </c>
      <c r="B153" t="s">
        <v>336</v>
      </c>
      <c r="C153" t="s">
        <v>339</v>
      </c>
      <c r="D153" t="s">
        <v>639</v>
      </c>
      <c r="F153" t="s">
        <v>640</v>
      </c>
      <c r="H153" t="s">
        <v>641</v>
      </c>
      <c r="I153" t="s">
        <v>614</v>
      </c>
      <c r="BG153" t="s">
        <v>312</v>
      </c>
      <c r="BH153" s="10" t="s">
        <v>314</v>
      </c>
      <c r="BI153" s="10" t="s">
        <v>568</v>
      </c>
      <c r="BK153" s="10" t="s">
        <v>137</v>
      </c>
      <c r="BL153" s="10">
        <v>1.77</v>
      </c>
      <c r="BP153" s="10">
        <v>1.25</v>
      </c>
      <c r="BQ153" s="10">
        <v>3.06</v>
      </c>
      <c r="CE153" s="10" t="s">
        <v>642</v>
      </c>
      <c r="CF153" t="s">
        <v>643</v>
      </c>
      <c r="CG153" t="s">
        <v>572</v>
      </c>
      <c r="CH153" s="10" t="s">
        <v>573</v>
      </c>
    </row>
    <row r="154" spans="1:86" x14ac:dyDescent="0.3">
      <c r="A154">
        <v>150</v>
      </c>
      <c r="B154" t="s">
        <v>336</v>
      </c>
      <c r="C154" t="s">
        <v>339</v>
      </c>
      <c r="D154" t="s">
        <v>639</v>
      </c>
      <c r="F154" t="s">
        <v>640</v>
      </c>
      <c r="H154" t="s">
        <v>641</v>
      </c>
      <c r="I154" t="s">
        <v>614</v>
      </c>
      <c r="BG154" t="s">
        <v>312</v>
      </c>
      <c r="BH154" t="s">
        <v>314</v>
      </c>
      <c r="BI154" s="10" t="s">
        <v>568</v>
      </c>
      <c r="BK154" s="10" t="s">
        <v>137</v>
      </c>
      <c r="BL154" s="10">
        <v>1.59</v>
      </c>
      <c r="BP154" s="10">
        <v>1.1200000000000001</v>
      </c>
      <c r="BQ154" s="10">
        <v>3.3</v>
      </c>
      <c r="CE154" s="10" t="s">
        <v>642</v>
      </c>
      <c r="CF154" t="s">
        <v>643</v>
      </c>
      <c r="CG154" t="s">
        <v>572</v>
      </c>
      <c r="CH154" s="10" t="s">
        <v>573</v>
      </c>
    </row>
    <row r="155" spans="1:86" x14ac:dyDescent="0.3">
      <c r="A155">
        <v>151</v>
      </c>
      <c r="B155" t="s">
        <v>336</v>
      </c>
      <c r="C155" t="s">
        <v>339</v>
      </c>
      <c r="D155" t="s">
        <v>644</v>
      </c>
      <c r="F155" t="s">
        <v>640</v>
      </c>
      <c r="H155" t="s">
        <v>641</v>
      </c>
      <c r="I155" t="s">
        <v>614</v>
      </c>
      <c r="BG155" t="s">
        <v>312</v>
      </c>
      <c r="BH155" t="s">
        <v>314</v>
      </c>
      <c r="BI155" s="10" t="s">
        <v>568</v>
      </c>
      <c r="BK155" s="10" t="s">
        <v>137</v>
      </c>
      <c r="BL155" s="10">
        <v>1.76</v>
      </c>
      <c r="BP155" s="10">
        <v>1.56</v>
      </c>
      <c r="BQ155" s="10">
        <v>2.2000000000000002</v>
      </c>
      <c r="CE155" s="10" t="s">
        <v>642</v>
      </c>
      <c r="CF155" t="s">
        <v>643</v>
      </c>
      <c r="CG155" t="s">
        <v>572</v>
      </c>
      <c r="CH155" s="10" t="s">
        <v>573</v>
      </c>
    </row>
    <row r="156" spans="1:86" x14ac:dyDescent="0.3">
      <c r="A156">
        <v>152</v>
      </c>
      <c r="B156" t="s">
        <v>336</v>
      </c>
      <c r="C156" t="s">
        <v>339</v>
      </c>
      <c r="D156" t="s">
        <v>644</v>
      </c>
      <c r="F156" t="s">
        <v>640</v>
      </c>
      <c r="H156" t="s">
        <v>641</v>
      </c>
      <c r="I156" t="s">
        <v>614</v>
      </c>
      <c r="BG156" t="s">
        <v>312</v>
      </c>
      <c r="BH156" t="s">
        <v>314</v>
      </c>
      <c r="BI156" s="10" t="s">
        <v>568</v>
      </c>
      <c r="BK156" s="10" t="s">
        <v>137</v>
      </c>
      <c r="BL156" s="10">
        <v>1.4</v>
      </c>
      <c r="BP156" s="10">
        <v>1.06</v>
      </c>
      <c r="BQ156" s="10">
        <v>2.27</v>
      </c>
      <c r="CE156" s="10" t="s">
        <v>642</v>
      </c>
      <c r="CF156" t="s">
        <v>643</v>
      </c>
      <c r="CG156" t="s">
        <v>572</v>
      </c>
      <c r="CH156" s="10" t="s">
        <v>573</v>
      </c>
    </row>
    <row r="157" spans="1:86" x14ac:dyDescent="0.3">
      <c r="A157">
        <v>153</v>
      </c>
      <c r="B157" t="s">
        <v>336</v>
      </c>
      <c r="C157" t="s">
        <v>339</v>
      </c>
      <c r="D157" t="s">
        <v>639</v>
      </c>
      <c r="F157" t="s">
        <v>640</v>
      </c>
      <c r="H157" t="s">
        <v>641</v>
      </c>
      <c r="I157" t="s">
        <v>614</v>
      </c>
      <c r="BG157" t="s">
        <v>311</v>
      </c>
      <c r="BH157" t="s">
        <v>315</v>
      </c>
      <c r="BI157" s="10" t="s">
        <v>568</v>
      </c>
      <c r="BK157" s="10" t="s">
        <v>137</v>
      </c>
      <c r="BL157" s="10">
        <v>1.49</v>
      </c>
      <c r="BP157" s="10">
        <v>0.61</v>
      </c>
      <c r="BQ157" s="10">
        <v>3.1</v>
      </c>
      <c r="CE157" s="10" t="s">
        <v>642</v>
      </c>
      <c r="CF157" t="s">
        <v>643</v>
      </c>
      <c r="CG157" t="s">
        <v>572</v>
      </c>
      <c r="CH157" s="10" t="s">
        <v>573</v>
      </c>
    </row>
    <row r="158" spans="1:86" x14ac:dyDescent="0.3">
      <c r="A158">
        <v>154</v>
      </c>
      <c r="B158" t="s">
        <v>336</v>
      </c>
      <c r="C158" t="s">
        <v>339</v>
      </c>
      <c r="D158" t="s">
        <v>639</v>
      </c>
      <c r="F158" t="s">
        <v>640</v>
      </c>
      <c r="H158" t="s">
        <v>641</v>
      </c>
      <c r="I158" t="s">
        <v>614</v>
      </c>
      <c r="BG158" t="s">
        <v>311</v>
      </c>
      <c r="BH158" t="s">
        <v>315</v>
      </c>
      <c r="BI158" s="10" t="s">
        <v>568</v>
      </c>
      <c r="BK158" s="10" t="s">
        <v>137</v>
      </c>
      <c r="BL158" s="10">
        <v>1.21</v>
      </c>
      <c r="BP158" s="10">
        <v>0.5</v>
      </c>
      <c r="BQ158" s="10">
        <v>1.76</v>
      </c>
      <c r="CE158" s="10" t="s">
        <v>642</v>
      </c>
      <c r="CF158" t="s">
        <v>643</v>
      </c>
      <c r="CG158" t="s">
        <v>572</v>
      </c>
      <c r="CH158" s="10" t="s">
        <v>573</v>
      </c>
    </row>
    <row r="159" spans="1:86" x14ac:dyDescent="0.3">
      <c r="A159">
        <v>155</v>
      </c>
      <c r="B159" t="s">
        <v>336</v>
      </c>
      <c r="C159" t="s">
        <v>339</v>
      </c>
      <c r="D159" t="s">
        <v>644</v>
      </c>
      <c r="F159" t="s">
        <v>640</v>
      </c>
      <c r="H159" t="s">
        <v>641</v>
      </c>
      <c r="I159" t="s">
        <v>614</v>
      </c>
      <c r="BG159" t="s">
        <v>311</v>
      </c>
      <c r="BH159" t="s">
        <v>315</v>
      </c>
      <c r="BI159" s="10" t="s">
        <v>568</v>
      </c>
      <c r="BK159" s="10" t="s">
        <v>137</v>
      </c>
      <c r="BL159" s="10">
        <v>1.56</v>
      </c>
      <c r="BP159" s="10">
        <v>0.98</v>
      </c>
      <c r="BQ159" s="10">
        <v>1.63</v>
      </c>
      <c r="CE159" s="10" t="s">
        <v>642</v>
      </c>
      <c r="CF159" t="s">
        <v>643</v>
      </c>
      <c r="CG159" t="s">
        <v>572</v>
      </c>
      <c r="CH159" s="10" t="s">
        <v>573</v>
      </c>
    </row>
    <row r="160" spans="1:86" x14ac:dyDescent="0.3">
      <c r="A160">
        <v>156</v>
      </c>
      <c r="B160" t="s">
        <v>336</v>
      </c>
      <c r="C160" t="s">
        <v>339</v>
      </c>
      <c r="D160" t="s">
        <v>644</v>
      </c>
      <c r="F160" t="s">
        <v>640</v>
      </c>
      <c r="H160" t="s">
        <v>641</v>
      </c>
      <c r="I160" t="s">
        <v>614</v>
      </c>
      <c r="BG160" t="s">
        <v>311</v>
      </c>
      <c r="BH160" t="s">
        <v>315</v>
      </c>
      <c r="BI160" s="10" t="s">
        <v>568</v>
      </c>
      <c r="BK160" s="10" t="s">
        <v>137</v>
      </c>
      <c r="BL160" s="10">
        <v>2.89</v>
      </c>
      <c r="BP160" s="10">
        <v>0.51</v>
      </c>
      <c r="BQ160" s="10">
        <v>3.21</v>
      </c>
      <c r="CE160" s="10" t="s">
        <v>642</v>
      </c>
      <c r="CF160" t="s">
        <v>643</v>
      </c>
      <c r="CG160" t="s">
        <v>572</v>
      </c>
      <c r="CH160" s="10" t="s">
        <v>573</v>
      </c>
    </row>
    <row r="161" spans="1:86" x14ac:dyDescent="0.3">
      <c r="A161">
        <v>157</v>
      </c>
      <c r="B161" t="s">
        <v>336</v>
      </c>
      <c r="C161" t="s">
        <v>339</v>
      </c>
      <c r="D161" t="s">
        <v>639</v>
      </c>
      <c r="F161" t="s">
        <v>640</v>
      </c>
      <c r="H161" t="s">
        <v>641</v>
      </c>
      <c r="I161" t="s">
        <v>614</v>
      </c>
      <c r="BG161" t="s">
        <v>312</v>
      </c>
      <c r="BH161" t="s">
        <v>645</v>
      </c>
      <c r="BI161" s="10" t="s">
        <v>568</v>
      </c>
      <c r="BK161" s="10" t="s">
        <v>137</v>
      </c>
      <c r="BL161" s="10">
        <v>2.93</v>
      </c>
      <c r="BP161" s="10">
        <v>2.63</v>
      </c>
      <c r="BQ161" s="10">
        <v>3.93</v>
      </c>
      <c r="CE161" s="10" t="s">
        <v>642</v>
      </c>
      <c r="CF161" t="s">
        <v>643</v>
      </c>
      <c r="CG161" t="s">
        <v>572</v>
      </c>
      <c r="CH161" s="10" t="s">
        <v>573</v>
      </c>
    </row>
    <row r="162" spans="1:86" x14ac:dyDescent="0.3">
      <c r="A162">
        <v>158</v>
      </c>
      <c r="B162" t="s">
        <v>336</v>
      </c>
      <c r="C162" t="s">
        <v>339</v>
      </c>
      <c r="D162" t="s">
        <v>639</v>
      </c>
      <c r="F162" t="s">
        <v>640</v>
      </c>
      <c r="H162" t="s">
        <v>641</v>
      </c>
      <c r="I162" t="s">
        <v>614</v>
      </c>
      <c r="BG162" t="s">
        <v>312</v>
      </c>
      <c r="BH162" t="s">
        <v>645</v>
      </c>
      <c r="BI162" s="10" t="s">
        <v>568</v>
      </c>
      <c r="BK162" s="10" t="s">
        <v>137</v>
      </c>
      <c r="BL162" s="10">
        <v>2.2999999999999998</v>
      </c>
      <c r="BP162" s="10">
        <v>1.92</v>
      </c>
      <c r="BQ162" s="10">
        <v>3.48</v>
      </c>
      <c r="CE162" s="10" t="s">
        <v>642</v>
      </c>
      <c r="CF162" t="s">
        <v>643</v>
      </c>
      <c r="CG162" t="s">
        <v>572</v>
      </c>
      <c r="CH162" s="10" t="s">
        <v>573</v>
      </c>
    </row>
    <row r="163" spans="1:86" x14ac:dyDescent="0.3">
      <c r="A163">
        <v>159</v>
      </c>
      <c r="B163" t="s">
        <v>336</v>
      </c>
      <c r="C163" t="s">
        <v>339</v>
      </c>
      <c r="D163" t="s">
        <v>644</v>
      </c>
      <c r="F163" t="s">
        <v>640</v>
      </c>
      <c r="H163" t="s">
        <v>641</v>
      </c>
      <c r="I163" t="s">
        <v>614</v>
      </c>
      <c r="BG163" t="s">
        <v>312</v>
      </c>
      <c r="BH163" t="s">
        <v>645</v>
      </c>
      <c r="BI163" s="10" t="s">
        <v>568</v>
      </c>
      <c r="BK163" s="10" t="s">
        <v>137</v>
      </c>
      <c r="BL163" s="10">
        <v>1.69</v>
      </c>
      <c r="BP163" s="10">
        <v>0.84</v>
      </c>
      <c r="CE163" s="10" t="s">
        <v>642</v>
      </c>
      <c r="CF163" t="s">
        <v>646</v>
      </c>
      <c r="CG163" t="s">
        <v>572</v>
      </c>
      <c r="CH163" s="10" t="s">
        <v>573</v>
      </c>
    </row>
    <row r="164" spans="1:86" x14ac:dyDescent="0.3">
      <c r="A164">
        <v>160</v>
      </c>
      <c r="B164" t="s">
        <v>336</v>
      </c>
      <c r="C164" t="s">
        <v>339</v>
      </c>
      <c r="D164" t="s">
        <v>644</v>
      </c>
      <c r="F164" t="s">
        <v>640</v>
      </c>
      <c r="H164" t="s">
        <v>641</v>
      </c>
      <c r="I164" t="s">
        <v>614</v>
      </c>
      <c r="BG164" t="s">
        <v>312</v>
      </c>
      <c r="BH164" t="s">
        <v>645</v>
      </c>
      <c r="BI164" s="10" t="s">
        <v>568</v>
      </c>
      <c r="BK164" s="10" t="s">
        <v>137</v>
      </c>
      <c r="BL164" s="10">
        <v>2.23</v>
      </c>
      <c r="BP164" s="10">
        <v>1.92</v>
      </c>
      <c r="BQ164" s="10">
        <v>3.32</v>
      </c>
      <c r="CE164" s="10" t="s">
        <v>642</v>
      </c>
      <c r="CF164" t="s">
        <v>643</v>
      </c>
      <c r="CG164" t="s">
        <v>572</v>
      </c>
      <c r="CH164" s="10" t="s">
        <v>573</v>
      </c>
    </row>
    <row r="165" spans="1:86" x14ac:dyDescent="0.3">
      <c r="A165">
        <v>161</v>
      </c>
      <c r="B165" t="s">
        <v>336</v>
      </c>
      <c r="C165" t="s">
        <v>353</v>
      </c>
      <c r="F165" t="s">
        <v>640</v>
      </c>
      <c r="H165" t="s">
        <v>641</v>
      </c>
      <c r="I165" t="s">
        <v>614</v>
      </c>
      <c r="BG165" t="s">
        <v>312</v>
      </c>
      <c r="BH165" t="s">
        <v>314</v>
      </c>
      <c r="BI165" s="10" t="s">
        <v>568</v>
      </c>
      <c r="BK165" s="10" t="s">
        <v>137</v>
      </c>
      <c r="BL165" s="10">
        <v>2.16</v>
      </c>
      <c r="BP165" s="10">
        <v>1.59</v>
      </c>
      <c r="BQ165" s="10">
        <v>4.7699999999999996</v>
      </c>
      <c r="CE165" s="10" t="s">
        <v>647</v>
      </c>
      <c r="CF165" t="s">
        <v>643</v>
      </c>
      <c r="CG165" t="s">
        <v>572</v>
      </c>
      <c r="CH165" s="10" t="s">
        <v>573</v>
      </c>
    </row>
    <row r="166" spans="1:86" x14ac:dyDescent="0.3">
      <c r="A166">
        <v>162</v>
      </c>
      <c r="B166" t="s">
        <v>336</v>
      </c>
      <c r="C166" t="s">
        <v>353</v>
      </c>
      <c r="F166" t="s">
        <v>640</v>
      </c>
      <c r="H166" t="s">
        <v>641</v>
      </c>
      <c r="I166" t="s">
        <v>614</v>
      </c>
      <c r="BG166" t="s">
        <v>312</v>
      </c>
      <c r="BH166" t="s">
        <v>314</v>
      </c>
      <c r="BI166" s="10" t="s">
        <v>568</v>
      </c>
      <c r="BK166" s="10" t="s">
        <v>137</v>
      </c>
      <c r="BL166" s="10">
        <v>1.39</v>
      </c>
      <c r="BP166" s="10">
        <v>1.06</v>
      </c>
      <c r="BQ166" s="10">
        <v>1.72</v>
      </c>
      <c r="CE166" s="10" t="s">
        <v>647</v>
      </c>
      <c r="CF166" t="s">
        <v>643</v>
      </c>
      <c r="CG166" t="s">
        <v>572</v>
      </c>
      <c r="CH166" s="10" t="s">
        <v>573</v>
      </c>
    </row>
    <row r="167" spans="1:86" x14ac:dyDescent="0.3">
      <c r="A167">
        <v>163</v>
      </c>
      <c r="B167" t="s">
        <v>336</v>
      </c>
      <c r="C167" t="s">
        <v>353</v>
      </c>
      <c r="F167" t="s">
        <v>640</v>
      </c>
      <c r="H167" t="s">
        <v>641</v>
      </c>
      <c r="I167" t="s">
        <v>614</v>
      </c>
      <c r="BG167" t="s">
        <v>311</v>
      </c>
      <c r="BH167" t="s">
        <v>315</v>
      </c>
      <c r="BI167" s="10" t="s">
        <v>568</v>
      </c>
      <c r="BK167" s="10" t="s">
        <v>137</v>
      </c>
      <c r="BL167" s="10">
        <v>3.47</v>
      </c>
      <c r="BP167" s="10">
        <v>2.69</v>
      </c>
      <c r="BQ167" s="10">
        <v>4.1399999999999997</v>
      </c>
      <c r="CE167" s="10" t="s">
        <v>647</v>
      </c>
      <c r="CF167" t="s">
        <v>643</v>
      </c>
      <c r="CG167" t="s">
        <v>572</v>
      </c>
      <c r="CH167" s="10" t="s">
        <v>573</v>
      </c>
    </row>
    <row r="168" spans="1:86" x14ac:dyDescent="0.3">
      <c r="A168">
        <v>164</v>
      </c>
      <c r="B168" t="s">
        <v>336</v>
      </c>
      <c r="C168" t="s">
        <v>353</v>
      </c>
      <c r="F168" t="s">
        <v>640</v>
      </c>
      <c r="H168" t="s">
        <v>641</v>
      </c>
      <c r="I168" t="s">
        <v>614</v>
      </c>
      <c r="BG168" t="s">
        <v>311</v>
      </c>
      <c r="BH168" t="s">
        <v>315</v>
      </c>
      <c r="BI168" s="10" t="s">
        <v>568</v>
      </c>
      <c r="BK168" s="10" t="s">
        <v>137</v>
      </c>
      <c r="BL168" s="10">
        <v>1.1499999999999999</v>
      </c>
      <c r="BP168" s="10">
        <v>0.88</v>
      </c>
      <c r="BQ168" s="10">
        <v>2.3199999999999998</v>
      </c>
      <c r="CE168" s="10" t="s">
        <v>647</v>
      </c>
      <c r="CF168" t="s">
        <v>643</v>
      </c>
      <c r="CG168" t="s">
        <v>572</v>
      </c>
      <c r="CH168" s="10" t="s">
        <v>573</v>
      </c>
    </row>
    <row r="169" spans="1:86" x14ac:dyDescent="0.3">
      <c r="A169">
        <v>165</v>
      </c>
      <c r="B169" t="s">
        <v>336</v>
      </c>
      <c r="C169" t="s">
        <v>353</v>
      </c>
      <c r="F169" t="s">
        <v>640</v>
      </c>
      <c r="H169" t="s">
        <v>641</v>
      </c>
      <c r="I169" t="s">
        <v>614</v>
      </c>
      <c r="BG169" t="s">
        <v>312</v>
      </c>
      <c r="BH169" t="s">
        <v>645</v>
      </c>
      <c r="BI169" s="10" t="s">
        <v>568</v>
      </c>
      <c r="BK169" s="10" t="s">
        <v>137</v>
      </c>
      <c r="BL169" s="10">
        <v>1.61</v>
      </c>
      <c r="BP169" s="10">
        <v>1.1499999999999999</v>
      </c>
      <c r="BQ169" s="10">
        <v>2.14</v>
      </c>
      <c r="CE169" s="10" t="s">
        <v>647</v>
      </c>
      <c r="CF169" t="s">
        <v>643</v>
      </c>
      <c r="CG169" t="s">
        <v>572</v>
      </c>
      <c r="CH169" s="10" t="s">
        <v>573</v>
      </c>
    </row>
    <row r="170" spans="1:86" x14ac:dyDescent="0.3">
      <c r="A170">
        <v>166</v>
      </c>
      <c r="B170" t="s">
        <v>336</v>
      </c>
      <c r="C170" t="s">
        <v>353</v>
      </c>
      <c r="F170" t="s">
        <v>640</v>
      </c>
      <c r="H170" t="s">
        <v>641</v>
      </c>
      <c r="I170" t="s">
        <v>614</v>
      </c>
      <c r="BG170" t="s">
        <v>312</v>
      </c>
      <c r="BH170" t="s">
        <v>645</v>
      </c>
      <c r="BI170" s="10" t="s">
        <v>568</v>
      </c>
      <c r="BK170" s="10" t="s">
        <v>137</v>
      </c>
      <c r="BL170" s="10">
        <v>1.47</v>
      </c>
      <c r="BP170" s="10">
        <v>1.23</v>
      </c>
      <c r="BQ170" s="10">
        <v>1.86</v>
      </c>
      <c r="CE170" s="10" t="s">
        <v>647</v>
      </c>
      <c r="CF170" t="s">
        <v>643</v>
      </c>
      <c r="CG170" t="s">
        <v>572</v>
      </c>
      <c r="CH170" s="10" t="s">
        <v>573</v>
      </c>
    </row>
    <row r="171" spans="1:86" x14ac:dyDescent="0.3">
      <c r="A171">
        <v>167</v>
      </c>
      <c r="B171" t="s">
        <v>338</v>
      </c>
      <c r="C171" t="s">
        <v>329</v>
      </c>
      <c r="E171" t="s">
        <v>564</v>
      </c>
      <c r="F171" t="s">
        <v>565</v>
      </c>
      <c r="G171" t="s">
        <v>648</v>
      </c>
      <c r="I171" t="s">
        <v>564</v>
      </c>
      <c r="S171">
        <v>10.6</v>
      </c>
      <c r="BG171" t="s">
        <v>312</v>
      </c>
      <c r="BH171" t="s">
        <v>314</v>
      </c>
      <c r="BI171" s="10" t="s">
        <v>568</v>
      </c>
      <c r="BK171" s="10" t="s">
        <v>137</v>
      </c>
      <c r="BL171" s="10">
        <v>4</v>
      </c>
      <c r="BS171" s="10">
        <f>LOG(4*10^6)</f>
        <v>6.6020599913279625</v>
      </c>
      <c r="CE171" s="10" t="s">
        <v>649</v>
      </c>
      <c r="CF171" t="s">
        <v>650</v>
      </c>
      <c r="CG171" t="s">
        <v>651</v>
      </c>
      <c r="CH171" s="10" t="s">
        <v>652</v>
      </c>
    </row>
    <row r="172" spans="1:86" x14ac:dyDescent="0.3">
      <c r="A172">
        <v>168</v>
      </c>
      <c r="B172" t="s">
        <v>338</v>
      </c>
      <c r="C172" t="s">
        <v>333</v>
      </c>
      <c r="D172" t="s">
        <v>653</v>
      </c>
      <c r="E172" t="s">
        <v>564</v>
      </c>
      <c r="F172" t="s">
        <v>565</v>
      </c>
      <c r="G172" t="s">
        <v>648</v>
      </c>
      <c r="I172" t="s">
        <v>564</v>
      </c>
      <c r="N172">
        <v>10.199999999999999</v>
      </c>
      <c r="S172">
        <v>10</v>
      </c>
      <c r="BG172" t="s">
        <v>312</v>
      </c>
      <c r="BH172" t="s">
        <v>314</v>
      </c>
      <c r="BI172" s="10" t="s">
        <v>568</v>
      </c>
      <c r="BK172" s="10" t="s">
        <v>137</v>
      </c>
      <c r="BL172" s="10">
        <v>5</v>
      </c>
      <c r="BS172" s="10">
        <f>LOG(4*10^6)</f>
        <v>6.6020599913279625</v>
      </c>
      <c r="CE172" s="10" t="s">
        <v>649</v>
      </c>
      <c r="CF172" t="s">
        <v>654</v>
      </c>
      <c r="CG172" t="s">
        <v>651</v>
      </c>
      <c r="CH172" s="10" t="s">
        <v>652</v>
      </c>
    </row>
    <row r="173" spans="1:86" x14ac:dyDescent="0.3">
      <c r="A173">
        <v>169</v>
      </c>
      <c r="B173" t="s">
        <v>338</v>
      </c>
      <c r="C173" t="s">
        <v>333</v>
      </c>
      <c r="D173" t="s">
        <v>653</v>
      </c>
      <c r="E173" t="s">
        <v>564</v>
      </c>
      <c r="F173" t="s">
        <v>565</v>
      </c>
      <c r="G173" t="s">
        <v>648</v>
      </c>
      <c r="I173" t="s">
        <v>564</v>
      </c>
      <c r="N173">
        <v>10.199999999999999</v>
      </c>
      <c r="S173">
        <v>8.6</v>
      </c>
      <c r="BG173" t="s">
        <v>312</v>
      </c>
      <c r="BH173" t="s">
        <v>314</v>
      </c>
      <c r="BI173" s="10" t="s">
        <v>568</v>
      </c>
      <c r="BK173" s="10" t="s">
        <v>137</v>
      </c>
      <c r="BL173" s="10">
        <v>4</v>
      </c>
      <c r="BS173" s="10">
        <f>LOG(4*10^6)</f>
        <v>6.6020599913279625</v>
      </c>
      <c r="CE173" s="10" t="s">
        <v>649</v>
      </c>
      <c r="CF173" t="s">
        <v>654</v>
      </c>
      <c r="CG173" t="s">
        <v>651</v>
      </c>
      <c r="CH173" s="10" t="s">
        <v>652</v>
      </c>
    </row>
    <row r="174" spans="1:86" x14ac:dyDescent="0.3">
      <c r="A174">
        <v>170</v>
      </c>
      <c r="B174" t="s">
        <v>338</v>
      </c>
      <c r="C174" t="s">
        <v>355</v>
      </c>
      <c r="D174" t="s">
        <v>655</v>
      </c>
      <c r="E174" t="s">
        <v>564</v>
      </c>
      <c r="F174" t="s">
        <v>565</v>
      </c>
      <c r="G174" t="s">
        <v>648</v>
      </c>
      <c r="I174" t="s">
        <v>564</v>
      </c>
      <c r="N174">
        <v>57.633000000000003</v>
      </c>
      <c r="S174">
        <v>8.8000000000000007</v>
      </c>
      <c r="BG174" t="s">
        <v>312</v>
      </c>
      <c r="BH174" t="s">
        <v>314</v>
      </c>
      <c r="BI174" s="10" t="s">
        <v>568</v>
      </c>
      <c r="BK174" s="10" t="s">
        <v>137</v>
      </c>
      <c r="BL174" s="10">
        <v>4</v>
      </c>
      <c r="BS174" s="10">
        <f>LOG(4*10^6)</f>
        <v>6.6020599913279625</v>
      </c>
      <c r="CE174" s="10" t="s">
        <v>649</v>
      </c>
      <c r="CF174" t="s">
        <v>654</v>
      </c>
      <c r="CG174" t="s">
        <v>651</v>
      </c>
      <c r="CH174" s="10" t="s">
        <v>652</v>
      </c>
    </row>
    <row r="175" spans="1:86" x14ac:dyDescent="0.3">
      <c r="A175">
        <v>171</v>
      </c>
      <c r="B175" t="s">
        <v>338</v>
      </c>
      <c r="C175" t="s">
        <v>329</v>
      </c>
      <c r="E175" t="s">
        <v>564</v>
      </c>
      <c r="F175" t="s">
        <v>565</v>
      </c>
      <c r="G175" t="s">
        <v>648</v>
      </c>
      <c r="I175" t="s">
        <v>564</v>
      </c>
      <c r="S175">
        <v>85</v>
      </c>
      <c r="BG175" t="s">
        <v>311</v>
      </c>
      <c r="BH175" t="s">
        <v>315</v>
      </c>
      <c r="BI175" s="10" t="s">
        <v>568</v>
      </c>
      <c r="BK175" s="10" t="s">
        <v>137</v>
      </c>
      <c r="BL175" s="10">
        <v>4</v>
      </c>
      <c r="BS175" s="10">
        <f>LOG(3*10^6)</f>
        <v>6.4771212547196626</v>
      </c>
      <c r="CE175" s="10" t="s">
        <v>649</v>
      </c>
      <c r="CF175" t="s">
        <v>654</v>
      </c>
      <c r="CG175" t="s">
        <v>651</v>
      </c>
      <c r="CH175" s="10" t="s">
        <v>652</v>
      </c>
    </row>
    <row r="176" spans="1:86" x14ac:dyDescent="0.3">
      <c r="A176">
        <v>172</v>
      </c>
      <c r="B176" t="s">
        <v>338</v>
      </c>
      <c r="C176" t="s">
        <v>333</v>
      </c>
      <c r="D176" t="s">
        <v>653</v>
      </c>
      <c r="E176" t="s">
        <v>564</v>
      </c>
      <c r="F176" t="s">
        <v>565</v>
      </c>
      <c r="G176" t="s">
        <v>648</v>
      </c>
      <c r="I176" t="s">
        <v>564</v>
      </c>
      <c r="N176">
        <v>10.199999999999999</v>
      </c>
      <c r="S176">
        <v>6</v>
      </c>
      <c r="BG176" t="s">
        <v>311</v>
      </c>
      <c r="BH176" t="s">
        <v>315</v>
      </c>
      <c r="BI176" s="10" t="s">
        <v>568</v>
      </c>
      <c r="BK176" s="10" t="s">
        <v>137</v>
      </c>
      <c r="BL176" s="10">
        <v>4</v>
      </c>
      <c r="BS176" s="10">
        <f>LOG(3*10^6)</f>
        <v>6.4771212547196626</v>
      </c>
      <c r="CE176" s="10" t="s">
        <v>649</v>
      </c>
      <c r="CF176" t="s">
        <v>654</v>
      </c>
      <c r="CG176" t="s">
        <v>651</v>
      </c>
      <c r="CH176" s="10" t="s">
        <v>652</v>
      </c>
    </row>
    <row r="177" spans="1:86" x14ac:dyDescent="0.3">
      <c r="A177">
        <v>173</v>
      </c>
      <c r="B177" t="s">
        <v>338</v>
      </c>
      <c r="C177" t="s">
        <v>329</v>
      </c>
      <c r="E177" t="s">
        <v>564</v>
      </c>
      <c r="F177" t="s">
        <v>565</v>
      </c>
      <c r="G177" t="s">
        <v>648</v>
      </c>
      <c r="I177" t="s">
        <v>564</v>
      </c>
      <c r="S177">
        <v>30</v>
      </c>
      <c r="BG177" t="s">
        <v>312</v>
      </c>
      <c r="BH177" t="s">
        <v>656</v>
      </c>
      <c r="BI177" s="10" t="s">
        <v>568</v>
      </c>
      <c r="BK177" s="10" t="s">
        <v>137</v>
      </c>
      <c r="BL177" s="10">
        <v>4</v>
      </c>
      <c r="BS177" s="10">
        <f>LOG(4*10^6)</f>
        <v>6.6020599913279625</v>
      </c>
      <c r="CE177" s="10" t="s">
        <v>649</v>
      </c>
      <c r="CF177" t="s">
        <v>654</v>
      </c>
      <c r="CG177" t="s">
        <v>651</v>
      </c>
      <c r="CH177" s="10" t="s">
        <v>652</v>
      </c>
    </row>
    <row r="178" spans="1:86" x14ac:dyDescent="0.3">
      <c r="A178">
        <v>174</v>
      </c>
      <c r="B178" t="s">
        <v>342</v>
      </c>
      <c r="C178" t="s">
        <v>340</v>
      </c>
      <c r="D178" t="s">
        <v>657</v>
      </c>
      <c r="E178" t="s">
        <v>564</v>
      </c>
      <c r="F178" t="s">
        <v>577</v>
      </c>
      <c r="I178" t="s">
        <v>564</v>
      </c>
      <c r="J178" t="s">
        <v>658</v>
      </c>
      <c r="K178">
        <v>0.22</v>
      </c>
      <c r="AC178" t="s">
        <v>659</v>
      </c>
      <c r="AD178">
        <v>50</v>
      </c>
      <c r="AE178" t="s">
        <v>660</v>
      </c>
      <c r="BG178" t="s">
        <v>311</v>
      </c>
      <c r="BH178" t="s">
        <v>661</v>
      </c>
      <c r="BI178" s="10" t="s">
        <v>568</v>
      </c>
      <c r="BK178" s="10" t="s">
        <v>137</v>
      </c>
      <c r="BL178" s="10">
        <v>1.41</v>
      </c>
      <c r="CE178" s="10" t="s">
        <v>642</v>
      </c>
      <c r="CF178" t="s">
        <v>662</v>
      </c>
      <c r="CG178" t="s">
        <v>572</v>
      </c>
      <c r="CH178" t="s">
        <v>288</v>
      </c>
    </row>
    <row r="179" spans="1:86" x14ac:dyDescent="0.3">
      <c r="A179">
        <v>175</v>
      </c>
      <c r="B179" t="s">
        <v>342</v>
      </c>
      <c r="C179" t="s">
        <v>340</v>
      </c>
      <c r="D179" t="s">
        <v>657</v>
      </c>
      <c r="E179" t="s">
        <v>564</v>
      </c>
      <c r="F179" t="s">
        <v>577</v>
      </c>
      <c r="I179" t="s">
        <v>564</v>
      </c>
      <c r="J179" t="s">
        <v>658</v>
      </c>
      <c r="K179">
        <v>0.22</v>
      </c>
      <c r="AC179" t="s">
        <v>659</v>
      </c>
      <c r="AD179">
        <v>100</v>
      </c>
      <c r="AE179" t="s">
        <v>660</v>
      </c>
      <c r="BG179" t="s">
        <v>311</v>
      </c>
      <c r="BH179" t="s">
        <v>661</v>
      </c>
      <c r="BI179" s="10" t="s">
        <v>568</v>
      </c>
      <c r="BK179" s="10" t="s">
        <v>137</v>
      </c>
      <c r="BL179" s="10">
        <v>1.37</v>
      </c>
      <c r="CE179" s="10" t="s">
        <v>642</v>
      </c>
      <c r="CF179" t="s">
        <v>662</v>
      </c>
      <c r="CG179" t="s">
        <v>572</v>
      </c>
      <c r="CH179" t="s">
        <v>288</v>
      </c>
    </row>
    <row r="180" spans="1:86" x14ac:dyDescent="0.3">
      <c r="A180">
        <v>176</v>
      </c>
      <c r="B180" t="s">
        <v>342</v>
      </c>
      <c r="C180" t="s">
        <v>340</v>
      </c>
      <c r="D180" t="s">
        <v>657</v>
      </c>
      <c r="E180" t="s">
        <v>564</v>
      </c>
      <c r="F180" t="s">
        <v>577</v>
      </c>
      <c r="I180" t="s">
        <v>564</v>
      </c>
      <c r="J180" t="s">
        <v>658</v>
      </c>
      <c r="K180">
        <v>0.22</v>
      </c>
      <c r="AC180" t="s">
        <v>659</v>
      </c>
      <c r="AD180">
        <v>200</v>
      </c>
      <c r="AE180" t="s">
        <v>660</v>
      </c>
      <c r="BG180" t="s">
        <v>311</v>
      </c>
      <c r="BH180" t="s">
        <v>661</v>
      </c>
      <c r="BI180" s="10" t="s">
        <v>568</v>
      </c>
      <c r="BK180" s="10" t="s">
        <v>137</v>
      </c>
      <c r="BL180" s="10">
        <v>1.3</v>
      </c>
      <c r="CE180" s="10" t="s">
        <v>642</v>
      </c>
      <c r="CF180" t="s">
        <v>662</v>
      </c>
      <c r="CG180" t="s">
        <v>572</v>
      </c>
      <c r="CH180" t="s">
        <v>288</v>
      </c>
    </row>
    <row r="181" spans="1:86" x14ac:dyDescent="0.3">
      <c r="A181">
        <v>177</v>
      </c>
      <c r="B181" t="s">
        <v>342</v>
      </c>
      <c r="C181" t="s">
        <v>340</v>
      </c>
      <c r="D181" t="s">
        <v>663</v>
      </c>
      <c r="E181" t="s">
        <v>564</v>
      </c>
      <c r="F181" t="s">
        <v>577</v>
      </c>
      <c r="I181" t="s">
        <v>564</v>
      </c>
      <c r="J181" t="s">
        <v>658</v>
      </c>
      <c r="K181">
        <v>0.22</v>
      </c>
      <c r="AC181" t="s">
        <v>659</v>
      </c>
      <c r="AD181">
        <v>50</v>
      </c>
      <c r="AE181" t="s">
        <v>660</v>
      </c>
      <c r="BG181" t="s">
        <v>311</v>
      </c>
      <c r="BH181" t="s">
        <v>661</v>
      </c>
      <c r="BI181" s="10" t="s">
        <v>568</v>
      </c>
      <c r="BK181" s="10" t="s">
        <v>137</v>
      </c>
      <c r="BL181" s="10">
        <v>1.33</v>
      </c>
      <c r="CE181" s="10" t="s">
        <v>642</v>
      </c>
      <c r="CF181" t="s">
        <v>662</v>
      </c>
      <c r="CG181" t="s">
        <v>572</v>
      </c>
      <c r="CH181" t="s">
        <v>288</v>
      </c>
    </row>
    <row r="182" spans="1:86" x14ac:dyDescent="0.3">
      <c r="A182">
        <v>178</v>
      </c>
      <c r="B182" t="s">
        <v>342</v>
      </c>
      <c r="C182" t="s">
        <v>340</v>
      </c>
      <c r="D182" t="s">
        <v>663</v>
      </c>
      <c r="E182" t="s">
        <v>564</v>
      </c>
      <c r="F182" t="s">
        <v>577</v>
      </c>
      <c r="I182" t="s">
        <v>564</v>
      </c>
      <c r="J182" t="s">
        <v>658</v>
      </c>
      <c r="K182">
        <v>0.22</v>
      </c>
      <c r="AC182" t="s">
        <v>659</v>
      </c>
      <c r="AD182">
        <v>100</v>
      </c>
      <c r="AE182" t="s">
        <v>660</v>
      </c>
      <c r="BG182" t="s">
        <v>311</v>
      </c>
      <c r="BH182" t="s">
        <v>661</v>
      </c>
      <c r="BI182" s="10" t="s">
        <v>568</v>
      </c>
      <c r="BK182" s="10" t="s">
        <v>137</v>
      </c>
      <c r="BL182" s="10">
        <v>1.3</v>
      </c>
      <c r="CE182" s="10" t="s">
        <v>642</v>
      </c>
      <c r="CF182" t="s">
        <v>662</v>
      </c>
      <c r="CG182" t="s">
        <v>572</v>
      </c>
      <c r="CH182" t="s">
        <v>288</v>
      </c>
    </row>
    <row r="183" spans="1:86" x14ac:dyDescent="0.3">
      <c r="A183">
        <v>179</v>
      </c>
      <c r="B183" t="s">
        <v>342</v>
      </c>
      <c r="C183" t="s">
        <v>340</v>
      </c>
      <c r="D183" t="s">
        <v>663</v>
      </c>
      <c r="E183" t="s">
        <v>564</v>
      </c>
      <c r="F183" t="s">
        <v>577</v>
      </c>
      <c r="I183" t="s">
        <v>564</v>
      </c>
      <c r="J183" t="s">
        <v>658</v>
      </c>
      <c r="K183">
        <v>0.22</v>
      </c>
      <c r="AC183" t="s">
        <v>659</v>
      </c>
      <c r="AD183">
        <v>200</v>
      </c>
      <c r="AE183" t="s">
        <v>660</v>
      </c>
      <c r="BG183" t="s">
        <v>311</v>
      </c>
      <c r="BH183" t="s">
        <v>661</v>
      </c>
      <c r="BI183" s="10" t="s">
        <v>568</v>
      </c>
      <c r="BK183" s="10" t="s">
        <v>137</v>
      </c>
      <c r="BL183" s="10">
        <v>1.26</v>
      </c>
      <c r="CE183" s="10" t="s">
        <v>642</v>
      </c>
      <c r="CF183" t="s">
        <v>662</v>
      </c>
      <c r="CG183" t="s">
        <v>572</v>
      </c>
      <c r="CH183" t="s">
        <v>288</v>
      </c>
    </row>
    <row r="184" spans="1:86" x14ac:dyDescent="0.3">
      <c r="A184">
        <v>180</v>
      </c>
      <c r="B184" t="s">
        <v>342</v>
      </c>
      <c r="C184" t="s">
        <v>340</v>
      </c>
      <c r="D184" t="s">
        <v>657</v>
      </c>
      <c r="E184" t="s">
        <v>564</v>
      </c>
      <c r="F184" t="s">
        <v>577</v>
      </c>
      <c r="I184" t="s">
        <v>564</v>
      </c>
      <c r="J184" t="s">
        <v>658</v>
      </c>
      <c r="K184">
        <v>0.22</v>
      </c>
      <c r="AC184" t="s">
        <v>659</v>
      </c>
      <c r="AD184">
        <v>50</v>
      </c>
      <c r="AE184" t="s">
        <v>660</v>
      </c>
      <c r="BG184" t="s">
        <v>311</v>
      </c>
      <c r="BH184" t="s">
        <v>661</v>
      </c>
      <c r="BI184" s="10" t="s">
        <v>568</v>
      </c>
      <c r="BK184" s="10" t="s">
        <v>137</v>
      </c>
      <c r="BL184" s="10">
        <v>1.78</v>
      </c>
      <c r="CE184" s="10" t="s">
        <v>642</v>
      </c>
      <c r="CF184" t="s">
        <v>664</v>
      </c>
      <c r="CG184" t="s">
        <v>572</v>
      </c>
      <c r="CH184" t="s">
        <v>288</v>
      </c>
    </row>
    <row r="185" spans="1:86" x14ac:dyDescent="0.3">
      <c r="A185">
        <v>181</v>
      </c>
      <c r="B185" t="s">
        <v>342</v>
      </c>
      <c r="C185" t="s">
        <v>340</v>
      </c>
      <c r="D185" t="s">
        <v>657</v>
      </c>
      <c r="E185" t="s">
        <v>564</v>
      </c>
      <c r="F185" t="s">
        <v>577</v>
      </c>
      <c r="I185" t="s">
        <v>564</v>
      </c>
      <c r="J185" t="s">
        <v>658</v>
      </c>
      <c r="K185">
        <v>0.22</v>
      </c>
      <c r="AC185" t="s">
        <v>659</v>
      </c>
      <c r="AD185">
        <v>100</v>
      </c>
      <c r="AE185" t="s">
        <v>660</v>
      </c>
      <c r="BG185" t="s">
        <v>311</v>
      </c>
      <c r="BH185" t="s">
        <v>661</v>
      </c>
      <c r="BI185" s="10" t="s">
        <v>568</v>
      </c>
      <c r="BK185" s="10" t="s">
        <v>137</v>
      </c>
      <c r="BL185" s="10">
        <v>1.5</v>
      </c>
      <c r="CE185" s="10" t="s">
        <v>642</v>
      </c>
      <c r="CF185" t="s">
        <v>664</v>
      </c>
      <c r="CG185" t="s">
        <v>572</v>
      </c>
      <c r="CH185" t="s">
        <v>288</v>
      </c>
    </row>
    <row r="186" spans="1:86" x14ac:dyDescent="0.3">
      <c r="A186">
        <v>182</v>
      </c>
      <c r="B186" t="s">
        <v>342</v>
      </c>
      <c r="C186" t="s">
        <v>340</v>
      </c>
      <c r="D186" t="s">
        <v>657</v>
      </c>
      <c r="E186" t="s">
        <v>564</v>
      </c>
      <c r="F186" t="s">
        <v>577</v>
      </c>
      <c r="I186" t="s">
        <v>564</v>
      </c>
      <c r="J186" t="s">
        <v>658</v>
      </c>
      <c r="K186">
        <v>0.22</v>
      </c>
      <c r="AC186" t="s">
        <v>659</v>
      </c>
      <c r="AD186">
        <v>200</v>
      </c>
      <c r="AE186" t="s">
        <v>660</v>
      </c>
      <c r="BG186" t="s">
        <v>311</v>
      </c>
      <c r="BH186" t="s">
        <v>661</v>
      </c>
      <c r="BI186" s="10" t="s">
        <v>568</v>
      </c>
      <c r="BK186" s="10" t="s">
        <v>137</v>
      </c>
      <c r="BL186" s="10">
        <v>1.41</v>
      </c>
      <c r="CE186" s="10" t="s">
        <v>642</v>
      </c>
      <c r="CF186" t="s">
        <v>664</v>
      </c>
      <c r="CG186" t="s">
        <v>572</v>
      </c>
      <c r="CH186" t="s">
        <v>288</v>
      </c>
    </row>
    <row r="187" spans="1:86" x14ac:dyDescent="0.3">
      <c r="A187">
        <v>183</v>
      </c>
      <c r="B187" t="s">
        <v>342</v>
      </c>
      <c r="C187" t="s">
        <v>340</v>
      </c>
      <c r="D187" t="s">
        <v>663</v>
      </c>
      <c r="E187" t="s">
        <v>564</v>
      </c>
      <c r="F187" t="s">
        <v>577</v>
      </c>
      <c r="I187" t="s">
        <v>564</v>
      </c>
      <c r="J187" t="s">
        <v>658</v>
      </c>
      <c r="K187">
        <v>0.22</v>
      </c>
      <c r="AC187" t="s">
        <v>659</v>
      </c>
      <c r="AD187">
        <v>50</v>
      </c>
      <c r="AE187" t="s">
        <v>660</v>
      </c>
      <c r="BG187" t="s">
        <v>311</v>
      </c>
      <c r="BH187" t="s">
        <v>661</v>
      </c>
      <c r="BI187" s="10" t="s">
        <v>568</v>
      </c>
      <c r="BK187" s="10" t="s">
        <v>137</v>
      </c>
      <c r="BL187" s="10">
        <v>1.41</v>
      </c>
      <c r="CE187" s="10" t="s">
        <v>642</v>
      </c>
      <c r="CF187" t="s">
        <v>664</v>
      </c>
      <c r="CG187" t="s">
        <v>572</v>
      </c>
      <c r="CH187" t="s">
        <v>288</v>
      </c>
    </row>
    <row r="188" spans="1:86" x14ac:dyDescent="0.3">
      <c r="A188">
        <v>184</v>
      </c>
      <c r="B188" t="s">
        <v>342</v>
      </c>
      <c r="C188" t="s">
        <v>340</v>
      </c>
      <c r="D188" t="s">
        <v>663</v>
      </c>
      <c r="E188" t="s">
        <v>564</v>
      </c>
      <c r="F188" t="s">
        <v>577</v>
      </c>
      <c r="I188" t="s">
        <v>564</v>
      </c>
      <c r="J188" t="s">
        <v>658</v>
      </c>
      <c r="K188">
        <v>0.22</v>
      </c>
      <c r="AC188" t="s">
        <v>659</v>
      </c>
      <c r="AD188">
        <v>100</v>
      </c>
      <c r="AE188" t="s">
        <v>660</v>
      </c>
      <c r="BG188" t="s">
        <v>311</v>
      </c>
      <c r="BH188" t="s">
        <v>661</v>
      </c>
      <c r="BI188" s="10" t="s">
        <v>568</v>
      </c>
      <c r="BK188" s="10" t="s">
        <v>137</v>
      </c>
      <c r="BL188" s="10">
        <v>1.41</v>
      </c>
      <c r="CE188" s="10" t="s">
        <v>642</v>
      </c>
      <c r="CF188" t="s">
        <v>664</v>
      </c>
      <c r="CG188" t="s">
        <v>572</v>
      </c>
      <c r="CH188" t="s">
        <v>288</v>
      </c>
    </row>
    <row r="189" spans="1:86" x14ac:dyDescent="0.3">
      <c r="A189">
        <v>185</v>
      </c>
      <c r="B189" t="s">
        <v>342</v>
      </c>
      <c r="C189" t="s">
        <v>340</v>
      </c>
      <c r="D189" t="s">
        <v>663</v>
      </c>
      <c r="E189" t="s">
        <v>564</v>
      </c>
      <c r="F189" t="s">
        <v>577</v>
      </c>
      <c r="I189" t="s">
        <v>564</v>
      </c>
      <c r="J189" t="s">
        <v>658</v>
      </c>
      <c r="K189">
        <v>0.22</v>
      </c>
      <c r="AC189" t="s">
        <v>659</v>
      </c>
      <c r="AD189">
        <v>200</v>
      </c>
      <c r="AE189" t="s">
        <v>660</v>
      </c>
      <c r="BG189" t="s">
        <v>311</v>
      </c>
      <c r="BH189" t="s">
        <v>661</v>
      </c>
      <c r="BI189" s="10" t="s">
        <v>568</v>
      </c>
      <c r="BK189" s="10" t="s">
        <v>137</v>
      </c>
      <c r="BL189" s="10">
        <v>1.3</v>
      </c>
      <c r="CE189" s="10" t="s">
        <v>642</v>
      </c>
      <c r="CF189" t="s">
        <v>664</v>
      </c>
      <c r="CG189" t="s">
        <v>572</v>
      </c>
      <c r="CH189" t="s">
        <v>288</v>
      </c>
    </row>
    <row r="190" spans="1:86" x14ac:dyDescent="0.3">
      <c r="A190">
        <v>186</v>
      </c>
      <c r="B190" t="s">
        <v>344</v>
      </c>
      <c r="C190" t="s">
        <v>330</v>
      </c>
      <c r="D190" t="s">
        <v>665</v>
      </c>
      <c r="E190" t="s">
        <v>666</v>
      </c>
      <c r="F190" t="s">
        <v>577</v>
      </c>
      <c r="G190" t="s">
        <v>667</v>
      </c>
      <c r="I190" t="s">
        <v>614</v>
      </c>
      <c r="J190" t="s">
        <v>668</v>
      </c>
      <c r="K190">
        <v>0.04</v>
      </c>
      <c r="AC190" t="s">
        <v>669</v>
      </c>
      <c r="AD190">
        <v>0.1</v>
      </c>
      <c r="AE190" t="s">
        <v>670</v>
      </c>
      <c r="AF190" t="s">
        <v>671</v>
      </c>
      <c r="BG190" t="s">
        <v>311</v>
      </c>
      <c r="BH190" t="s">
        <v>316</v>
      </c>
      <c r="BI190" s="10" t="s">
        <v>672</v>
      </c>
      <c r="BK190" s="10" t="s">
        <v>137</v>
      </c>
      <c r="BL190" s="10">
        <v>4</v>
      </c>
      <c r="CE190" s="10" t="s">
        <v>673</v>
      </c>
      <c r="CF190" t="s">
        <v>674</v>
      </c>
      <c r="CG190" t="s">
        <v>572</v>
      </c>
      <c r="CH190" s="10" t="s">
        <v>160</v>
      </c>
    </row>
    <row r="191" spans="1:86" x14ac:dyDescent="0.3">
      <c r="A191">
        <v>187</v>
      </c>
      <c r="B191" t="s">
        <v>344</v>
      </c>
      <c r="C191" t="s">
        <v>330</v>
      </c>
      <c r="D191" t="s">
        <v>665</v>
      </c>
      <c r="E191" t="s">
        <v>666</v>
      </c>
      <c r="F191" t="s">
        <v>577</v>
      </c>
      <c r="G191" t="s">
        <v>667</v>
      </c>
      <c r="I191" t="s">
        <v>614</v>
      </c>
      <c r="J191" t="s">
        <v>668</v>
      </c>
      <c r="K191">
        <v>0.04</v>
      </c>
      <c r="AC191" t="s">
        <v>669</v>
      </c>
      <c r="AD191">
        <v>0.1</v>
      </c>
      <c r="AE191" t="s">
        <v>670</v>
      </c>
      <c r="AF191" t="s">
        <v>671</v>
      </c>
      <c r="BG191" t="s">
        <v>311</v>
      </c>
      <c r="BH191" t="s">
        <v>675</v>
      </c>
      <c r="BI191" s="10" t="s">
        <v>672</v>
      </c>
      <c r="BK191" s="10" t="s">
        <v>137</v>
      </c>
      <c r="BL191" s="10">
        <v>3.6</v>
      </c>
      <c r="BP191" s="10">
        <v>2.9</v>
      </c>
      <c r="BQ191" s="10">
        <v>4.3</v>
      </c>
      <c r="CE191" s="10" t="s">
        <v>673</v>
      </c>
      <c r="CF191" t="s">
        <v>676</v>
      </c>
      <c r="CG191" t="s">
        <v>572</v>
      </c>
      <c r="CH191" s="10" t="s">
        <v>160</v>
      </c>
    </row>
    <row r="192" spans="1:86" x14ac:dyDescent="0.3">
      <c r="A192">
        <v>188</v>
      </c>
      <c r="B192" t="s">
        <v>344</v>
      </c>
      <c r="C192" t="s">
        <v>330</v>
      </c>
      <c r="D192" t="s">
        <v>677</v>
      </c>
      <c r="E192" t="s">
        <v>666</v>
      </c>
      <c r="F192" t="s">
        <v>577</v>
      </c>
      <c r="G192" t="s">
        <v>667</v>
      </c>
      <c r="I192" t="s">
        <v>614</v>
      </c>
      <c r="J192" t="s">
        <v>668</v>
      </c>
      <c r="K192">
        <v>0.04</v>
      </c>
      <c r="AC192" t="s">
        <v>669</v>
      </c>
      <c r="AD192">
        <v>0.1</v>
      </c>
      <c r="AE192" t="s">
        <v>670</v>
      </c>
      <c r="AF192" t="s">
        <v>671</v>
      </c>
      <c r="BG192" t="s">
        <v>311</v>
      </c>
      <c r="BH192" t="s">
        <v>678</v>
      </c>
      <c r="BI192" s="10" t="s">
        <v>672</v>
      </c>
      <c r="BK192" s="10" t="s">
        <v>137</v>
      </c>
      <c r="BL192" s="10">
        <v>4.4000000000000004</v>
      </c>
      <c r="BS192" s="10">
        <v>4.5</v>
      </c>
      <c r="BV192" s="10">
        <v>2.99</v>
      </c>
      <c r="BW192" s="10">
        <v>4.8</v>
      </c>
      <c r="BY192" s="10">
        <v>0.2</v>
      </c>
      <c r="CB192" s="10">
        <v>0.1</v>
      </c>
      <c r="CC192" s="10">
        <v>1.8</v>
      </c>
      <c r="CE192" s="10" t="s">
        <v>673</v>
      </c>
      <c r="CF192" t="s">
        <v>679</v>
      </c>
      <c r="CG192" t="s">
        <v>572</v>
      </c>
      <c r="CH192" s="10" t="s">
        <v>160</v>
      </c>
    </row>
    <row r="193" spans="1:86" x14ac:dyDescent="0.3">
      <c r="A193">
        <v>189</v>
      </c>
      <c r="B193" t="s">
        <v>344</v>
      </c>
      <c r="C193" t="s">
        <v>341</v>
      </c>
      <c r="D193" t="s">
        <v>680</v>
      </c>
      <c r="E193" t="s">
        <v>666</v>
      </c>
      <c r="F193" t="s">
        <v>577</v>
      </c>
      <c r="G193" t="s">
        <v>667</v>
      </c>
      <c r="AF193" t="s">
        <v>671</v>
      </c>
      <c r="BG193" t="s">
        <v>311</v>
      </c>
      <c r="BH193" t="s">
        <v>678</v>
      </c>
      <c r="BI193" s="10" t="s">
        <v>672</v>
      </c>
      <c r="BK193" s="10" t="s">
        <v>137</v>
      </c>
      <c r="BL193" s="10">
        <v>1.2</v>
      </c>
      <c r="CE193" s="10" t="s">
        <v>673</v>
      </c>
      <c r="CF193" t="s">
        <v>679</v>
      </c>
      <c r="CG193" t="s">
        <v>572</v>
      </c>
      <c r="CH193" s="10" t="s">
        <v>160</v>
      </c>
    </row>
    <row r="194" spans="1:86" x14ac:dyDescent="0.3">
      <c r="A194">
        <v>190</v>
      </c>
      <c r="B194" t="s">
        <v>344</v>
      </c>
      <c r="C194" t="s">
        <v>341</v>
      </c>
      <c r="D194" t="s">
        <v>681</v>
      </c>
      <c r="E194" t="s">
        <v>666</v>
      </c>
      <c r="F194" t="s">
        <v>577</v>
      </c>
      <c r="G194" t="s">
        <v>667</v>
      </c>
      <c r="AF194" t="s">
        <v>671</v>
      </c>
      <c r="BG194" t="s">
        <v>311</v>
      </c>
      <c r="BH194" t="s">
        <v>678</v>
      </c>
      <c r="BI194" s="10" t="s">
        <v>672</v>
      </c>
      <c r="BK194" s="10" t="s">
        <v>137</v>
      </c>
      <c r="BL194" s="10">
        <v>3.2</v>
      </c>
      <c r="CE194" s="10" t="s">
        <v>673</v>
      </c>
      <c r="CF194" t="s">
        <v>679</v>
      </c>
      <c r="CG194" t="s">
        <v>572</v>
      </c>
      <c r="CH194" s="10" t="s">
        <v>160</v>
      </c>
    </row>
    <row r="195" spans="1:86" x14ac:dyDescent="0.3">
      <c r="A195">
        <v>191</v>
      </c>
      <c r="B195" t="s">
        <v>344</v>
      </c>
      <c r="C195" t="s">
        <v>362</v>
      </c>
      <c r="D195" t="s">
        <v>682</v>
      </c>
      <c r="E195" t="s">
        <v>666</v>
      </c>
      <c r="F195" t="s">
        <v>577</v>
      </c>
      <c r="G195" t="s">
        <v>667</v>
      </c>
      <c r="AF195" t="s">
        <v>671</v>
      </c>
      <c r="BG195" t="s">
        <v>311</v>
      </c>
      <c r="BH195" t="s">
        <v>678</v>
      </c>
      <c r="BI195" s="10" t="s">
        <v>672</v>
      </c>
      <c r="BK195" s="10" t="s">
        <v>137</v>
      </c>
      <c r="BL195" s="10">
        <v>4.5</v>
      </c>
      <c r="CE195" s="10" t="s">
        <v>673</v>
      </c>
      <c r="CF195" t="s">
        <v>679</v>
      </c>
      <c r="CG195" t="s">
        <v>572</v>
      </c>
      <c r="CH195" s="10" t="s">
        <v>160</v>
      </c>
    </row>
    <row r="196" spans="1:86" x14ac:dyDescent="0.3">
      <c r="A196">
        <v>192</v>
      </c>
      <c r="B196" t="s">
        <v>344</v>
      </c>
      <c r="C196" t="s">
        <v>364</v>
      </c>
      <c r="D196" t="s">
        <v>683</v>
      </c>
      <c r="E196" t="s">
        <v>666</v>
      </c>
      <c r="F196" t="s">
        <v>577</v>
      </c>
      <c r="G196" t="s">
        <v>667</v>
      </c>
      <c r="AF196" t="s">
        <v>671</v>
      </c>
      <c r="BG196" t="s">
        <v>311</v>
      </c>
      <c r="BH196" t="s">
        <v>678</v>
      </c>
      <c r="BI196" s="10" t="s">
        <v>672</v>
      </c>
      <c r="BK196" s="10" t="s">
        <v>137</v>
      </c>
      <c r="BL196" s="10">
        <v>1.6</v>
      </c>
      <c r="CE196" s="10" t="s">
        <v>673</v>
      </c>
      <c r="CF196" t="s">
        <v>679</v>
      </c>
      <c r="CG196" t="s">
        <v>572</v>
      </c>
      <c r="CH196" s="10" t="s">
        <v>160</v>
      </c>
    </row>
    <row r="197" spans="1:86" x14ac:dyDescent="0.3">
      <c r="A197">
        <v>193</v>
      </c>
      <c r="B197" t="s">
        <v>347</v>
      </c>
      <c r="C197" t="s">
        <v>341</v>
      </c>
      <c r="D197" t="s">
        <v>684</v>
      </c>
      <c r="E197" t="s">
        <v>685</v>
      </c>
      <c r="F197" t="s">
        <v>577</v>
      </c>
      <c r="H197" t="s">
        <v>687</v>
      </c>
      <c r="I197" t="s">
        <v>614</v>
      </c>
      <c r="AI197">
        <v>74.099999999999994</v>
      </c>
      <c r="AK197">
        <v>231.4</v>
      </c>
      <c r="AL197">
        <v>126.3</v>
      </c>
      <c r="AQ197">
        <v>32.75</v>
      </c>
      <c r="AR197">
        <v>10.5</v>
      </c>
      <c r="AU197">
        <v>21.9</v>
      </c>
      <c r="BG197" t="s">
        <v>312</v>
      </c>
      <c r="BH197" t="s">
        <v>599</v>
      </c>
      <c r="BI197" s="10" t="s">
        <v>688</v>
      </c>
      <c r="BJ197" s="10" t="s">
        <v>629</v>
      </c>
      <c r="BK197" s="10" t="s">
        <v>689</v>
      </c>
      <c r="BL197" s="10">
        <v>1.75</v>
      </c>
      <c r="BS197" s="10">
        <f>LOG(82000000)</f>
        <v>7.9138138523837167</v>
      </c>
      <c r="BT197" s="10">
        <f>LOG(23000000)</f>
        <v>7.3617278360175931</v>
      </c>
      <c r="CE197" s="10" t="s">
        <v>690</v>
      </c>
      <c r="CF197" t="s">
        <v>686</v>
      </c>
      <c r="CG197" t="s">
        <v>57</v>
      </c>
      <c r="CH197" t="s">
        <v>160</v>
      </c>
    </row>
    <row r="198" spans="1:86" x14ac:dyDescent="0.3">
      <c r="A198">
        <v>194</v>
      </c>
      <c r="B198" t="s">
        <v>347</v>
      </c>
      <c r="C198" t="s">
        <v>341</v>
      </c>
      <c r="D198" t="s">
        <v>684</v>
      </c>
      <c r="E198" t="s">
        <v>685</v>
      </c>
      <c r="F198" t="s">
        <v>577</v>
      </c>
      <c r="H198" t="s">
        <v>687</v>
      </c>
      <c r="I198" t="s">
        <v>614</v>
      </c>
      <c r="AI198">
        <v>74.099999999999994</v>
      </c>
      <c r="AK198">
        <v>231.4</v>
      </c>
      <c r="AL198">
        <v>126.3</v>
      </c>
      <c r="AQ198">
        <v>32.75</v>
      </c>
      <c r="AR198">
        <v>10.5</v>
      </c>
      <c r="AU198">
        <v>21.9</v>
      </c>
      <c r="BG198" t="s">
        <v>312</v>
      </c>
      <c r="BH198" t="s">
        <v>691</v>
      </c>
      <c r="BI198" s="10" t="s">
        <v>688</v>
      </c>
      <c r="BJ198" s="10" t="s">
        <v>629</v>
      </c>
      <c r="BK198" s="10" t="s">
        <v>689</v>
      </c>
      <c r="BL198" s="10">
        <v>2.06</v>
      </c>
      <c r="BS198" s="10">
        <f>LOG(22000000)</f>
        <v>7.3424226808222066</v>
      </c>
      <c r="BT198" s="10">
        <f>LOG(6000000)</f>
        <v>6.7781512503836439</v>
      </c>
      <c r="CE198" s="10" t="s">
        <v>690</v>
      </c>
      <c r="CF198" t="s">
        <v>686</v>
      </c>
      <c r="CG198" t="s">
        <v>57</v>
      </c>
      <c r="CH198" t="s">
        <v>160</v>
      </c>
    </row>
    <row r="199" spans="1:86" x14ac:dyDescent="0.3">
      <c r="A199">
        <v>195</v>
      </c>
      <c r="B199" t="s">
        <v>347</v>
      </c>
      <c r="C199" t="s">
        <v>341</v>
      </c>
      <c r="D199" t="s">
        <v>684</v>
      </c>
      <c r="E199" t="s">
        <v>685</v>
      </c>
      <c r="F199" t="s">
        <v>577</v>
      </c>
      <c r="H199" t="s">
        <v>687</v>
      </c>
      <c r="I199" t="s">
        <v>614</v>
      </c>
      <c r="AI199">
        <v>74.099999999999994</v>
      </c>
      <c r="AK199">
        <v>231.4</v>
      </c>
      <c r="AL199">
        <v>126.3</v>
      </c>
      <c r="AQ199">
        <v>32.75</v>
      </c>
      <c r="AR199">
        <v>10.5</v>
      </c>
      <c r="AU199">
        <v>21.9</v>
      </c>
      <c r="BG199" t="s">
        <v>312</v>
      </c>
      <c r="BH199" t="s">
        <v>692</v>
      </c>
      <c r="BI199" s="10" t="s">
        <v>688</v>
      </c>
      <c r="BJ199" s="10" t="s">
        <v>629</v>
      </c>
      <c r="BK199" s="10" t="s">
        <v>689</v>
      </c>
      <c r="BL199" s="10">
        <v>2.06</v>
      </c>
      <c r="BS199" s="10">
        <f>LOG(6000000000)</f>
        <v>9.7781512503836439</v>
      </c>
      <c r="BT199" s="10">
        <f>LOG(11000000000)</f>
        <v>10.041392685158225</v>
      </c>
      <c r="CE199" s="10" t="s">
        <v>693</v>
      </c>
      <c r="CF199" t="s">
        <v>686</v>
      </c>
      <c r="CG199" t="s">
        <v>57</v>
      </c>
      <c r="CH199" t="s">
        <v>160</v>
      </c>
    </row>
    <row r="200" spans="1:86" x14ac:dyDescent="0.3">
      <c r="A200">
        <v>196</v>
      </c>
      <c r="B200" t="s">
        <v>347</v>
      </c>
      <c r="C200" t="s">
        <v>341</v>
      </c>
      <c r="D200" t="s">
        <v>684</v>
      </c>
      <c r="E200" t="s">
        <v>685</v>
      </c>
      <c r="F200" t="s">
        <v>577</v>
      </c>
      <c r="H200" t="s">
        <v>687</v>
      </c>
      <c r="I200" t="s">
        <v>614</v>
      </c>
      <c r="AI200">
        <v>74.099999999999994</v>
      </c>
      <c r="AK200">
        <v>231.4</v>
      </c>
      <c r="AL200">
        <v>126.3</v>
      </c>
      <c r="AQ200">
        <v>32.75</v>
      </c>
      <c r="AR200">
        <v>10.5</v>
      </c>
      <c r="AU200">
        <v>21.9</v>
      </c>
      <c r="BG200" t="s">
        <v>311</v>
      </c>
      <c r="BH200" t="s">
        <v>624</v>
      </c>
      <c r="BI200" s="10" t="s">
        <v>688</v>
      </c>
      <c r="BJ200" s="10" t="s">
        <v>632</v>
      </c>
      <c r="BK200" s="10" t="s">
        <v>689</v>
      </c>
      <c r="BL200" s="10">
        <v>0.75</v>
      </c>
      <c r="BS200" s="10">
        <f>LOG(2900000)</f>
        <v>6.4623979978989565</v>
      </c>
      <c r="BT200" s="10">
        <f>LOG(9800000)</f>
        <v>6.9912260756924951</v>
      </c>
      <c r="CE200" s="10" t="s">
        <v>693</v>
      </c>
      <c r="CF200" t="s">
        <v>686</v>
      </c>
      <c r="CG200" t="s">
        <v>57</v>
      </c>
      <c r="CH200" t="s">
        <v>160</v>
      </c>
    </row>
    <row r="201" spans="1:86" x14ac:dyDescent="0.3">
      <c r="A201">
        <v>197</v>
      </c>
      <c r="B201" t="s">
        <v>347</v>
      </c>
      <c r="C201" t="s">
        <v>341</v>
      </c>
      <c r="D201" t="s">
        <v>684</v>
      </c>
      <c r="E201" t="s">
        <v>685</v>
      </c>
      <c r="F201" t="s">
        <v>577</v>
      </c>
      <c r="H201" t="s">
        <v>687</v>
      </c>
      <c r="I201" t="s">
        <v>614</v>
      </c>
      <c r="AI201">
        <v>74.099999999999994</v>
      </c>
      <c r="AK201">
        <v>231.4</v>
      </c>
      <c r="AL201">
        <v>126.3</v>
      </c>
      <c r="AQ201">
        <v>32.75</v>
      </c>
      <c r="AR201">
        <v>10.5</v>
      </c>
      <c r="AU201">
        <v>21.9</v>
      </c>
      <c r="BG201" t="s">
        <v>311</v>
      </c>
      <c r="BH201" t="s">
        <v>675</v>
      </c>
      <c r="BI201" s="10" t="s">
        <v>688</v>
      </c>
      <c r="BJ201" s="10" t="s">
        <v>632</v>
      </c>
      <c r="BK201" s="10" t="s">
        <v>689</v>
      </c>
      <c r="BL201" s="10">
        <v>1.71</v>
      </c>
      <c r="BS201" s="10">
        <f>LOG(1000)</f>
        <v>3</v>
      </c>
      <c r="BT201" s="10">
        <f>LOG(1400)</f>
        <v>3.1461280356782382</v>
      </c>
      <c r="CE201" s="10" t="s">
        <v>693</v>
      </c>
      <c r="CF201" t="s">
        <v>686</v>
      </c>
      <c r="CG201" t="s">
        <v>57</v>
      </c>
      <c r="CH201" t="s">
        <v>160</v>
      </c>
    </row>
    <row r="202" spans="1:86" x14ac:dyDescent="0.3">
      <c r="A202">
        <v>198</v>
      </c>
      <c r="B202" t="s">
        <v>347</v>
      </c>
      <c r="C202" t="s">
        <v>341</v>
      </c>
      <c r="D202" t="s">
        <v>684</v>
      </c>
      <c r="E202" t="s">
        <v>685</v>
      </c>
      <c r="F202" t="s">
        <v>577</v>
      </c>
      <c r="H202" t="s">
        <v>687</v>
      </c>
      <c r="I202" t="s">
        <v>614</v>
      </c>
      <c r="AI202">
        <v>74.099999999999994</v>
      </c>
      <c r="AK202">
        <v>231.4</v>
      </c>
      <c r="AL202">
        <v>126.3</v>
      </c>
      <c r="AQ202">
        <v>32.75</v>
      </c>
      <c r="AR202">
        <v>10.5</v>
      </c>
      <c r="AU202">
        <v>21.9</v>
      </c>
      <c r="BG202" t="s">
        <v>313</v>
      </c>
      <c r="BH202" t="s">
        <v>694</v>
      </c>
      <c r="BI202" s="10" t="s">
        <v>688</v>
      </c>
      <c r="BJ202" s="10" t="s">
        <v>695</v>
      </c>
      <c r="BK202" s="10" t="s">
        <v>689</v>
      </c>
      <c r="BL202" s="10">
        <v>1.19</v>
      </c>
      <c r="BS202" s="10">
        <f>LOG(6900)</f>
        <v>3.8388490907372552</v>
      </c>
      <c r="BT202" s="10">
        <f>LOG(3700)</f>
        <v>3.568201724066995</v>
      </c>
      <c r="CE202" s="10" t="s">
        <v>693</v>
      </c>
      <c r="CF202" t="s">
        <v>686</v>
      </c>
      <c r="CG202" t="s">
        <v>57</v>
      </c>
      <c r="CH202" t="s">
        <v>160</v>
      </c>
    </row>
    <row r="203" spans="1:86" x14ac:dyDescent="0.3">
      <c r="A203">
        <v>199</v>
      </c>
      <c r="B203" t="s">
        <v>347</v>
      </c>
      <c r="C203" t="s">
        <v>341</v>
      </c>
      <c r="D203" t="s">
        <v>684</v>
      </c>
      <c r="E203" t="s">
        <v>685</v>
      </c>
      <c r="F203" t="s">
        <v>577</v>
      </c>
      <c r="H203" t="s">
        <v>687</v>
      </c>
      <c r="I203" t="s">
        <v>614</v>
      </c>
      <c r="AI203">
        <v>74.099999999999994</v>
      </c>
      <c r="AK203">
        <v>231.4</v>
      </c>
      <c r="AL203">
        <v>126.3</v>
      </c>
      <c r="AQ203">
        <v>32.75</v>
      </c>
      <c r="AR203">
        <v>10.5</v>
      </c>
      <c r="AU203">
        <v>21.9</v>
      </c>
      <c r="BG203" t="s">
        <v>313</v>
      </c>
      <c r="BH203" t="s">
        <v>696</v>
      </c>
      <c r="BI203" s="10" t="s">
        <v>688</v>
      </c>
      <c r="BJ203" s="10" t="s">
        <v>697</v>
      </c>
      <c r="BK203" s="10" t="s">
        <v>689</v>
      </c>
      <c r="BL203" s="10">
        <v>1.1399999999999999</v>
      </c>
      <c r="BR203" s="10" t="s">
        <v>842</v>
      </c>
      <c r="BS203" s="10">
        <f>LOG(1500)</f>
        <v>3.1760912590556813</v>
      </c>
      <c r="BT203" s="10">
        <f>LOG(1800)</f>
        <v>3.255272505103306</v>
      </c>
      <c r="BX203" s="10" t="s">
        <v>842</v>
      </c>
      <c r="CE203" s="10" t="s">
        <v>693</v>
      </c>
      <c r="CF203" t="s">
        <v>686</v>
      </c>
      <c r="CG203" t="s">
        <v>57</v>
      </c>
      <c r="CH203" t="s">
        <v>160</v>
      </c>
    </row>
    <row r="204" spans="1:86" x14ac:dyDescent="0.3">
      <c r="A204">
        <v>200</v>
      </c>
      <c r="B204" t="s">
        <v>347</v>
      </c>
      <c r="C204" t="s">
        <v>357</v>
      </c>
      <c r="D204" t="s">
        <v>698</v>
      </c>
      <c r="E204" t="s">
        <v>685</v>
      </c>
      <c r="F204" t="s">
        <v>577</v>
      </c>
      <c r="H204" t="s">
        <v>687</v>
      </c>
      <c r="I204" t="s">
        <v>614</v>
      </c>
      <c r="U204" t="s">
        <v>699</v>
      </c>
      <c r="V204" s="10">
        <f t="shared" ref="V204:V210" si="2">2*$W$1</f>
        <v>117.348</v>
      </c>
      <c r="W204">
        <f t="shared" ref="W204:W210" si="3">12+10+30</f>
        <v>52</v>
      </c>
      <c r="AI204">
        <f t="shared" ref="AI204:AI210" si="4">(1-0.97)*AI197</f>
        <v>2.2230000000000016</v>
      </c>
      <c r="AK204">
        <f t="shared" ref="AK204:AK210" si="5">(1-0.978)*AK197</f>
        <v>5.0908000000000042</v>
      </c>
      <c r="AL204">
        <f t="shared" ref="AL204:AL210" si="6">(1-0.975)*AL197</f>
        <v>3.1575000000000029</v>
      </c>
      <c r="AQ204">
        <f t="shared" ref="AQ204:AQ210" si="7">(1-0.422)*AQ197</f>
        <v>18.929500000000001</v>
      </c>
      <c r="AR204">
        <f t="shared" ref="AR204:AR210" si="8">(1-0.408)*AR197</f>
        <v>6.2160000000000011</v>
      </c>
      <c r="AU204">
        <f t="shared" ref="AU204:AU210" si="9">(1-0.479)*AU197</f>
        <v>11.4099</v>
      </c>
      <c r="BG204" t="s">
        <v>312</v>
      </c>
      <c r="BH204" t="s">
        <v>599</v>
      </c>
      <c r="BI204" s="10" t="s">
        <v>688</v>
      </c>
      <c r="BJ204" s="10" t="s">
        <v>629</v>
      </c>
      <c r="BK204" s="10" t="s">
        <v>689</v>
      </c>
      <c r="BL204" s="10">
        <v>0.51</v>
      </c>
      <c r="BS204" s="10">
        <f>LOG(1500000)</f>
        <v>6.1760912590556813</v>
      </c>
      <c r="BT204" s="10">
        <f>LOG(1600000)</f>
        <v>6.204119982655925</v>
      </c>
      <c r="CE204" s="10" t="s">
        <v>693</v>
      </c>
      <c r="CF204" t="s">
        <v>686</v>
      </c>
      <c r="CG204" t="s">
        <v>57</v>
      </c>
      <c r="CH204" t="s">
        <v>160</v>
      </c>
    </row>
    <row r="205" spans="1:86" x14ac:dyDescent="0.3">
      <c r="A205">
        <v>201</v>
      </c>
      <c r="B205" t="s">
        <v>347</v>
      </c>
      <c r="C205" t="s">
        <v>357</v>
      </c>
      <c r="D205" t="s">
        <v>698</v>
      </c>
      <c r="E205" t="s">
        <v>685</v>
      </c>
      <c r="F205" t="s">
        <v>577</v>
      </c>
      <c r="H205" t="s">
        <v>687</v>
      </c>
      <c r="I205" t="s">
        <v>614</v>
      </c>
      <c r="U205" t="s">
        <v>699</v>
      </c>
      <c r="V205" s="10">
        <f t="shared" si="2"/>
        <v>117.348</v>
      </c>
      <c r="W205">
        <f t="shared" si="3"/>
        <v>52</v>
      </c>
      <c r="AI205">
        <f t="shared" si="4"/>
        <v>2.2230000000000016</v>
      </c>
      <c r="AK205">
        <f t="shared" si="5"/>
        <v>5.0908000000000042</v>
      </c>
      <c r="AL205">
        <f t="shared" si="6"/>
        <v>3.1575000000000029</v>
      </c>
      <c r="AQ205">
        <f t="shared" si="7"/>
        <v>18.929500000000001</v>
      </c>
      <c r="AR205">
        <f t="shared" si="8"/>
        <v>6.2160000000000011</v>
      </c>
      <c r="AU205">
        <f t="shared" si="9"/>
        <v>11.4099</v>
      </c>
      <c r="BG205" t="s">
        <v>312</v>
      </c>
      <c r="BH205" t="s">
        <v>691</v>
      </c>
      <c r="BI205" s="10" t="s">
        <v>688</v>
      </c>
      <c r="BJ205" s="10" t="s">
        <v>629</v>
      </c>
      <c r="BK205" s="10" t="s">
        <v>689</v>
      </c>
      <c r="BL205" s="10">
        <v>0.05</v>
      </c>
      <c r="BS205" s="10">
        <f>LOG(190000)</f>
        <v>5.2787536009528289</v>
      </c>
      <c r="BT205" s="10">
        <f>LOG(20000)</f>
        <v>4.3010299956639813</v>
      </c>
      <c r="CE205" s="10" t="s">
        <v>693</v>
      </c>
      <c r="CF205" t="s">
        <v>686</v>
      </c>
      <c r="CG205" t="s">
        <v>57</v>
      </c>
      <c r="CH205" t="s">
        <v>160</v>
      </c>
    </row>
    <row r="206" spans="1:86" x14ac:dyDescent="0.3">
      <c r="A206">
        <v>202</v>
      </c>
      <c r="B206" t="s">
        <v>347</v>
      </c>
      <c r="C206" t="s">
        <v>357</v>
      </c>
      <c r="D206" t="s">
        <v>698</v>
      </c>
      <c r="E206" t="s">
        <v>685</v>
      </c>
      <c r="F206" t="s">
        <v>577</v>
      </c>
      <c r="H206" t="s">
        <v>687</v>
      </c>
      <c r="I206" t="s">
        <v>614</v>
      </c>
      <c r="U206" t="s">
        <v>699</v>
      </c>
      <c r="V206" s="10">
        <f t="shared" si="2"/>
        <v>117.348</v>
      </c>
      <c r="W206">
        <f t="shared" si="3"/>
        <v>52</v>
      </c>
      <c r="AI206">
        <f t="shared" si="4"/>
        <v>2.2230000000000016</v>
      </c>
      <c r="AK206">
        <f t="shared" si="5"/>
        <v>5.0908000000000042</v>
      </c>
      <c r="AL206">
        <f t="shared" si="6"/>
        <v>3.1575000000000029</v>
      </c>
      <c r="AQ206">
        <f t="shared" si="7"/>
        <v>18.929500000000001</v>
      </c>
      <c r="AR206">
        <f t="shared" si="8"/>
        <v>6.2160000000000011</v>
      </c>
      <c r="AU206">
        <f t="shared" si="9"/>
        <v>11.4099</v>
      </c>
      <c r="BG206" t="s">
        <v>312</v>
      </c>
      <c r="BH206" t="s">
        <v>692</v>
      </c>
      <c r="BI206" s="10" t="s">
        <v>688</v>
      </c>
      <c r="BJ206" s="10" t="s">
        <v>629</v>
      </c>
      <c r="BK206" s="10" t="s">
        <v>689</v>
      </c>
      <c r="BL206" s="10">
        <v>0.72</v>
      </c>
      <c r="BS206" s="10">
        <f>LOG(53000000)</f>
        <v>7.7242758696007892</v>
      </c>
      <c r="BT206" s="10">
        <f>LOG(107000000)</f>
        <v>8.0293837776852097</v>
      </c>
      <c r="CE206" s="10" t="s">
        <v>693</v>
      </c>
      <c r="CF206" t="s">
        <v>686</v>
      </c>
      <c r="CG206" t="s">
        <v>57</v>
      </c>
      <c r="CH206" t="s">
        <v>160</v>
      </c>
    </row>
    <row r="207" spans="1:86" x14ac:dyDescent="0.3">
      <c r="A207">
        <v>203</v>
      </c>
      <c r="B207" t="s">
        <v>347</v>
      </c>
      <c r="C207" t="s">
        <v>357</v>
      </c>
      <c r="D207" t="s">
        <v>698</v>
      </c>
      <c r="E207" t="s">
        <v>685</v>
      </c>
      <c r="F207" t="s">
        <v>577</v>
      </c>
      <c r="H207" t="s">
        <v>687</v>
      </c>
      <c r="I207" t="s">
        <v>614</v>
      </c>
      <c r="U207" t="s">
        <v>699</v>
      </c>
      <c r="V207" s="10">
        <f t="shared" si="2"/>
        <v>117.348</v>
      </c>
      <c r="W207">
        <f t="shared" si="3"/>
        <v>52</v>
      </c>
      <c r="AI207">
        <f t="shared" si="4"/>
        <v>2.2230000000000016</v>
      </c>
      <c r="AK207">
        <f t="shared" si="5"/>
        <v>5.0908000000000042</v>
      </c>
      <c r="AL207">
        <f t="shared" si="6"/>
        <v>3.1575000000000029</v>
      </c>
      <c r="AQ207">
        <f t="shared" si="7"/>
        <v>18.929500000000001</v>
      </c>
      <c r="AR207">
        <f t="shared" si="8"/>
        <v>6.2160000000000011</v>
      </c>
      <c r="AU207">
        <f t="shared" si="9"/>
        <v>11.4099</v>
      </c>
      <c r="BG207" t="s">
        <v>311</v>
      </c>
      <c r="BH207" t="s">
        <v>700</v>
      </c>
      <c r="BI207" s="10" t="s">
        <v>688</v>
      </c>
      <c r="BJ207" s="10" t="s">
        <v>632</v>
      </c>
      <c r="BK207" s="10" t="s">
        <v>689</v>
      </c>
      <c r="BL207" s="10">
        <v>3.81</v>
      </c>
      <c r="BR207" s="10" t="s">
        <v>842</v>
      </c>
      <c r="BS207" s="10">
        <f>LOG(500000)</f>
        <v>5.6989700043360187</v>
      </c>
      <c r="BT207" s="10">
        <f>LOG(900000)</f>
        <v>5.9542425094393252</v>
      </c>
      <c r="BX207" s="10" t="s">
        <v>842</v>
      </c>
      <c r="CE207" s="10" t="s">
        <v>693</v>
      </c>
      <c r="CF207" t="s">
        <v>686</v>
      </c>
      <c r="CG207" t="s">
        <v>57</v>
      </c>
      <c r="CH207" t="s">
        <v>160</v>
      </c>
    </row>
    <row r="208" spans="1:86" x14ac:dyDescent="0.3">
      <c r="A208">
        <v>204</v>
      </c>
      <c r="B208" t="s">
        <v>347</v>
      </c>
      <c r="C208" t="s">
        <v>357</v>
      </c>
      <c r="D208" t="s">
        <v>698</v>
      </c>
      <c r="E208" t="s">
        <v>685</v>
      </c>
      <c r="F208" t="s">
        <v>577</v>
      </c>
      <c r="H208" t="s">
        <v>687</v>
      </c>
      <c r="I208" t="s">
        <v>614</v>
      </c>
      <c r="U208" t="s">
        <v>699</v>
      </c>
      <c r="V208" s="10">
        <f t="shared" si="2"/>
        <v>117.348</v>
      </c>
      <c r="W208">
        <f t="shared" si="3"/>
        <v>52</v>
      </c>
      <c r="AI208">
        <f t="shared" si="4"/>
        <v>2.2230000000000016</v>
      </c>
      <c r="AK208">
        <f t="shared" si="5"/>
        <v>5.0908000000000042</v>
      </c>
      <c r="AL208">
        <f t="shared" si="6"/>
        <v>3.1575000000000029</v>
      </c>
      <c r="AQ208">
        <f t="shared" si="7"/>
        <v>18.929500000000001</v>
      </c>
      <c r="AR208">
        <f t="shared" si="8"/>
        <v>6.2160000000000011</v>
      </c>
      <c r="AU208">
        <f t="shared" si="9"/>
        <v>11.4099</v>
      </c>
      <c r="BG208" t="s">
        <v>311</v>
      </c>
      <c r="BH208" t="s">
        <v>675</v>
      </c>
      <c r="BI208" s="10" t="s">
        <v>688</v>
      </c>
      <c r="BJ208" s="10" t="s">
        <v>632</v>
      </c>
      <c r="BK208" s="10" t="s">
        <v>689</v>
      </c>
      <c r="BL208" s="10">
        <v>0.81</v>
      </c>
      <c r="BR208" s="10" t="s">
        <v>842</v>
      </c>
      <c r="BS208" s="10">
        <f>LOG(20)</f>
        <v>1.3010299956639813</v>
      </c>
      <c r="BT208" s="10">
        <f>LOG(21)</f>
        <v>1.3222192947339193</v>
      </c>
      <c r="BX208" s="10" t="s">
        <v>842</v>
      </c>
      <c r="CE208" s="10" t="s">
        <v>693</v>
      </c>
      <c r="CF208" t="s">
        <v>686</v>
      </c>
      <c r="CG208" t="s">
        <v>57</v>
      </c>
      <c r="CH208" t="s">
        <v>160</v>
      </c>
    </row>
    <row r="209" spans="1:86" x14ac:dyDescent="0.3">
      <c r="A209">
        <v>205</v>
      </c>
      <c r="B209" t="s">
        <v>347</v>
      </c>
      <c r="C209" t="s">
        <v>357</v>
      </c>
      <c r="D209" t="s">
        <v>698</v>
      </c>
      <c r="E209" t="s">
        <v>685</v>
      </c>
      <c r="F209" t="s">
        <v>577</v>
      </c>
      <c r="H209" t="s">
        <v>687</v>
      </c>
      <c r="I209" t="s">
        <v>614</v>
      </c>
      <c r="U209" t="s">
        <v>699</v>
      </c>
      <c r="V209" s="10">
        <f t="shared" si="2"/>
        <v>117.348</v>
      </c>
      <c r="W209">
        <f t="shared" si="3"/>
        <v>52</v>
      </c>
      <c r="AI209">
        <f t="shared" si="4"/>
        <v>2.2230000000000016</v>
      </c>
      <c r="AK209">
        <f t="shared" si="5"/>
        <v>5.0908000000000042</v>
      </c>
      <c r="AL209">
        <f t="shared" si="6"/>
        <v>3.1575000000000029</v>
      </c>
      <c r="AQ209">
        <f t="shared" si="7"/>
        <v>18.929500000000001</v>
      </c>
      <c r="AR209">
        <f t="shared" si="8"/>
        <v>6.2160000000000011</v>
      </c>
      <c r="AU209">
        <f t="shared" si="9"/>
        <v>11.4099</v>
      </c>
      <c r="BG209" t="s">
        <v>313</v>
      </c>
      <c r="BH209" t="s">
        <v>694</v>
      </c>
      <c r="BI209" s="10" t="s">
        <v>688</v>
      </c>
      <c r="BJ209" s="10" t="s">
        <v>695</v>
      </c>
      <c r="BK209" s="10" t="s">
        <v>689</v>
      </c>
      <c r="BL209" s="10">
        <v>2</v>
      </c>
      <c r="BR209" s="10" t="s">
        <v>842</v>
      </c>
      <c r="BS209" s="10">
        <f>LOG(440)</f>
        <v>2.6434526764861874</v>
      </c>
      <c r="BT209" s="10">
        <f>LOG(470)</f>
        <v>2.6720978579357175</v>
      </c>
      <c r="BX209" s="10" t="s">
        <v>842</v>
      </c>
      <c r="CE209" s="10" t="s">
        <v>693</v>
      </c>
      <c r="CF209" t="s">
        <v>686</v>
      </c>
      <c r="CG209" t="s">
        <v>57</v>
      </c>
      <c r="CH209" t="s">
        <v>160</v>
      </c>
    </row>
    <row r="210" spans="1:86" x14ac:dyDescent="0.3">
      <c r="A210">
        <v>206</v>
      </c>
      <c r="B210" t="s">
        <v>347</v>
      </c>
      <c r="C210" t="s">
        <v>357</v>
      </c>
      <c r="D210" t="s">
        <v>698</v>
      </c>
      <c r="E210" t="s">
        <v>685</v>
      </c>
      <c r="F210" t="s">
        <v>577</v>
      </c>
      <c r="H210" t="s">
        <v>687</v>
      </c>
      <c r="I210" t="s">
        <v>614</v>
      </c>
      <c r="U210" t="s">
        <v>699</v>
      </c>
      <c r="V210" s="10">
        <f t="shared" si="2"/>
        <v>117.348</v>
      </c>
      <c r="W210">
        <f t="shared" si="3"/>
        <v>52</v>
      </c>
      <c r="AI210">
        <f t="shared" si="4"/>
        <v>2.2230000000000016</v>
      </c>
      <c r="AK210">
        <f t="shared" si="5"/>
        <v>5.0908000000000042</v>
      </c>
      <c r="AL210">
        <f t="shared" si="6"/>
        <v>3.1575000000000029</v>
      </c>
      <c r="AQ210">
        <f t="shared" si="7"/>
        <v>18.929500000000001</v>
      </c>
      <c r="AR210">
        <f t="shared" si="8"/>
        <v>6.2160000000000011</v>
      </c>
      <c r="AU210">
        <f t="shared" si="9"/>
        <v>11.4099</v>
      </c>
      <c r="BG210" t="s">
        <v>313</v>
      </c>
      <c r="BH210" t="s">
        <v>696</v>
      </c>
      <c r="BI210" s="10" t="s">
        <v>688</v>
      </c>
      <c r="BJ210" s="10" t="s">
        <v>697</v>
      </c>
      <c r="BK210" s="10" t="s">
        <v>689</v>
      </c>
      <c r="BL210" s="10">
        <v>1.68</v>
      </c>
      <c r="BR210" s="10" t="s">
        <v>842</v>
      </c>
      <c r="BS210" s="10">
        <f>LOG(140)</f>
        <v>2.1461280356782382</v>
      </c>
      <c r="BT210" s="10">
        <f>LOG(170)</f>
        <v>2.2304489213782741</v>
      </c>
      <c r="BX210" s="10" t="s">
        <v>842</v>
      </c>
      <c r="CE210" s="10" t="s">
        <v>693</v>
      </c>
      <c r="CF210" t="s">
        <v>686</v>
      </c>
      <c r="CG210" t="s">
        <v>57</v>
      </c>
      <c r="CH210" t="s">
        <v>160</v>
      </c>
    </row>
    <row r="211" spans="1:86" x14ac:dyDescent="0.3">
      <c r="A211">
        <v>207</v>
      </c>
      <c r="B211" t="s">
        <v>347</v>
      </c>
      <c r="C211" t="s">
        <v>6</v>
      </c>
      <c r="E211" t="s">
        <v>685</v>
      </c>
      <c r="F211" t="s">
        <v>577</v>
      </c>
      <c r="H211" t="s">
        <v>687</v>
      </c>
      <c r="I211" t="s">
        <v>614</v>
      </c>
      <c r="O211">
        <v>3.9</v>
      </c>
      <c r="P211">
        <v>46</v>
      </c>
      <c r="Q211">
        <f t="shared" ref="Q211:Q223" si="10">O211*P211</f>
        <v>179.4</v>
      </c>
      <c r="AI211">
        <f t="shared" ref="AI211:AI217" si="11">(1-0.315)*AI204</f>
        <v>1.5227550000000012</v>
      </c>
      <c r="AK211">
        <f t="shared" ref="AK211:AK217" si="12">(1-0.817)*AK204</f>
        <v>0.93161640000000101</v>
      </c>
      <c r="AL211">
        <f t="shared" ref="AL211:AL217" si="13">(1-0.585)*AL204</f>
        <v>1.3103625000000012</v>
      </c>
      <c r="AQ211">
        <f t="shared" ref="AQ211:AQ217" si="14">(1-0.053)*AQ204</f>
        <v>17.926236500000002</v>
      </c>
      <c r="AR211">
        <f t="shared" ref="AR211:AR217" si="15">(1-0.223)*AR204</f>
        <v>4.8298320000000006</v>
      </c>
      <c r="AU211">
        <f t="shared" ref="AU211:AU217" si="16">(1-0.208)*AU204</f>
        <v>9.0366408000000007</v>
      </c>
      <c r="BG211" t="s">
        <v>312</v>
      </c>
      <c r="BH211" t="s">
        <v>599</v>
      </c>
      <c r="BI211" s="10" t="s">
        <v>688</v>
      </c>
      <c r="BJ211" s="10" t="s">
        <v>629</v>
      </c>
      <c r="BK211" s="10" t="s">
        <v>689</v>
      </c>
      <c r="BL211" s="10">
        <v>4.2300000000000004</v>
      </c>
      <c r="BS211" s="10">
        <f>LOG(460000)</f>
        <v>5.6627578316815743</v>
      </c>
      <c r="BT211" s="10">
        <f>LOG(480000)</f>
        <v>5.6812412373755876</v>
      </c>
      <c r="CE211" s="10" t="s">
        <v>693</v>
      </c>
      <c r="CF211" t="s">
        <v>686</v>
      </c>
      <c r="CG211" t="s">
        <v>57</v>
      </c>
      <c r="CH211" t="s">
        <v>160</v>
      </c>
    </row>
    <row r="212" spans="1:86" x14ac:dyDescent="0.3">
      <c r="A212">
        <v>208</v>
      </c>
      <c r="B212" t="s">
        <v>347</v>
      </c>
      <c r="C212" t="s">
        <v>6</v>
      </c>
      <c r="E212" t="s">
        <v>685</v>
      </c>
      <c r="F212" t="s">
        <v>577</v>
      </c>
      <c r="H212" t="s">
        <v>687</v>
      </c>
      <c r="I212" t="s">
        <v>614</v>
      </c>
      <c r="O212">
        <v>3.9</v>
      </c>
      <c r="P212">
        <v>46</v>
      </c>
      <c r="Q212">
        <f t="shared" si="10"/>
        <v>179.4</v>
      </c>
      <c r="AI212">
        <f t="shared" si="11"/>
        <v>1.5227550000000012</v>
      </c>
      <c r="AK212">
        <f t="shared" si="12"/>
        <v>0.93161640000000101</v>
      </c>
      <c r="AL212">
        <f t="shared" si="13"/>
        <v>1.3103625000000012</v>
      </c>
      <c r="AQ212">
        <f t="shared" si="14"/>
        <v>17.926236500000002</v>
      </c>
      <c r="AR212">
        <f t="shared" si="15"/>
        <v>4.8298320000000006</v>
      </c>
      <c r="AU212">
        <f t="shared" si="16"/>
        <v>9.0366408000000007</v>
      </c>
      <c r="BG212" t="s">
        <v>312</v>
      </c>
      <c r="BH212" t="s">
        <v>691</v>
      </c>
      <c r="BI212" s="10" t="s">
        <v>688</v>
      </c>
      <c r="BJ212" s="10" t="s">
        <v>629</v>
      </c>
      <c r="BK212" s="10" t="s">
        <v>689</v>
      </c>
      <c r="BL212" s="10">
        <v>4.95</v>
      </c>
      <c r="BS212" s="10">
        <f>LOG(170000)</f>
        <v>5.2304489213782741</v>
      </c>
      <c r="BT212" s="10">
        <f>LOG(150000)</f>
        <v>5.1760912590556813</v>
      </c>
      <c r="CE212" s="10" t="s">
        <v>693</v>
      </c>
      <c r="CF212" t="s">
        <v>686</v>
      </c>
      <c r="CG212" t="s">
        <v>57</v>
      </c>
      <c r="CH212" t="s">
        <v>160</v>
      </c>
    </row>
    <row r="213" spans="1:86" x14ac:dyDescent="0.3">
      <c r="A213">
        <v>209</v>
      </c>
      <c r="B213" t="s">
        <v>347</v>
      </c>
      <c r="C213" t="s">
        <v>6</v>
      </c>
      <c r="E213" t="s">
        <v>685</v>
      </c>
      <c r="F213" t="s">
        <v>577</v>
      </c>
      <c r="H213" t="s">
        <v>687</v>
      </c>
      <c r="I213" t="s">
        <v>614</v>
      </c>
      <c r="O213">
        <v>3.9</v>
      </c>
      <c r="P213">
        <v>46</v>
      </c>
      <c r="Q213">
        <f t="shared" si="10"/>
        <v>179.4</v>
      </c>
      <c r="AI213">
        <f t="shared" si="11"/>
        <v>1.5227550000000012</v>
      </c>
      <c r="AK213">
        <f t="shared" si="12"/>
        <v>0.93161640000000101</v>
      </c>
      <c r="AL213">
        <f t="shared" si="13"/>
        <v>1.3103625000000012</v>
      </c>
      <c r="AQ213">
        <f t="shared" si="14"/>
        <v>17.926236500000002</v>
      </c>
      <c r="AR213">
        <f t="shared" si="15"/>
        <v>4.8298320000000006</v>
      </c>
      <c r="AU213">
        <f t="shared" si="16"/>
        <v>9.0366408000000007</v>
      </c>
      <c r="BG213" t="s">
        <v>312</v>
      </c>
      <c r="BH213" t="s">
        <v>692</v>
      </c>
      <c r="BI213" s="10" t="s">
        <v>688</v>
      </c>
      <c r="BJ213" s="10" t="s">
        <v>629</v>
      </c>
      <c r="BK213" s="10" t="s">
        <v>689</v>
      </c>
      <c r="BL213" s="10">
        <v>3.77</v>
      </c>
      <c r="BS213" s="10">
        <f>LOG(10000000)</f>
        <v>7</v>
      </c>
      <c r="BT213" s="10">
        <f>LOG(16000000)</f>
        <v>7.204119982655925</v>
      </c>
      <c r="CE213" s="10" t="s">
        <v>693</v>
      </c>
      <c r="CF213" t="s">
        <v>686</v>
      </c>
      <c r="CG213" t="s">
        <v>57</v>
      </c>
      <c r="CH213" t="s">
        <v>160</v>
      </c>
    </row>
    <row r="214" spans="1:86" x14ac:dyDescent="0.3">
      <c r="A214">
        <v>210</v>
      </c>
      <c r="B214" t="s">
        <v>347</v>
      </c>
      <c r="C214" t="s">
        <v>6</v>
      </c>
      <c r="E214" t="s">
        <v>685</v>
      </c>
      <c r="F214" t="s">
        <v>577</v>
      </c>
      <c r="H214" t="s">
        <v>687</v>
      </c>
      <c r="I214" t="s">
        <v>614</v>
      </c>
      <c r="O214">
        <v>3.9</v>
      </c>
      <c r="P214">
        <v>46</v>
      </c>
      <c r="Q214">
        <f t="shared" si="10"/>
        <v>179.4</v>
      </c>
      <c r="AI214">
        <f t="shared" si="11"/>
        <v>1.5227550000000012</v>
      </c>
      <c r="AK214">
        <f t="shared" si="12"/>
        <v>0.93161640000000101</v>
      </c>
      <c r="AL214">
        <f t="shared" si="13"/>
        <v>1.3103625000000012</v>
      </c>
      <c r="AQ214">
        <f t="shared" si="14"/>
        <v>17.926236500000002</v>
      </c>
      <c r="AR214">
        <f t="shared" si="15"/>
        <v>4.8298320000000006</v>
      </c>
      <c r="AU214">
        <f t="shared" si="16"/>
        <v>9.0366408000000007</v>
      </c>
      <c r="BG214" t="s">
        <v>311</v>
      </c>
      <c r="BH214" t="s">
        <v>700</v>
      </c>
      <c r="BI214" s="10" t="s">
        <v>688</v>
      </c>
      <c r="BJ214" s="10" t="s">
        <v>632</v>
      </c>
      <c r="BK214" s="10" t="s">
        <v>689</v>
      </c>
      <c r="BL214" s="10">
        <v>1.03</v>
      </c>
      <c r="BR214" s="10" t="s">
        <v>842</v>
      </c>
      <c r="BS214" s="10">
        <f>LOG(76)</f>
        <v>1.8808135922807914</v>
      </c>
      <c r="BT214" s="10">
        <f>LOG(76)</f>
        <v>1.8808135922807914</v>
      </c>
      <c r="BX214" s="10" t="s">
        <v>842</v>
      </c>
      <c r="CE214" s="10" t="s">
        <v>693</v>
      </c>
      <c r="CF214" t="s">
        <v>686</v>
      </c>
      <c r="CG214" t="s">
        <v>57</v>
      </c>
      <c r="CH214" t="s">
        <v>160</v>
      </c>
    </row>
    <row r="215" spans="1:86" x14ac:dyDescent="0.3">
      <c r="A215">
        <v>211</v>
      </c>
      <c r="B215" t="s">
        <v>347</v>
      </c>
      <c r="C215" t="s">
        <v>6</v>
      </c>
      <c r="E215" t="s">
        <v>685</v>
      </c>
      <c r="F215" t="s">
        <v>577</v>
      </c>
      <c r="H215" t="s">
        <v>687</v>
      </c>
      <c r="I215" t="s">
        <v>614</v>
      </c>
      <c r="O215">
        <v>3.9</v>
      </c>
      <c r="P215">
        <v>46</v>
      </c>
      <c r="Q215">
        <f t="shared" si="10"/>
        <v>179.4</v>
      </c>
      <c r="AI215">
        <f t="shared" si="11"/>
        <v>1.5227550000000012</v>
      </c>
      <c r="AK215">
        <f t="shared" si="12"/>
        <v>0.93161640000000101</v>
      </c>
      <c r="AL215">
        <f t="shared" si="13"/>
        <v>1.3103625000000012</v>
      </c>
      <c r="AQ215">
        <f t="shared" si="14"/>
        <v>17.926236500000002</v>
      </c>
      <c r="AR215">
        <f t="shared" si="15"/>
        <v>4.8298320000000006</v>
      </c>
      <c r="AU215">
        <f t="shared" si="16"/>
        <v>9.0366408000000007</v>
      </c>
      <c r="BG215" t="s">
        <v>311</v>
      </c>
      <c r="BH215" t="s">
        <v>675</v>
      </c>
      <c r="BI215" s="10" t="s">
        <v>688</v>
      </c>
      <c r="BJ215" s="10" t="s">
        <v>632</v>
      </c>
      <c r="BK215" s="10" t="s">
        <v>689</v>
      </c>
      <c r="BL215" s="10">
        <v>1.45</v>
      </c>
      <c r="BR215" s="10" t="s">
        <v>842</v>
      </c>
      <c r="BS215" s="10">
        <f>LOG(3.1)</f>
        <v>0.49136169383427269</v>
      </c>
      <c r="BT215" s="10">
        <f>LOG(3.2)</f>
        <v>0.50514997831990605</v>
      </c>
      <c r="BX215" s="10" t="s">
        <v>842</v>
      </c>
      <c r="CE215" s="10" t="s">
        <v>693</v>
      </c>
      <c r="CF215" t="s">
        <v>686</v>
      </c>
      <c r="CG215" t="s">
        <v>57</v>
      </c>
      <c r="CH215" t="s">
        <v>160</v>
      </c>
    </row>
    <row r="216" spans="1:86" x14ac:dyDescent="0.3">
      <c r="A216">
        <v>212</v>
      </c>
      <c r="B216" t="s">
        <v>347</v>
      </c>
      <c r="C216" t="s">
        <v>6</v>
      </c>
      <c r="E216" t="s">
        <v>685</v>
      </c>
      <c r="F216" t="s">
        <v>577</v>
      </c>
      <c r="H216" t="s">
        <v>687</v>
      </c>
      <c r="I216" t="s">
        <v>614</v>
      </c>
      <c r="O216">
        <v>3.9</v>
      </c>
      <c r="P216">
        <v>46</v>
      </c>
      <c r="Q216">
        <f t="shared" si="10"/>
        <v>179.4</v>
      </c>
      <c r="AI216">
        <f t="shared" si="11"/>
        <v>1.5227550000000012</v>
      </c>
      <c r="AK216">
        <f t="shared" si="12"/>
        <v>0.93161640000000101</v>
      </c>
      <c r="AL216">
        <f t="shared" si="13"/>
        <v>1.3103625000000012</v>
      </c>
      <c r="AQ216">
        <f t="shared" si="14"/>
        <v>17.926236500000002</v>
      </c>
      <c r="AR216">
        <f t="shared" si="15"/>
        <v>4.8298320000000006</v>
      </c>
      <c r="AU216">
        <f t="shared" si="16"/>
        <v>9.0366408000000007</v>
      </c>
      <c r="BG216" t="s">
        <v>313</v>
      </c>
      <c r="BH216" t="s">
        <v>694</v>
      </c>
      <c r="BI216" s="10" t="s">
        <v>688</v>
      </c>
      <c r="BJ216" s="10" t="s">
        <v>695</v>
      </c>
      <c r="BK216" s="10" t="s">
        <v>689</v>
      </c>
      <c r="BL216" s="10">
        <v>0.65</v>
      </c>
      <c r="BR216" s="10" t="s">
        <v>842</v>
      </c>
      <c r="BS216" s="10">
        <f>LOG(4.4)</f>
        <v>0.64345267648618742</v>
      </c>
      <c r="BT216" s="10">
        <f>LOG(3.7)</f>
        <v>0.56820172406699498</v>
      </c>
      <c r="BX216" s="10" t="s">
        <v>842</v>
      </c>
      <c r="CE216" s="10" t="s">
        <v>693</v>
      </c>
      <c r="CF216" t="s">
        <v>686</v>
      </c>
      <c r="CG216" t="s">
        <v>57</v>
      </c>
      <c r="CH216" t="s">
        <v>160</v>
      </c>
    </row>
    <row r="217" spans="1:86" x14ac:dyDescent="0.3">
      <c r="A217">
        <v>213</v>
      </c>
      <c r="B217" t="s">
        <v>347</v>
      </c>
      <c r="C217" t="s">
        <v>6</v>
      </c>
      <c r="E217" t="s">
        <v>685</v>
      </c>
      <c r="F217" t="s">
        <v>577</v>
      </c>
      <c r="H217" t="s">
        <v>687</v>
      </c>
      <c r="I217" t="s">
        <v>614</v>
      </c>
      <c r="O217">
        <v>3.9</v>
      </c>
      <c r="P217">
        <v>46</v>
      </c>
      <c r="Q217">
        <f t="shared" si="10"/>
        <v>179.4</v>
      </c>
      <c r="AI217">
        <f t="shared" si="11"/>
        <v>1.5227550000000012</v>
      </c>
      <c r="AK217">
        <f t="shared" si="12"/>
        <v>0.93161640000000101</v>
      </c>
      <c r="AL217">
        <f t="shared" si="13"/>
        <v>1.3103625000000012</v>
      </c>
      <c r="AQ217">
        <f t="shared" si="14"/>
        <v>17.926236500000002</v>
      </c>
      <c r="AR217">
        <f t="shared" si="15"/>
        <v>4.8298320000000006</v>
      </c>
      <c r="AU217">
        <f t="shared" si="16"/>
        <v>9.0366408000000007</v>
      </c>
      <c r="BG217" t="s">
        <v>313</v>
      </c>
      <c r="BH217" t="s">
        <v>696</v>
      </c>
      <c r="BI217" s="10" t="s">
        <v>688</v>
      </c>
      <c r="BJ217" s="10" t="s">
        <v>697</v>
      </c>
      <c r="BK217" s="10" t="s">
        <v>689</v>
      </c>
      <c r="BL217" s="10">
        <v>0.41</v>
      </c>
      <c r="BR217" s="10" t="s">
        <v>842</v>
      </c>
      <c r="BS217" s="10">
        <f>LOG(4)</f>
        <v>0.6020599913279624</v>
      </c>
      <c r="BT217" s="10">
        <f>LOG(2.2)</f>
        <v>0.34242268082220628</v>
      </c>
      <c r="BX217" s="10" t="s">
        <v>842</v>
      </c>
      <c r="CE217" s="10" t="s">
        <v>693</v>
      </c>
      <c r="CF217" t="s">
        <v>686</v>
      </c>
      <c r="CG217" t="s">
        <v>57</v>
      </c>
      <c r="CH217" t="s">
        <v>160</v>
      </c>
    </row>
    <row r="218" spans="1:86" x14ac:dyDescent="0.3">
      <c r="A218">
        <v>214</v>
      </c>
      <c r="B218" t="s">
        <v>347</v>
      </c>
      <c r="C218" t="s">
        <v>346</v>
      </c>
      <c r="D218" t="s">
        <v>701</v>
      </c>
      <c r="E218" t="s">
        <v>685</v>
      </c>
      <c r="F218" t="s">
        <v>577</v>
      </c>
      <c r="H218" t="s">
        <v>687</v>
      </c>
      <c r="I218" t="s">
        <v>614</v>
      </c>
      <c r="O218">
        <v>2.25</v>
      </c>
      <c r="P218">
        <f t="shared" ref="P218:P223" si="17">16*60</f>
        <v>960</v>
      </c>
      <c r="Q218">
        <f t="shared" si="10"/>
        <v>2160</v>
      </c>
      <c r="Z218">
        <f t="shared" ref="Z218:Z223" si="18">AVERAGE(16,24)</f>
        <v>20</v>
      </c>
      <c r="BG218" t="s">
        <v>312</v>
      </c>
      <c r="BH218" t="s">
        <v>599</v>
      </c>
      <c r="BI218" s="10" t="s">
        <v>688</v>
      </c>
      <c r="BJ218" s="10" t="s">
        <v>629</v>
      </c>
      <c r="BK218" s="10" t="s">
        <v>689</v>
      </c>
      <c r="BL218" s="10">
        <v>0.61</v>
      </c>
      <c r="BR218" s="10" t="s">
        <v>842</v>
      </c>
      <c r="BS218" s="10">
        <f>LOG(27000)</f>
        <v>4.4313637641589869</v>
      </c>
      <c r="BT218" s="10">
        <f>LOG(48000)</f>
        <v>4.6812412373755876</v>
      </c>
      <c r="BX218" s="10" t="s">
        <v>842</v>
      </c>
      <c r="CE218" s="10" t="s">
        <v>693</v>
      </c>
      <c r="CF218" t="s">
        <v>686</v>
      </c>
      <c r="CG218" t="s">
        <v>57</v>
      </c>
      <c r="CH218" t="s">
        <v>160</v>
      </c>
    </row>
    <row r="219" spans="1:86" x14ac:dyDescent="0.3">
      <c r="A219">
        <v>215</v>
      </c>
      <c r="B219" t="s">
        <v>347</v>
      </c>
      <c r="C219" t="s">
        <v>346</v>
      </c>
      <c r="D219" t="s">
        <v>701</v>
      </c>
      <c r="E219" t="s">
        <v>685</v>
      </c>
      <c r="F219" t="s">
        <v>577</v>
      </c>
      <c r="H219" t="s">
        <v>687</v>
      </c>
      <c r="I219" t="s">
        <v>614</v>
      </c>
      <c r="O219">
        <v>2.25</v>
      </c>
      <c r="P219">
        <f t="shared" si="17"/>
        <v>960</v>
      </c>
      <c r="Q219">
        <f t="shared" si="10"/>
        <v>2160</v>
      </c>
      <c r="Z219">
        <f t="shared" si="18"/>
        <v>20</v>
      </c>
      <c r="BG219" t="s">
        <v>312</v>
      </c>
      <c r="BH219" t="s">
        <v>691</v>
      </c>
      <c r="BI219" s="10" t="s">
        <v>688</v>
      </c>
      <c r="BJ219" s="10" t="s">
        <v>629</v>
      </c>
      <c r="BK219" s="10" t="s">
        <v>689</v>
      </c>
      <c r="BL219" s="10">
        <v>0.36</v>
      </c>
      <c r="BR219" s="10" t="s">
        <v>842</v>
      </c>
      <c r="BS219" s="10">
        <f>LOG(1.9)</f>
        <v>0.27875360095282892</v>
      </c>
      <c r="BT219" s="10">
        <f>LOG(2.3)</f>
        <v>0.36172783601759284</v>
      </c>
      <c r="BX219" s="10" t="s">
        <v>842</v>
      </c>
      <c r="CE219" s="10" t="s">
        <v>693</v>
      </c>
      <c r="CF219" t="s">
        <v>686</v>
      </c>
      <c r="CG219" t="s">
        <v>57</v>
      </c>
      <c r="CH219" t="s">
        <v>160</v>
      </c>
    </row>
    <row r="220" spans="1:86" x14ac:dyDescent="0.3">
      <c r="A220">
        <v>217</v>
      </c>
      <c r="B220" t="s">
        <v>347</v>
      </c>
      <c r="C220" t="s">
        <v>346</v>
      </c>
      <c r="D220" t="s">
        <v>701</v>
      </c>
      <c r="E220" t="s">
        <v>685</v>
      </c>
      <c r="F220" t="s">
        <v>577</v>
      </c>
      <c r="H220" t="s">
        <v>687</v>
      </c>
      <c r="I220" t="s">
        <v>614</v>
      </c>
      <c r="O220">
        <v>2.25</v>
      </c>
      <c r="P220">
        <f t="shared" si="17"/>
        <v>960</v>
      </c>
      <c r="Q220">
        <f t="shared" si="10"/>
        <v>2160</v>
      </c>
      <c r="Z220">
        <f t="shared" si="18"/>
        <v>20</v>
      </c>
      <c r="BG220" t="s">
        <v>311</v>
      </c>
      <c r="BH220" t="s">
        <v>700</v>
      </c>
      <c r="BI220" s="10" t="s">
        <v>688</v>
      </c>
      <c r="BJ220" s="10" t="s">
        <v>632</v>
      </c>
      <c r="BK220" s="10" t="s">
        <v>689</v>
      </c>
      <c r="BL220" s="10">
        <v>1.03</v>
      </c>
      <c r="BR220" s="10" t="s">
        <v>842</v>
      </c>
      <c r="BS220" s="10">
        <f>LOG(7.2)</f>
        <v>0.85733249643126852</v>
      </c>
      <c r="BT220" s="10">
        <f>LOG(6)</f>
        <v>0.77815125038364363</v>
      </c>
      <c r="BX220" s="10" t="s">
        <v>842</v>
      </c>
      <c r="CE220" s="10" t="s">
        <v>693</v>
      </c>
      <c r="CF220" t="s">
        <v>686</v>
      </c>
      <c r="CG220" t="s">
        <v>57</v>
      </c>
      <c r="CH220" t="s">
        <v>160</v>
      </c>
    </row>
    <row r="221" spans="1:86" x14ac:dyDescent="0.3">
      <c r="A221">
        <v>218</v>
      </c>
      <c r="B221" t="s">
        <v>347</v>
      </c>
      <c r="C221" t="s">
        <v>346</v>
      </c>
      <c r="D221" t="s">
        <v>701</v>
      </c>
      <c r="E221" t="s">
        <v>685</v>
      </c>
      <c r="F221" t="s">
        <v>577</v>
      </c>
      <c r="H221" t="s">
        <v>687</v>
      </c>
      <c r="I221" t="s">
        <v>614</v>
      </c>
      <c r="O221">
        <v>2.25</v>
      </c>
      <c r="P221">
        <f t="shared" si="17"/>
        <v>960</v>
      </c>
      <c r="Q221">
        <f t="shared" si="10"/>
        <v>2160</v>
      </c>
      <c r="Z221">
        <f t="shared" si="18"/>
        <v>20</v>
      </c>
      <c r="BG221" t="s">
        <v>311</v>
      </c>
      <c r="BH221" t="s">
        <v>675</v>
      </c>
      <c r="BI221" s="10" t="s">
        <v>688</v>
      </c>
      <c r="BJ221" s="10" t="s">
        <v>632</v>
      </c>
      <c r="BK221" s="10" t="s">
        <v>689</v>
      </c>
      <c r="BL221" s="10">
        <v>1.04</v>
      </c>
      <c r="BR221" s="10" t="s">
        <v>842</v>
      </c>
      <c r="BS221" s="10">
        <f>LOG(0.33)</f>
        <v>-0.48148606012211248</v>
      </c>
      <c r="BT221" s="10">
        <f>LOG(0.13)</f>
        <v>-0.88605664769316317</v>
      </c>
      <c r="BX221" s="10" t="s">
        <v>842</v>
      </c>
      <c r="CE221" s="10" t="s">
        <v>693</v>
      </c>
      <c r="CF221" t="s">
        <v>686</v>
      </c>
      <c r="CG221" t="s">
        <v>57</v>
      </c>
      <c r="CH221" t="s">
        <v>160</v>
      </c>
    </row>
    <row r="222" spans="1:86" x14ac:dyDescent="0.3">
      <c r="A222">
        <v>219</v>
      </c>
      <c r="B222" t="s">
        <v>347</v>
      </c>
      <c r="C222" t="s">
        <v>346</v>
      </c>
      <c r="D222" t="s">
        <v>701</v>
      </c>
      <c r="E222" t="s">
        <v>685</v>
      </c>
      <c r="F222" t="s">
        <v>577</v>
      </c>
      <c r="H222" t="s">
        <v>687</v>
      </c>
      <c r="I222" t="s">
        <v>614</v>
      </c>
      <c r="O222">
        <v>2.25</v>
      </c>
      <c r="P222">
        <f t="shared" si="17"/>
        <v>960</v>
      </c>
      <c r="Q222">
        <f t="shared" si="10"/>
        <v>2160</v>
      </c>
      <c r="Z222">
        <f t="shared" si="18"/>
        <v>20</v>
      </c>
      <c r="BG222" t="s">
        <v>313</v>
      </c>
      <c r="BH222" t="s">
        <v>694</v>
      </c>
      <c r="BI222" s="10" t="s">
        <v>688</v>
      </c>
      <c r="BJ222" s="10" t="s">
        <v>695</v>
      </c>
      <c r="BK222" s="10" t="s">
        <v>689</v>
      </c>
      <c r="BL222" s="10">
        <v>0.3</v>
      </c>
      <c r="BR222" s="10" t="s">
        <v>842</v>
      </c>
      <c r="BS222" s="10">
        <f>LOG(0.97)</f>
        <v>-1.322826573375516E-2</v>
      </c>
      <c r="BT222" s="10">
        <f>LOG(1.5)</f>
        <v>0.17609125905568124</v>
      </c>
      <c r="BX222" s="10" t="s">
        <v>842</v>
      </c>
      <c r="CE222" s="10" t="s">
        <v>693</v>
      </c>
      <c r="CF222" t="s">
        <v>686</v>
      </c>
      <c r="CG222" t="s">
        <v>57</v>
      </c>
      <c r="CH222" t="s">
        <v>160</v>
      </c>
    </row>
    <row r="223" spans="1:86" x14ac:dyDescent="0.3">
      <c r="A223">
        <v>220</v>
      </c>
      <c r="B223" t="s">
        <v>347</v>
      </c>
      <c r="C223" t="s">
        <v>346</v>
      </c>
      <c r="D223" t="s">
        <v>701</v>
      </c>
      <c r="E223" t="s">
        <v>685</v>
      </c>
      <c r="F223" t="s">
        <v>577</v>
      </c>
      <c r="H223" t="s">
        <v>687</v>
      </c>
      <c r="I223" t="s">
        <v>614</v>
      </c>
      <c r="O223">
        <v>2.25</v>
      </c>
      <c r="P223">
        <f t="shared" si="17"/>
        <v>960</v>
      </c>
      <c r="Q223">
        <f t="shared" si="10"/>
        <v>2160</v>
      </c>
      <c r="Z223">
        <f t="shared" si="18"/>
        <v>20</v>
      </c>
      <c r="BG223" t="s">
        <v>313</v>
      </c>
      <c r="BH223" t="s">
        <v>696</v>
      </c>
      <c r="BI223" s="10" t="s">
        <v>688</v>
      </c>
      <c r="BJ223" s="10" t="s">
        <v>697</v>
      </c>
      <c r="BK223" s="10" t="s">
        <v>689</v>
      </c>
      <c r="BL223" s="10">
        <v>0.04</v>
      </c>
      <c r="BR223" s="10" t="s">
        <v>842</v>
      </c>
      <c r="BS223" s="10">
        <f>LOG(1.8)</f>
        <v>0.25527250510330607</v>
      </c>
      <c r="BT223" s="10">
        <f>LOG(1.5)</f>
        <v>0.17609125905568124</v>
      </c>
      <c r="BX223" s="10" t="s">
        <v>842</v>
      </c>
      <c r="CE223" s="10" t="s">
        <v>693</v>
      </c>
      <c r="CF223" t="s">
        <v>686</v>
      </c>
      <c r="CG223" t="s">
        <v>57</v>
      </c>
      <c r="CH223" t="s">
        <v>160</v>
      </c>
    </row>
    <row r="224" spans="1:86" x14ac:dyDescent="0.3">
      <c r="A224">
        <v>221</v>
      </c>
      <c r="B224" t="s">
        <v>347</v>
      </c>
      <c r="C224" t="s">
        <v>357</v>
      </c>
      <c r="D224" t="s">
        <v>698</v>
      </c>
      <c r="E224" t="s">
        <v>685</v>
      </c>
      <c r="F224" t="s">
        <v>577</v>
      </c>
      <c r="H224" t="s">
        <v>687</v>
      </c>
      <c r="I224" t="s">
        <v>614</v>
      </c>
      <c r="U224" t="s">
        <v>699</v>
      </c>
      <c r="V224" s="10">
        <f>2*$W$1</f>
        <v>117.348</v>
      </c>
      <c r="W224">
        <f>12+10+30</f>
        <v>52</v>
      </c>
      <c r="AI224">
        <f>AI204</f>
        <v>2.2230000000000016</v>
      </c>
      <c r="AK224">
        <f t="shared" ref="AK224:AL227" si="19">AK204</f>
        <v>5.0908000000000042</v>
      </c>
      <c r="AL224">
        <f t="shared" si="19"/>
        <v>3.1575000000000029</v>
      </c>
      <c r="AQ224">
        <f t="shared" ref="AQ224:AR227" si="20">AQ204</f>
        <v>18.929500000000001</v>
      </c>
      <c r="AR224">
        <f t="shared" si="20"/>
        <v>6.2160000000000011</v>
      </c>
      <c r="AU224">
        <f>AU204</f>
        <v>11.4099</v>
      </c>
      <c r="BG224" t="s">
        <v>311</v>
      </c>
      <c r="BH224" t="s">
        <v>702</v>
      </c>
      <c r="BI224" s="10" t="s">
        <v>688</v>
      </c>
      <c r="BL224" s="10">
        <v>1.62</v>
      </c>
      <c r="CE224" s="10" t="s">
        <v>703</v>
      </c>
      <c r="CF224" t="s">
        <v>686</v>
      </c>
      <c r="CG224" t="s">
        <v>57</v>
      </c>
      <c r="CH224" t="s">
        <v>160</v>
      </c>
    </row>
    <row r="225" spans="1:86" x14ac:dyDescent="0.3">
      <c r="A225">
        <v>222</v>
      </c>
      <c r="B225" t="s">
        <v>347</v>
      </c>
      <c r="C225" t="s">
        <v>357</v>
      </c>
      <c r="D225" t="s">
        <v>698</v>
      </c>
      <c r="E225" t="s">
        <v>685</v>
      </c>
      <c r="F225" t="s">
        <v>577</v>
      </c>
      <c r="H225" t="s">
        <v>687</v>
      </c>
      <c r="I225" t="s">
        <v>614</v>
      </c>
      <c r="U225" t="s">
        <v>699</v>
      </c>
      <c r="V225" s="10">
        <f>2*$W$1</f>
        <v>117.348</v>
      </c>
      <c r="W225">
        <f>12+10+30</f>
        <v>52</v>
      </c>
      <c r="AI225">
        <f>AI205</f>
        <v>2.2230000000000016</v>
      </c>
      <c r="AK225">
        <f t="shared" si="19"/>
        <v>5.0908000000000042</v>
      </c>
      <c r="AL225">
        <f t="shared" si="19"/>
        <v>3.1575000000000029</v>
      </c>
      <c r="AQ225">
        <f t="shared" si="20"/>
        <v>18.929500000000001</v>
      </c>
      <c r="AR225">
        <f t="shared" si="20"/>
        <v>6.2160000000000011</v>
      </c>
      <c r="AU225">
        <f>AU205</f>
        <v>11.4099</v>
      </c>
      <c r="BG225" t="s">
        <v>311</v>
      </c>
      <c r="BH225" t="s">
        <v>315</v>
      </c>
      <c r="BI225" s="10" t="s">
        <v>688</v>
      </c>
      <c r="BL225" s="10">
        <v>1.61</v>
      </c>
      <c r="CE225" s="10" t="s">
        <v>703</v>
      </c>
      <c r="CF225" t="s">
        <v>686</v>
      </c>
      <c r="CG225" t="s">
        <v>57</v>
      </c>
      <c r="CH225" t="s">
        <v>160</v>
      </c>
    </row>
    <row r="226" spans="1:86" x14ac:dyDescent="0.3">
      <c r="A226">
        <v>223</v>
      </c>
      <c r="B226" t="s">
        <v>347</v>
      </c>
      <c r="C226" t="s">
        <v>357</v>
      </c>
      <c r="D226" t="s">
        <v>698</v>
      </c>
      <c r="E226" t="s">
        <v>685</v>
      </c>
      <c r="F226" t="s">
        <v>577</v>
      </c>
      <c r="H226" t="s">
        <v>687</v>
      </c>
      <c r="I226" t="s">
        <v>614</v>
      </c>
      <c r="U226" t="s">
        <v>699</v>
      </c>
      <c r="V226" s="10">
        <f>2*$W$1</f>
        <v>117.348</v>
      </c>
      <c r="W226">
        <f>12+10+30</f>
        <v>52</v>
      </c>
      <c r="AI226">
        <f>AI206</f>
        <v>2.2230000000000016</v>
      </c>
      <c r="AK226">
        <f t="shared" si="19"/>
        <v>5.0908000000000042</v>
      </c>
      <c r="AL226">
        <f t="shared" si="19"/>
        <v>3.1575000000000029</v>
      </c>
      <c r="AQ226">
        <f t="shared" si="20"/>
        <v>18.929500000000001</v>
      </c>
      <c r="AR226">
        <f t="shared" si="20"/>
        <v>6.2160000000000011</v>
      </c>
      <c r="AU226">
        <f>AU206</f>
        <v>11.4099</v>
      </c>
      <c r="BG226" t="s">
        <v>311</v>
      </c>
      <c r="BH226" t="s">
        <v>704</v>
      </c>
      <c r="BI226" s="10" t="s">
        <v>688</v>
      </c>
      <c r="BL226" s="10">
        <v>3.81</v>
      </c>
      <c r="CE226" s="10" t="s">
        <v>703</v>
      </c>
      <c r="CF226" t="s">
        <v>686</v>
      </c>
      <c r="CG226" t="s">
        <v>57</v>
      </c>
      <c r="CH226" t="s">
        <v>160</v>
      </c>
    </row>
    <row r="227" spans="1:86" x14ac:dyDescent="0.3">
      <c r="A227">
        <v>224</v>
      </c>
      <c r="B227" t="s">
        <v>347</v>
      </c>
      <c r="C227" t="s">
        <v>357</v>
      </c>
      <c r="D227" t="s">
        <v>698</v>
      </c>
      <c r="E227" t="s">
        <v>685</v>
      </c>
      <c r="F227" t="s">
        <v>577</v>
      </c>
      <c r="H227" t="s">
        <v>687</v>
      </c>
      <c r="I227" t="s">
        <v>614</v>
      </c>
      <c r="U227" t="s">
        <v>699</v>
      </c>
      <c r="V227" s="10">
        <f>2*$W$1</f>
        <v>117.348</v>
      </c>
      <c r="W227">
        <f>12+10+30</f>
        <v>52</v>
      </c>
      <c r="AI227">
        <f>AI207</f>
        <v>2.2230000000000016</v>
      </c>
      <c r="AK227">
        <f t="shared" si="19"/>
        <v>5.0908000000000042</v>
      </c>
      <c r="AL227">
        <f t="shared" si="19"/>
        <v>3.1575000000000029</v>
      </c>
      <c r="AQ227">
        <f t="shared" si="20"/>
        <v>18.929500000000001</v>
      </c>
      <c r="AR227">
        <f t="shared" si="20"/>
        <v>6.2160000000000011</v>
      </c>
      <c r="AU227">
        <f>AU207</f>
        <v>11.4099</v>
      </c>
      <c r="BG227" t="s">
        <v>311</v>
      </c>
      <c r="BH227" t="s">
        <v>705</v>
      </c>
      <c r="BI227" s="10" t="s">
        <v>688</v>
      </c>
      <c r="BL227" s="10">
        <v>0.89</v>
      </c>
      <c r="CE227" s="10" t="s">
        <v>703</v>
      </c>
      <c r="CF227" t="s">
        <v>686</v>
      </c>
      <c r="CG227" t="s">
        <v>57</v>
      </c>
      <c r="CH227" t="s">
        <v>160</v>
      </c>
    </row>
    <row r="228" spans="1:86" x14ac:dyDescent="0.3">
      <c r="A228">
        <v>225</v>
      </c>
      <c r="B228" t="s">
        <v>347</v>
      </c>
      <c r="C228" t="s">
        <v>6</v>
      </c>
      <c r="E228" t="s">
        <v>685</v>
      </c>
      <c r="F228" t="s">
        <v>577</v>
      </c>
      <c r="H228" t="s">
        <v>687</v>
      </c>
      <c r="I228" t="s">
        <v>614</v>
      </c>
      <c r="O228">
        <v>3.9</v>
      </c>
      <c r="P228">
        <v>46</v>
      </c>
      <c r="Q228">
        <f>P228*O228</f>
        <v>179.4</v>
      </c>
      <c r="AI228">
        <f>AI211</f>
        <v>1.5227550000000012</v>
      </c>
      <c r="AK228">
        <f t="shared" ref="AK228:AL231" si="21">AK211</f>
        <v>0.93161640000000101</v>
      </c>
      <c r="AL228">
        <f t="shared" si="21"/>
        <v>1.3103625000000012</v>
      </c>
      <c r="AQ228">
        <f t="shared" ref="AQ228:AR231" si="22">AQ211</f>
        <v>17.926236500000002</v>
      </c>
      <c r="AR228">
        <f t="shared" si="22"/>
        <v>4.8298320000000006</v>
      </c>
      <c r="AU228">
        <f>AU211</f>
        <v>9.0366408000000007</v>
      </c>
      <c r="BG228" t="s">
        <v>311</v>
      </c>
      <c r="BH228" t="s">
        <v>702</v>
      </c>
      <c r="BI228" s="10" t="s">
        <v>688</v>
      </c>
      <c r="BL228" s="10">
        <v>2.92</v>
      </c>
      <c r="CE228" s="10" t="s">
        <v>703</v>
      </c>
      <c r="CF228" t="s">
        <v>686</v>
      </c>
      <c r="CG228" t="s">
        <v>57</v>
      </c>
      <c r="CH228" t="s">
        <v>160</v>
      </c>
    </row>
    <row r="229" spans="1:86" x14ac:dyDescent="0.3">
      <c r="A229">
        <v>226</v>
      </c>
      <c r="B229" t="s">
        <v>347</v>
      </c>
      <c r="C229" t="s">
        <v>6</v>
      </c>
      <c r="E229" t="s">
        <v>685</v>
      </c>
      <c r="F229" t="s">
        <v>577</v>
      </c>
      <c r="H229" t="s">
        <v>687</v>
      </c>
      <c r="I229" t="s">
        <v>614</v>
      </c>
      <c r="O229">
        <v>3.9</v>
      </c>
      <c r="P229">
        <v>46</v>
      </c>
      <c r="Q229">
        <f>P229*O229</f>
        <v>179.4</v>
      </c>
      <c r="AI229">
        <f>AI212</f>
        <v>1.5227550000000012</v>
      </c>
      <c r="AK229">
        <f t="shared" si="21"/>
        <v>0.93161640000000101</v>
      </c>
      <c r="AL229">
        <f t="shared" si="21"/>
        <v>1.3103625000000012</v>
      </c>
      <c r="AQ229">
        <f t="shared" si="22"/>
        <v>17.926236500000002</v>
      </c>
      <c r="AR229">
        <f t="shared" si="22"/>
        <v>4.8298320000000006</v>
      </c>
      <c r="AU229">
        <f>AU212</f>
        <v>9.0366408000000007</v>
      </c>
      <c r="BG229" t="s">
        <v>311</v>
      </c>
      <c r="BH229" t="s">
        <v>315</v>
      </c>
      <c r="BI229" s="10" t="s">
        <v>688</v>
      </c>
      <c r="BL229" s="10">
        <v>1.49</v>
      </c>
      <c r="CE229" s="10" t="s">
        <v>703</v>
      </c>
      <c r="CF229" t="s">
        <v>686</v>
      </c>
      <c r="CG229" t="s">
        <v>57</v>
      </c>
      <c r="CH229" t="s">
        <v>160</v>
      </c>
    </row>
    <row r="230" spans="1:86" x14ac:dyDescent="0.3">
      <c r="A230">
        <v>227</v>
      </c>
      <c r="B230" t="s">
        <v>347</v>
      </c>
      <c r="C230" t="s">
        <v>6</v>
      </c>
      <c r="E230" t="s">
        <v>685</v>
      </c>
      <c r="F230" t="s">
        <v>577</v>
      </c>
      <c r="H230" t="s">
        <v>687</v>
      </c>
      <c r="I230" t="s">
        <v>614</v>
      </c>
      <c r="O230">
        <v>3.9</v>
      </c>
      <c r="P230">
        <v>46</v>
      </c>
      <c r="Q230">
        <f>P230*O230</f>
        <v>179.4</v>
      </c>
      <c r="AI230">
        <f>AI213</f>
        <v>1.5227550000000012</v>
      </c>
      <c r="AK230">
        <f t="shared" si="21"/>
        <v>0.93161640000000101</v>
      </c>
      <c r="AL230">
        <f t="shared" si="21"/>
        <v>1.3103625000000012</v>
      </c>
      <c r="AQ230">
        <f t="shared" si="22"/>
        <v>17.926236500000002</v>
      </c>
      <c r="AR230">
        <f t="shared" si="22"/>
        <v>4.8298320000000006</v>
      </c>
      <c r="AU230">
        <f>AU213</f>
        <v>9.0366408000000007</v>
      </c>
      <c r="BG230" t="s">
        <v>311</v>
      </c>
      <c r="BH230" t="s">
        <v>704</v>
      </c>
      <c r="BI230" s="10" t="s">
        <v>688</v>
      </c>
      <c r="BL230" s="10">
        <v>1.03</v>
      </c>
      <c r="CE230" s="10" t="s">
        <v>703</v>
      </c>
      <c r="CF230" t="s">
        <v>686</v>
      </c>
      <c r="CG230" t="s">
        <v>57</v>
      </c>
      <c r="CH230" t="s">
        <v>160</v>
      </c>
    </row>
    <row r="231" spans="1:86" x14ac:dyDescent="0.3">
      <c r="A231">
        <v>228</v>
      </c>
      <c r="B231" t="s">
        <v>347</v>
      </c>
      <c r="C231" t="s">
        <v>6</v>
      </c>
      <c r="E231" t="s">
        <v>685</v>
      </c>
      <c r="F231" t="s">
        <v>577</v>
      </c>
      <c r="H231" t="s">
        <v>687</v>
      </c>
      <c r="I231" t="s">
        <v>614</v>
      </c>
      <c r="O231">
        <v>3.9</v>
      </c>
      <c r="P231">
        <v>46</v>
      </c>
      <c r="Q231">
        <f>P231*O231</f>
        <v>179.4</v>
      </c>
      <c r="AI231">
        <f>AI214</f>
        <v>1.5227550000000012</v>
      </c>
      <c r="AK231">
        <f t="shared" si="21"/>
        <v>0.93161640000000101</v>
      </c>
      <c r="AL231">
        <f t="shared" si="21"/>
        <v>1.3103625000000012</v>
      </c>
      <c r="AQ231">
        <f t="shared" si="22"/>
        <v>17.926236500000002</v>
      </c>
      <c r="AR231">
        <f t="shared" si="22"/>
        <v>4.8298320000000006</v>
      </c>
      <c r="AU231">
        <f>AU214</f>
        <v>9.0366408000000007</v>
      </c>
      <c r="BG231" t="s">
        <v>311</v>
      </c>
      <c r="BH231" t="s">
        <v>705</v>
      </c>
      <c r="BI231" s="10" t="s">
        <v>688</v>
      </c>
      <c r="BL231" s="10">
        <v>1.44</v>
      </c>
      <c r="CE231" s="10" t="s">
        <v>703</v>
      </c>
      <c r="CF231" t="s">
        <v>686</v>
      </c>
      <c r="CG231" t="s">
        <v>57</v>
      </c>
      <c r="CH231" t="s">
        <v>160</v>
      </c>
    </row>
    <row r="232" spans="1:86" x14ac:dyDescent="0.3">
      <c r="A232">
        <v>229</v>
      </c>
      <c r="B232" t="s">
        <v>349</v>
      </c>
      <c r="C232" t="s">
        <v>335</v>
      </c>
      <c r="D232" t="s">
        <v>706</v>
      </c>
      <c r="E232" t="s">
        <v>564</v>
      </c>
      <c r="F232" t="s">
        <v>565</v>
      </c>
      <c r="I232" t="s">
        <v>567</v>
      </c>
      <c r="N232">
        <v>0.15</v>
      </c>
      <c r="P232">
        <v>0.97</v>
      </c>
      <c r="Q232">
        <v>0.15</v>
      </c>
      <c r="AG232">
        <v>7</v>
      </c>
      <c r="AP232">
        <v>25</v>
      </c>
      <c r="BG232" t="s">
        <v>313</v>
      </c>
      <c r="BH232" t="s">
        <v>707</v>
      </c>
      <c r="BI232" s="10" t="s">
        <v>568</v>
      </c>
      <c r="BK232" s="10" t="s">
        <v>137</v>
      </c>
      <c r="BL232" s="10">
        <v>2</v>
      </c>
      <c r="CE232" s="10" t="s">
        <v>642</v>
      </c>
      <c r="CF232" t="s">
        <v>708</v>
      </c>
      <c r="CG232" t="s">
        <v>572</v>
      </c>
      <c r="CH232" t="s">
        <v>288</v>
      </c>
    </row>
    <row r="233" spans="1:86" x14ac:dyDescent="0.3">
      <c r="A233">
        <v>230</v>
      </c>
      <c r="B233" t="s">
        <v>349</v>
      </c>
      <c r="C233" t="s">
        <v>335</v>
      </c>
      <c r="D233" t="s">
        <v>709</v>
      </c>
      <c r="E233" t="s">
        <v>564</v>
      </c>
      <c r="F233" t="s">
        <v>565</v>
      </c>
      <c r="I233" t="s">
        <v>567</v>
      </c>
      <c r="N233">
        <v>8.2000000000000003E-2</v>
      </c>
      <c r="P233">
        <v>1.9</v>
      </c>
      <c r="Q233">
        <v>0.16</v>
      </c>
      <c r="AG233">
        <v>7</v>
      </c>
      <c r="AP233">
        <v>25</v>
      </c>
      <c r="BG233" t="s">
        <v>313</v>
      </c>
      <c r="BH233" t="s">
        <v>707</v>
      </c>
      <c r="BI233" s="10" t="s">
        <v>568</v>
      </c>
      <c r="BK233" s="10" t="s">
        <v>137</v>
      </c>
      <c r="BL233" s="10">
        <v>2</v>
      </c>
      <c r="CE233" s="10" t="s">
        <v>642</v>
      </c>
      <c r="CF233" t="s">
        <v>708</v>
      </c>
      <c r="CG233" t="s">
        <v>572</v>
      </c>
      <c r="CH233" t="s">
        <v>288</v>
      </c>
    </row>
    <row r="234" spans="1:86" x14ac:dyDescent="0.3">
      <c r="A234">
        <v>231</v>
      </c>
      <c r="B234" t="s">
        <v>349</v>
      </c>
      <c r="C234" t="s">
        <v>335</v>
      </c>
      <c r="D234" t="s">
        <v>710</v>
      </c>
      <c r="E234" t="s">
        <v>564</v>
      </c>
      <c r="F234" t="s">
        <v>565</v>
      </c>
      <c r="I234" t="s">
        <v>567</v>
      </c>
      <c r="N234">
        <v>3.4000000000000002E-2</v>
      </c>
      <c r="P234">
        <v>5.5</v>
      </c>
      <c r="Q234">
        <v>0.19</v>
      </c>
      <c r="AG234">
        <v>7</v>
      </c>
      <c r="AP234">
        <v>25</v>
      </c>
      <c r="BG234" t="s">
        <v>313</v>
      </c>
      <c r="BH234" t="s">
        <v>707</v>
      </c>
      <c r="BI234" s="10" t="s">
        <v>568</v>
      </c>
      <c r="BK234" s="10" t="s">
        <v>137</v>
      </c>
      <c r="BL234" s="10">
        <v>2</v>
      </c>
      <c r="CE234" s="10" t="s">
        <v>642</v>
      </c>
      <c r="CF234" t="s">
        <v>708</v>
      </c>
      <c r="CG234" t="s">
        <v>572</v>
      </c>
      <c r="CH234" t="s">
        <v>288</v>
      </c>
    </row>
    <row r="235" spans="1:86" x14ac:dyDescent="0.3">
      <c r="A235">
        <v>232</v>
      </c>
      <c r="B235" t="s">
        <v>349</v>
      </c>
      <c r="C235" t="s">
        <v>335</v>
      </c>
      <c r="D235" t="s">
        <v>711</v>
      </c>
      <c r="E235" t="s">
        <v>564</v>
      </c>
      <c r="F235" t="s">
        <v>565</v>
      </c>
      <c r="I235" t="s">
        <v>567</v>
      </c>
      <c r="N235">
        <v>0.48</v>
      </c>
      <c r="P235">
        <v>0.95</v>
      </c>
      <c r="Q235">
        <v>0.46</v>
      </c>
      <c r="AG235">
        <v>7</v>
      </c>
      <c r="AP235">
        <v>5</v>
      </c>
      <c r="BG235" t="s">
        <v>313</v>
      </c>
      <c r="BH235" t="s">
        <v>707</v>
      </c>
      <c r="BI235" s="10" t="s">
        <v>568</v>
      </c>
      <c r="BK235" s="10" t="s">
        <v>137</v>
      </c>
      <c r="BL235" s="10">
        <v>2</v>
      </c>
      <c r="CE235" s="10" t="s">
        <v>642</v>
      </c>
      <c r="CF235" t="s">
        <v>708</v>
      </c>
      <c r="CG235" t="s">
        <v>572</v>
      </c>
      <c r="CH235" t="s">
        <v>288</v>
      </c>
    </row>
    <row r="236" spans="1:86" x14ac:dyDescent="0.3">
      <c r="A236">
        <v>233</v>
      </c>
      <c r="B236" t="s">
        <v>349</v>
      </c>
      <c r="C236" t="s">
        <v>335</v>
      </c>
      <c r="D236" t="s">
        <v>712</v>
      </c>
      <c r="E236" t="s">
        <v>564</v>
      </c>
      <c r="F236" t="s">
        <v>565</v>
      </c>
      <c r="I236" t="s">
        <v>567</v>
      </c>
      <c r="N236">
        <v>0.2</v>
      </c>
      <c r="P236">
        <v>3.2</v>
      </c>
      <c r="Q236">
        <v>0.64</v>
      </c>
      <c r="AG236">
        <v>7</v>
      </c>
      <c r="AP236">
        <v>5</v>
      </c>
      <c r="BG236" t="s">
        <v>313</v>
      </c>
      <c r="BH236" t="s">
        <v>707</v>
      </c>
      <c r="BI236" s="10" t="s">
        <v>568</v>
      </c>
      <c r="BK236" s="10" t="s">
        <v>137</v>
      </c>
      <c r="BL236" s="10">
        <v>2</v>
      </c>
      <c r="CE236" s="10" t="s">
        <v>642</v>
      </c>
      <c r="CF236" t="s">
        <v>708</v>
      </c>
      <c r="CG236" t="s">
        <v>572</v>
      </c>
      <c r="CH236" t="s">
        <v>288</v>
      </c>
    </row>
    <row r="237" spans="1:86" x14ac:dyDescent="0.3">
      <c r="A237">
        <v>234</v>
      </c>
      <c r="B237" t="s">
        <v>349</v>
      </c>
      <c r="C237" t="s">
        <v>335</v>
      </c>
      <c r="D237" t="s">
        <v>713</v>
      </c>
      <c r="E237" t="s">
        <v>564</v>
      </c>
      <c r="F237" t="s">
        <v>565</v>
      </c>
      <c r="I237" t="s">
        <v>567</v>
      </c>
      <c r="N237">
        <v>0.11</v>
      </c>
      <c r="P237">
        <v>5</v>
      </c>
      <c r="Q237">
        <v>0.55000000000000004</v>
      </c>
      <c r="AG237">
        <v>7</v>
      </c>
      <c r="AP237">
        <v>5</v>
      </c>
      <c r="BG237" t="s">
        <v>313</v>
      </c>
      <c r="BH237" t="s">
        <v>707</v>
      </c>
      <c r="BI237" s="10" t="s">
        <v>568</v>
      </c>
      <c r="BK237" s="10" t="s">
        <v>137</v>
      </c>
      <c r="BL237" s="10">
        <v>2</v>
      </c>
      <c r="CE237" s="10" t="s">
        <v>642</v>
      </c>
      <c r="CF237" t="s">
        <v>708</v>
      </c>
      <c r="CG237" t="s">
        <v>572</v>
      </c>
      <c r="CH237" t="s">
        <v>288</v>
      </c>
    </row>
    <row r="238" spans="1:86" x14ac:dyDescent="0.3">
      <c r="A238">
        <v>235</v>
      </c>
      <c r="B238" t="s">
        <v>349</v>
      </c>
      <c r="C238" t="s">
        <v>335</v>
      </c>
      <c r="D238" t="s">
        <v>714</v>
      </c>
      <c r="E238" t="s">
        <v>564</v>
      </c>
      <c r="F238" t="s">
        <v>565</v>
      </c>
      <c r="I238" t="s">
        <v>567</v>
      </c>
      <c r="N238">
        <v>0.18</v>
      </c>
      <c r="P238">
        <v>1.3</v>
      </c>
      <c r="Q238">
        <v>0.24</v>
      </c>
      <c r="AG238">
        <v>7</v>
      </c>
      <c r="AP238">
        <v>25</v>
      </c>
      <c r="BG238" t="s">
        <v>313</v>
      </c>
      <c r="BH238" t="s">
        <v>715</v>
      </c>
      <c r="BI238" s="10" t="s">
        <v>568</v>
      </c>
      <c r="BK238" s="10" t="s">
        <v>137</v>
      </c>
      <c r="BL238" s="10">
        <v>2</v>
      </c>
      <c r="CE238" s="10" t="s">
        <v>642</v>
      </c>
      <c r="CF238" t="s">
        <v>708</v>
      </c>
      <c r="CG238" t="s">
        <v>572</v>
      </c>
      <c r="CH238" t="s">
        <v>288</v>
      </c>
    </row>
    <row r="239" spans="1:86" x14ac:dyDescent="0.3">
      <c r="A239">
        <v>236</v>
      </c>
      <c r="B239" t="s">
        <v>349</v>
      </c>
      <c r="C239" t="s">
        <v>335</v>
      </c>
      <c r="D239" t="s">
        <v>716</v>
      </c>
      <c r="E239" t="s">
        <v>564</v>
      </c>
      <c r="F239" t="s">
        <v>565</v>
      </c>
      <c r="I239" t="s">
        <v>567</v>
      </c>
      <c r="N239">
        <v>0.1</v>
      </c>
      <c r="P239">
        <v>2.2000000000000002</v>
      </c>
      <c r="Q239">
        <v>0.22</v>
      </c>
      <c r="AG239">
        <v>7</v>
      </c>
      <c r="AP239">
        <v>25</v>
      </c>
      <c r="BG239" t="s">
        <v>313</v>
      </c>
      <c r="BH239" t="s">
        <v>715</v>
      </c>
      <c r="BI239" s="10" t="s">
        <v>568</v>
      </c>
      <c r="BK239" s="10" t="s">
        <v>137</v>
      </c>
      <c r="BL239" s="10">
        <v>2</v>
      </c>
      <c r="CE239" s="10" t="s">
        <v>642</v>
      </c>
      <c r="CF239" t="s">
        <v>708</v>
      </c>
      <c r="CG239" t="s">
        <v>572</v>
      </c>
      <c r="CH239" t="s">
        <v>288</v>
      </c>
    </row>
    <row r="240" spans="1:86" x14ac:dyDescent="0.3">
      <c r="A240">
        <v>237</v>
      </c>
      <c r="B240" t="s">
        <v>349</v>
      </c>
      <c r="C240" t="s">
        <v>335</v>
      </c>
      <c r="D240" t="s">
        <v>717</v>
      </c>
      <c r="E240" t="s">
        <v>564</v>
      </c>
      <c r="F240" t="s">
        <v>565</v>
      </c>
      <c r="I240" t="s">
        <v>567</v>
      </c>
      <c r="N240">
        <v>0.08</v>
      </c>
      <c r="P240">
        <v>3.4</v>
      </c>
      <c r="Q240">
        <v>0.27</v>
      </c>
      <c r="AG240">
        <v>7</v>
      </c>
      <c r="AP240">
        <v>25</v>
      </c>
      <c r="BG240" t="s">
        <v>313</v>
      </c>
      <c r="BH240" t="s">
        <v>715</v>
      </c>
      <c r="BI240" s="10" t="s">
        <v>568</v>
      </c>
      <c r="BK240" s="10" t="s">
        <v>137</v>
      </c>
      <c r="BL240" s="10">
        <v>2</v>
      </c>
      <c r="CE240" s="10" t="s">
        <v>642</v>
      </c>
      <c r="CF240" t="s">
        <v>708</v>
      </c>
      <c r="CG240" t="s">
        <v>572</v>
      </c>
      <c r="CH240" t="s">
        <v>288</v>
      </c>
    </row>
    <row r="241" spans="1:86" x14ac:dyDescent="0.3">
      <c r="A241">
        <v>238</v>
      </c>
      <c r="B241" t="s">
        <v>349</v>
      </c>
      <c r="C241" t="s">
        <v>335</v>
      </c>
      <c r="D241" t="s">
        <v>718</v>
      </c>
      <c r="E241" t="s">
        <v>564</v>
      </c>
      <c r="F241" t="s">
        <v>565</v>
      </c>
      <c r="I241" t="s">
        <v>567</v>
      </c>
      <c r="N241">
        <v>3.4000000000000002E-2</v>
      </c>
      <c r="P241">
        <v>8.1999999999999993</v>
      </c>
      <c r="Q241">
        <v>0.28000000000000003</v>
      </c>
      <c r="AG241">
        <v>7</v>
      </c>
      <c r="AP241">
        <v>25</v>
      </c>
      <c r="BG241" t="s">
        <v>313</v>
      </c>
      <c r="BH241" t="s">
        <v>715</v>
      </c>
      <c r="BI241" s="10" t="s">
        <v>568</v>
      </c>
      <c r="BK241" s="10" t="s">
        <v>137</v>
      </c>
      <c r="BL241" s="10">
        <v>2</v>
      </c>
      <c r="CE241" s="10" t="s">
        <v>642</v>
      </c>
      <c r="CF241" t="s">
        <v>708</v>
      </c>
      <c r="CG241" t="s">
        <v>572</v>
      </c>
      <c r="CH241" t="s">
        <v>288</v>
      </c>
    </row>
    <row r="242" spans="1:86" x14ac:dyDescent="0.3">
      <c r="A242">
        <v>239</v>
      </c>
      <c r="B242" t="s">
        <v>349</v>
      </c>
      <c r="C242" t="s">
        <v>335</v>
      </c>
      <c r="D242" t="s">
        <v>719</v>
      </c>
      <c r="E242" t="s">
        <v>564</v>
      </c>
      <c r="F242" t="s">
        <v>565</v>
      </c>
      <c r="I242" t="s">
        <v>567</v>
      </c>
      <c r="N242">
        <v>0.7</v>
      </c>
      <c r="P242">
        <v>2.5</v>
      </c>
      <c r="Q242">
        <v>1.8</v>
      </c>
      <c r="AG242">
        <v>7</v>
      </c>
      <c r="AP242">
        <v>5</v>
      </c>
      <c r="BG242" t="s">
        <v>313</v>
      </c>
      <c r="BH242" t="s">
        <v>715</v>
      </c>
      <c r="BI242" s="10" t="s">
        <v>568</v>
      </c>
      <c r="BK242" s="10" t="s">
        <v>137</v>
      </c>
      <c r="BL242" s="10">
        <v>2</v>
      </c>
      <c r="CE242" s="10" t="s">
        <v>642</v>
      </c>
      <c r="CF242" t="s">
        <v>708</v>
      </c>
      <c r="CG242" t="s">
        <v>572</v>
      </c>
      <c r="CH242" t="s">
        <v>288</v>
      </c>
    </row>
    <row r="243" spans="1:86" x14ac:dyDescent="0.3">
      <c r="A243">
        <v>240</v>
      </c>
      <c r="B243" t="s">
        <v>349</v>
      </c>
      <c r="C243" t="s">
        <v>335</v>
      </c>
      <c r="D243" t="s">
        <v>713</v>
      </c>
      <c r="E243" t="s">
        <v>564</v>
      </c>
      <c r="F243" t="s">
        <v>565</v>
      </c>
      <c r="I243" t="s">
        <v>567</v>
      </c>
      <c r="N243">
        <v>0.4</v>
      </c>
      <c r="P243">
        <v>5</v>
      </c>
      <c r="Q243">
        <v>2</v>
      </c>
      <c r="AG243">
        <v>7</v>
      </c>
      <c r="AP243">
        <v>5</v>
      </c>
      <c r="BG243" t="s">
        <v>313</v>
      </c>
      <c r="BH243" t="s">
        <v>715</v>
      </c>
      <c r="BI243" s="10" t="s">
        <v>568</v>
      </c>
      <c r="BK243" s="10" t="s">
        <v>137</v>
      </c>
      <c r="BL243" s="10">
        <v>2</v>
      </c>
      <c r="CE243" s="10" t="s">
        <v>642</v>
      </c>
      <c r="CF243" t="s">
        <v>708</v>
      </c>
      <c r="CG243" t="s">
        <v>572</v>
      </c>
      <c r="CH243" t="s">
        <v>288</v>
      </c>
    </row>
    <row r="244" spans="1:86" x14ac:dyDescent="0.3">
      <c r="A244">
        <v>241</v>
      </c>
      <c r="B244" t="s">
        <v>349</v>
      </c>
      <c r="C244" t="s">
        <v>335</v>
      </c>
      <c r="D244" t="s">
        <v>720</v>
      </c>
      <c r="E244" t="s">
        <v>564</v>
      </c>
      <c r="F244" t="s">
        <v>565</v>
      </c>
      <c r="I244" t="s">
        <v>567</v>
      </c>
      <c r="N244">
        <v>0.31</v>
      </c>
      <c r="P244">
        <v>6.4</v>
      </c>
      <c r="Q244">
        <v>2</v>
      </c>
      <c r="AG244">
        <v>7</v>
      </c>
      <c r="AP244">
        <v>5</v>
      </c>
      <c r="BG244" t="s">
        <v>313</v>
      </c>
      <c r="BH244" t="s">
        <v>715</v>
      </c>
      <c r="BI244" s="10" t="s">
        <v>568</v>
      </c>
      <c r="BK244" s="10" t="s">
        <v>137</v>
      </c>
      <c r="BL244" s="10">
        <v>2</v>
      </c>
      <c r="CE244" s="10" t="s">
        <v>642</v>
      </c>
      <c r="CF244" t="s">
        <v>708</v>
      </c>
      <c r="CG244" t="s">
        <v>572</v>
      </c>
      <c r="CH244" t="s">
        <v>288</v>
      </c>
    </row>
    <row r="245" spans="1:86" x14ac:dyDescent="0.3">
      <c r="A245">
        <v>242</v>
      </c>
      <c r="B245" t="s">
        <v>349</v>
      </c>
      <c r="C245" t="s">
        <v>335</v>
      </c>
      <c r="D245" t="s">
        <v>721</v>
      </c>
      <c r="E245" t="s">
        <v>564</v>
      </c>
      <c r="F245" t="s">
        <v>565</v>
      </c>
      <c r="I245" t="s">
        <v>567</v>
      </c>
      <c r="N245">
        <v>0.21</v>
      </c>
      <c r="P245">
        <v>9.6</v>
      </c>
      <c r="Q245">
        <v>2</v>
      </c>
      <c r="AG245">
        <v>7</v>
      </c>
      <c r="AP245">
        <v>5</v>
      </c>
      <c r="BG245" t="s">
        <v>313</v>
      </c>
      <c r="BH245" t="s">
        <v>715</v>
      </c>
      <c r="BI245" s="10" t="s">
        <v>568</v>
      </c>
      <c r="BK245" s="10" t="s">
        <v>137</v>
      </c>
      <c r="BL245" s="10">
        <v>2</v>
      </c>
      <c r="CE245" s="10" t="s">
        <v>642</v>
      </c>
      <c r="CF245" t="s">
        <v>708</v>
      </c>
      <c r="CG245" t="s">
        <v>572</v>
      </c>
      <c r="CH245" t="s">
        <v>288</v>
      </c>
    </row>
    <row r="246" spans="1:86" x14ac:dyDescent="0.3">
      <c r="A246">
        <v>246</v>
      </c>
      <c r="B246" t="s">
        <v>354</v>
      </c>
      <c r="C246" t="s">
        <v>341</v>
      </c>
      <c r="E246" t="s">
        <v>722</v>
      </c>
      <c r="F246" t="s">
        <v>577</v>
      </c>
      <c r="G246" t="s">
        <v>723</v>
      </c>
      <c r="I246" t="s">
        <v>614</v>
      </c>
      <c r="BG246" t="s">
        <v>311</v>
      </c>
      <c r="BH246" t="s">
        <v>724</v>
      </c>
      <c r="BI246" s="10" t="s">
        <v>672</v>
      </c>
      <c r="BK246" s="10" t="s">
        <v>137</v>
      </c>
      <c r="BL246" s="10">
        <v>1.04</v>
      </c>
      <c r="BM246" s="52">
        <v>16</v>
      </c>
      <c r="BN246" s="17">
        <v>0.39</v>
      </c>
      <c r="BS246" s="10">
        <v>5.85</v>
      </c>
      <c r="BT246" s="10">
        <v>1.05</v>
      </c>
      <c r="BY246" s="10">
        <v>4.8099999999999996</v>
      </c>
      <c r="BZ246" s="10">
        <v>1.1000000000000001</v>
      </c>
      <c r="CE246" s="10" t="s">
        <v>725</v>
      </c>
      <c r="CG246" t="s">
        <v>572</v>
      </c>
      <c r="CH246" t="s">
        <v>726</v>
      </c>
    </row>
    <row r="247" spans="1:86" x14ac:dyDescent="0.3">
      <c r="A247">
        <v>247</v>
      </c>
      <c r="B247" t="s">
        <v>354</v>
      </c>
      <c r="C247" t="s">
        <v>329</v>
      </c>
      <c r="D247" t="s">
        <v>727</v>
      </c>
      <c r="E247" t="s">
        <v>722</v>
      </c>
      <c r="F247" t="s">
        <v>577</v>
      </c>
      <c r="G247" t="s">
        <v>728</v>
      </c>
      <c r="I247" t="s">
        <v>614</v>
      </c>
      <c r="T247">
        <v>23</v>
      </c>
      <c r="BG247" t="s">
        <v>311</v>
      </c>
      <c r="BH247" t="s">
        <v>724</v>
      </c>
      <c r="BI247" s="10" t="s">
        <v>672</v>
      </c>
      <c r="BK247" s="10" t="s">
        <v>137</v>
      </c>
      <c r="BL247" s="10">
        <v>0.04</v>
      </c>
      <c r="BM247" s="52">
        <v>16</v>
      </c>
      <c r="BN247" s="17">
        <v>0.33</v>
      </c>
      <c r="BS247" s="10">
        <v>4.8</v>
      </c>
      <c r="BT247" s="10">
        <v>1.1000000000000001</v>
      </c>
      <c r="BY247" s="10">
        <v>4.7699999999999996</v>
      </c>
      <c r="BZ247" s="10">
        <v>1.1100000000000001</v>
      </c>
      <c r="CE247" s="10" t="s">
        <v>725</v>
      </c>
      <c r="CG247" t="s">
        <v>572</v>
      </c>
      <c r="CH247" t="s">
        <v>726</v>
      </c>
    </row>
    <row r="248" spans="1:86" x14ac:dyDescent="0.3">
      <c r="A248">
        <v>248</v>
      </c>
      <c r="B248" t="s">
        <v>354</v>
      </c>
      <c r="C248" t="s">
        <v>351</v>
      </c>
      <c r="D248" t="s">
        <v>729</v>
      </c>
      <c r="E248" t="s">
        <v>722</v>
      </c>
      <c r="F248" t="s">
        <v>577</v>
      </c>
      <c r="G248" t="s">
        <v>728</v>
      </c>
      <c r="I248" t="s">
        <v>614</v>
      </c>
      <c r="J248" t="s">
        <v>668</v>
      </c>
      <c r="K248">
        <v>0.04</v>
      </c>
      <c r="BG248" t="s">
        <v>311</v>
      </c>
      <c r="BH248" t="s">
        <v>724</v>
      </c>
      <c r="BI248" s="10" t="s">
        <v>672</v>
      </c>
      <c r="BK248" s="10" t="s">
        <v>137</v>
      </c>
      <c r="BL248" s="10">
        <v>3.98</v>
      </c>
      <c r="BM248" s="52">
        <v>16</v>
      </c>
      <c r="BN248" s="17">
        <v>1.68</v>
      </c>
      <c r="BS248" s="10">
        <v>4.8</v>
      </c>
      <c r="BT248" s="10">
        <v>1.1000000000000001</v>
      </c>
      <c r="BY248" s="10">
        <v>3.29</v>
      </c>
      <c r="BZ248" s="10">
        <v>0.55000000000000004</v>
      </c>
      <c r="CE248" s="10" t="s">
        <v>725</v>
      </c>
      <c r="CG248" t="s">
        <v>572</v>
      </c>
      <c r="CH248" t="s">
        <v>726</v>
      </c>
    </row>
    <row r="249" spans="1:86" x14ac:dyDescent="0.3">
      <c r="A249">
        <v>249</v>
      </c>
      <c r="B249" t="s">
        <v>354</v>
      </c>
      <c r="C249" t="s">
        <v>6</v>
      </c>
      <c r="D249" t="s">
        <v>730</v>
      </c>
      <c r="E249" t="s">
        <v>722</v>
      </c>
      <c r="F249" t="s">
        <v>577</v>
      </c>
      <c r="G249" t="s">
        <v>731</v>
      </c>
      <c r="I249" t="s">
        <v>614</v>
      </c>
      <c r="N249" t="s">
        <v>732</v>
      </c>
      <c r="O249">
        <v>1</v>
      </c>
      <c r="P249">
        <v>192</v>
      </c>
      <c r="Q249">
        <v>192</v>
      </c>
      <c r="R249" s="4" t="s">
        <v>733</v>
      </c>
      <c r="BG249" t="s">
        <v>311</v>
      </c>
      <c r="BH249" t="s">
        <v>724</v>
      </c>
      <c r="BI249" s="10" t="s">
        <v>672</v>
      </c>
      <c r="BK249" s="10" t="s">
        <v>137</v>
      </c>
      <c r="BL249" s="10">
        <v>0.08</v>
      </c>
      <c r="BM249" s="52">
        <v>16</v>
      </c>
      <c r="BN249" s="17">
        <v>0.41</v>
      </c>
      <c r="BS249" s="10">
        <v>3.29</v>
      </c>
      <c r="BT249" s="10">
        <v>0.55000000000000004</v>
      </c>
      <c r="BY249" s="10">
        <v>2.9</v>
      </c>
      <c r="BZ249" s="10">
        <v>0.7</v>
      </c>
      <c r="CE249" s="10" t="s">
        <v>725</v>
      </c>
      <c r="CG249" t="s">
        <v>572</v>
      </c>
      <c r="CH249" t="s">
        <v>726</v>
      </c>
    </row>
    <row r="250" spans="1:86" x14ac:dyDescent="0.3">
      <c r="A250">
        <v>250</v>
      </c>
      <c r="B250" t="s">
        <v>354</v>
      </c>
      <c r="C250" t="s">
        <v>341</v>
      </c>
      <c r="E250" t="s">
        <v>722</v>
      </c>
      <c r="F250" t="s">
        <v>577</v>
      </c>
      <c r="G250" t="s">
        <v>723</v>
      </c>
      <c r="I250" t="s">
        <v>614</v>
      </c>
      <c r="BG250" t="s">
        <v>311</v>
      </c>
      <c r="BH250" t="s">
        <v>734</v>
      </c>
      <c r="BI250" s="10" t="s">
        <v>672</v>
      </c>
      <c r="BK250" s="10" t="s">
        <v>137</v>
      </c>
      <c r="BL250" s="10">
        <v>1.56</v>
      </c>
      <c r="BM250" s="52">
        <v>16</v>
      </c>
      <c r="BN250" s="17">
        <v>0.34</v>
      </c>
      <c r="BS250" s="10">
        <v>6.01</v>
      </c>
      <c r="BT250" s="10">
        <v>0.47</v>
      </c>
      <c r="BY250" s="10">
        <v>4.45</v>
      </c>
      <c r="BZ250" s="10">
        <v>0.66</v>
      </c>
      <c r="CE250" s="10" t="s">
        <v>725</v>
      </c>
      <c r="CG250" t="s">
        <v>572</v>
      </c>
      <c r="CH250" t="s">
        <v>726</v>
      </c>
    </row>
    <row r="251" spans="1:86" x14ac:dyDescent="0.3">
      <c r="A251">
        <v>251</v>
      </c>
      <c r="B251" t="s">
        <v>354</v>
      </c>
      <c r="C251" t="s">
        <v>329</v>
      </c>
      <c r="D251" t="s">
        <v>727</v>
      </c>
      <c r="E251" t="s">
        <v>722</v>
      </c>
      <c r="F251" t="s">
        <v>577</v>
      </c>
      <c r="G251" t="s">
        <v>728</v>
      </c>
      <c r="I251" t="s">
        <v>614</v>
      </c>
      <c r="T251">
        <v>23</v>
      </c>
      <c r="BG251" t="s">
        <v>311</v>
      </c>
      <c r="BH251" t="s">
        <v>734</v>
      </c>
      <c r="BI251" s="10" t="s">
        <v>672</v>
      </c>
      <c r="BK251" s="10" t="s">
        <v>137</v>
      </c>
      <c r="BL251" s="10">
        <v>0.09</v>
      </c>
      <c r="BM251" s="52">
        <v>16</v>
      </c>
      <c r="BN251" s="17">
        <v>0.4</v>
      </c>
      <c r="BS251" s="10">
        <v>4.45</v>
      </c>
      <c r="BT251" s="10">
        <v>0.66</v>
      </c>
      <c r="BY251" s="10">
        <v>4.37</v>
      </c>
      <c r="BZ251" s="10">
        <v>0.62</v>
      </c>
      <c r="CE251" s="10" t="s">
        <v>725</v>
      </c>
      <c r="CG251" t="s">
        <v>572</v>
      </c>
      <c r="CH251" t="s">
        <v>726</v>
      </c>
    </row>
    <row r="252" spans="1:86" x14ac:dyDescent="0.3">
      <c r="A252">
        <v>252</v>
      </c>
      <c r="B252" t="s">
        <v>354</v>
      </c>
      <c r="C252" t="s">
        <v>351</v>
      </c>
      <c r="D252" t="s">
        <v>729</v>
      </c>
      <c r="E252" t="s">
        <v>722</v>
      </c>
      <c r="F252" t="s">
        <v>577</v>
      </c>
      <c r="G252" t="s">
        <v>728</v>
      </c>
      <c r="I252" t="s">
        <v>614</v>
      </c>
      <c r="J252" t="s">
        <v>668</v>
      </c>
      <c r="K252">
        <v>0.04</v>
      </c>
      <c r="BG252" t="s">
        <v>311</v>
      </c>
      <c r="BH252" t="s">
        <v>734</v>
      </c>
      <c r="BI252" s="10" t="s">
        <v>672</v>
      </c>
      <c r="BK252" s="10" t="s">
        <v>137</v>
      </c>
      <c r="BL252" s="10">
        <v>4.45</v>
      </c>
      <c r="BM252" s="52">
        <v>16</v>
      </c>
      <c r="BN252" s="17">
        <v>0.66</v>
      </c>
      <c r="BS252" s="10">
        <v>4.45</v>
      </c>
      <c r="BT252" s="10">
        <v>0.66</v>
      </c>
      <c r="BY252" s="10" t="s">
        <v>735</v>
      </c>
      <c r="BZ252" s="10" t="s">
        <v>736</v>
      </c>
      <c r="CE252" s="10" t="s">
        <v>725</v>
      </c>
      <c r="CG252" t="s">
        <v>572</v>
      </c>
      <c r="CH252" t="s">
        <v>726</v>
      </c>
    </row>
    <row r="253" spans="1:86" x14ac:dyDescent="0.3">
      <c r="A253">
        <v>254</v>
      </c>
      <c r="B253" t="s">
        <v>354</v>
      </c>
      <c r="C253" t="s">
        <v>341</v>
      </c>
      <c r="E253" t="s">
        <v>722</v>
      </c>
      <c r="F253" t="s">
        <v>577</v>
      </c>
      <c r="G253" t="s">
        <v>723</v>
      </c>
      <c r="I253" t="s">
        <v>614</v>
      </c>
      <c r="BG253" t="s">
        <v>311</v>
      </c>
      <c r="BH253" t="s">
        <v>737</v>
      </c>
      <c r="BI253" s="10" t="s">
        <v>672</v>
      </c>
      <c r="BK253" s="10" t="s">
        <v>137</v>
      </c>
      <c r="BL253" s="10">
        <v>1.53</v>
      </c>
      <c r="BM253" s="52">
        <v>16</v>
      </c>
      <c r="BN253" s="17">
        <v>0.45</v>
      </c>
      <c r="BS253" s="10">
        <v>5.64</v>
      </c>
      <c r="BT253" s="10">
        <v>0.67</v>
      </c>
      <c r="BY253" s="10">
        <v>4.1100000000000003</v>
      </c>
      <c r="BZ253" s="10">
        <v>0.86</v>
      </c>
      <c r="CE253" s="10" t="s">
        <v>725</v>
      </c>
      <c r="CG253" t="s">
        <v>572</v>
      </c>
      <c r="CH253" t="s">
        <v>726</v>
      </c>
    </row>
    <row r="254" spans="1:86" x14ac:dyDescent="0.3">
      <c r="A254">
        <v>255</v>
      </c>
      <c r="B254" t="s">
        <v>354</v>
      </c>
      <c r="C254" t="s">
        <v>329</v>
      </c>
      <c r="D254" t="s">
        <v>727</v>
      </c>
      <c r="E254" t="s">
        <v>722</v>
      </c>
      <c r="F254" t="s">
        <v>577</v>
      </c>
      <c r="G254" t="s">
        <v>728</v>
      </c>
      <c r="I254" t="s">
        <v>614</v>
      </c>
      <c r="T254">
        <v>23</v>
      </c>
      <c r="BG254" t="s">
        <v>311</v>
      </c>
      <c r="BH254" t="s">
        <v>737</v>
      </c>
      <c r="BI254" s="10" t="s">
        <v>672</v>
      </c>
      <c r="BK254" s="10" t="s">
        <v>137</v>
      </c>
      <c r="BL254" s="10">
        <v>0.25</v>
      </c>
      <c r="BM254" s="52">
        <v>16</v>
      </c>
      <c r="BN254" s="17">
        <v>0.32</v>
      </c>
      <c r="BS254" s="10">
        <v>4.1100000000000003</v>
      </c>
      <c r="BT254" s="10">
        <v>0.86</v>
      </c>
      <c r="BY254" s="10">
        <v>3.87</v>
      </c>
      <c r="BZ254" s="10">
        <v>0.82</v>
      </c>
      <c r="CE254" s="10" t="s">
        <v>725</v>
      </c>
      <c r="CG254" t="s">
        <v>572</v>
      </c>
      <c r="CH254" t="s">
        <v>726</v>
      </c>
    </row>
    <row r="255" spans="1:86" x14ac:dyDescent="0.3">
      <c r="A255">
        <v>256</v>
      </c>
      <c r="B255" t="s">
        <v>354</v>
      </c>
      <c r="C255" t="s">
        <v>351</v>
      </c>
      <c r="D255" t="s">
        <v>729</v>
      </c>
      <c r="E255" t="s">
        <v>722</v>
      </c>
      <c r="F255" t="s">
        <v>577</v>
      </c>
      <c r="G255" t="s">
        <v>728</v>
      </c>
      <c r="I255" t="s">
        <v>614</v>
      </c>
      <c r="J255" t="s">
        <v>668</v>
      </c>
      <c r="K255">
        <v>0.04</v>
      </c>
      <c r="BG255" t="s">
        <v>311</v>
      </c>
      <c r="BH255" t="s">
        <v>737</v>
      </c>
      <c r="BI255" s="10" t="s">
        <v>672</v>
      </c>
      <c r="BK255" s="10" t="s">
        <v>137</v>
      </c>
      <c r="BL255" s="10">
        <v>3.96</v>
      </c>
      <c r="BM255" s="52">
        <v>16</v>
      </c>
      <c r="BN255" s="17">
        <v>0.97</v>
      </c>
      <c r="BS255" s="10">
        <v>4.0999999999999996</v>
      </c>
      <c r="BT255" s="10">
        <v>0.86</v>
      </c>
      <c r="BY255" s="10">
        <v>2.48</v>
      </c>
      <c r="BZ255" s="10" t="s">
        <v>736</v>
      </c>
      <c r="CE255" s="10" t="s">
        <v>725</v>
      </c>
      <c r="CG255" t="s">
        <v>572</v>
      </c>
      <c r="CH255" t="s">
        <v>726</v>
      </c>
    </row>
    <row r="256" spans="1:86" x14ac:dyDescent="0.3">
      <c r="A256">
        <v>258</v>
      </c>
      <c r="B256" t="s">
        <v>354</v>
      </c>
      <c r="C256" t="s">
        <v>341</v>
      </c>
      <c r="E256" t="s">
        <v>722</v>
      </c>
      <c r="F256" t="s">
        <v>577</v>
      </c>
      <c r="G256" t="s">
        <v>723</v>
      </c>
      <c r="I256" t="s">
        <v>614</v>
      </c>
      <c r="BG256" t="s">
        <v>311</v>
      </c>
      <c r="BH256" t="s">
        <v>738</v>
      </c>
      <c r="BI256" s="10" t="s">
        <v>672</v>
      </c>
      <c r="BK256" s="10" t="s">
        <v>137</v>
      </c>
      <c r="BL256" s="10">
        <v>1.8</v>
      </c>
      <c r="BM256" s="52">
        <v>16</v>
      </c>
      <c r="BN256" s="17">
        <v>0.43</v>
      </c>
      <c r="BS256" s="10">
        <v>6.33</v>
      </c>
      <c r="BT256" s="10">
        <v>0.72</v>
      </c>
      <c r="BY256" s="10">
        <v>4.53</v>
      </c>
      <c r="BZ256" s="10">
        <v>1</v>
      </c>
      <c r="CE256" s="10" t="s">
        <v>725</v>
      </c>
      <c r="CG256" t="s">
        <v>572</v>
      </c>
      <c r="CH256" t="s">
        <v>726</v>
      </c>
    </row>
    <row r="257" spans="1:86" x14ac:dyDescent="0.3">
      <c r="A257">
        <v>259</v>
      </c>
      <c r="B257" t="s">
        <v>354</v>
      </c>
      <c r="C257" t="s">
        <v>329</v>
      </c>
      <c r="D257" t="s">
        <v>727</v>
      </c>
      <c r="E257" t="s">
        <v>722</v>
      </c>
      <c r="F257" t="s">
        <v>577</v>
      </c>
      <c r="G257" t="s">
        <v>728</v>
      </c>
      <c r="I257" t="s">
        <v>614</v>
      </c>
      <c r="T257">
        <v>23</v>
      </c>
      <c r="BG257" t="s">
        <v>311</v>
      </c>
      <c r="BH257" t="s">
        <v>738</v>
      </c>
      <c r="BI257" s="10" t="s">
        <v>672</v>
      </c>
      <c r="BK257" s="10" t="s">
        <v>137</v>
      </c>
      <c r="BL257" s="10">
        <v>0</v>
      </c>
      <c r="BM257" s="52">
        <v>16</v>
      </c>
      <c r="BN257" s="17">
        <v>0.47</v>
      </c>
      <c r="BS257" s="10">
        <v>4.53</v>
      </c>
      <c r="BT257" s="10">
        <v>1</v>
      </c>
      <c r="BY257" s="10">
        <v>4.53</v>
      </c>
      <c r="BZ257" s="10">
        <v>1</v>
      </c>
      <c r="CE257" s="10" t="s">
        <v>725</v>
      </c>
      <c r="CG257" t="s">
        <v>572</v>
      </c>
      <c r="CH257" t="s">
        <v>726</v>
      </c>
    </row>
    <row r="258" spans="1:86" x14ac:dyDescent="0.3">
      <c r="A258">
        <v>260</v>
      </c>
      <c r="B258" t="s">
        <v>354</v>
      </c>
      <c r="C258" t="s">
        <v>351</v>
      </c>
      <c r="D258" t="s">
        <v>729</v>
      </c>
      <c r="E258" t="s">
        <v>722</v>
      </c>
      <c r="F258" t="s">
        <v>577</v>
      </c>
      <c r="G258" t="s">
        <v>728</v>
      </c>
      <c r="I258" t="s">
        <v>614</v>
      </c>
      <c r="J258" t="s">
        <v>668</v>
      </c>
      <c r="K258">
        <v>0.04</v>
      </c>
      <c r="BG258" t="s">
        <v>311</v>
      </c>
      <c r="BH258" t="s">
        <v>738</v>
      </c>
      <c r="BI258" s="10" t="s">
        <v>672</v>
      </c>
      <c r="BK258" s="10" t="s">
        <v>137</v>
      </c>
      <c r="BL258" s="10">
        <v>4.33</v>
      </c>
      <c r="BM258" s="52">
        <v>16</v>
      </c>
      <c r="BN258" s="17">
        <v>1.22</v>
      </c>
      <c r="BS258" s="10">
        <v>4.53</v>
      </c>
      <c r="BT258" s="10">
        <v>0.86</v>
      </c>
      <c r="BY258" s="10">
        <v>3.24</v>
      </c>
      <c r="BZ258" s="10" t="s">
        <v>736</v>
      </c>
      <c r="CE258" s="10" t="s">
        <v>725</v>
      </c>
      <c r="CG258" t="s">
        <v>572</v>
      </c>
      <c r="CH258" t="s">
        <v>726</v>
      </c>
    </row>
    <row r="259" spans="1:86" x14ac:dyDescent="0.3">
      <c r="A259">
        <v>262</v>
      </c>
      <c r="B259" t="s">
        <v>354</v>
      </c>
      <c r="C259" t="s">
        <v>341</v>
      </c>
      <c r="E259" t="s">
        <v>722</v>
      </c>
      <c r="F259" t="s">
        <v>577</v>
      </c>
      <c r="G259" t="s">
        <v>723</v>
      </c>
      <c r="I259" t="s">
        <v>614</v>
      </c>
      <c r="BG259" t="s">
        <v>311</v>
      </c>
      <c r="BH259" t="s">
        <v>675</v>
      </c>
      <c r="BI259" s="10" t="s">
        <v>672</v>
      </c>
      <c r="BK259" s="10" t="s">
        <v>137</v>
      </c>
      <c r="BL259" s="10">
        <v>2.5499999999999998</v>
      </c>
      <c r="BM259" s="52">
        <v>16</v>
      </c>
      <c r="BN259" s="17">
        <v>1.28</v>
      </c>
      <c r="BS259" s="10">
        <v>4.6100000000000003</v>
      </c>
      <c r="BT259" s="10">
        <v>1.1200000000000001</v>
      </c>
      <c r="BY259" s="10">
        <v>2.99</v>
      </c>
      <c r="BZ259" s="10">
        <v>0.92</v>
      </c>
      <c r="CE259" s="10" t="s">
        <v>725</v>
      </c>
      <c r="CG259" t="s">
        <v>572</v>
      </c>
      <c r="CH259" t="s">
        <v>726</v>
      </c>
    </row>
    <row r="260" spans="1:86" x14ac:dyDescent="0.3">
      <c r="A260">
        <v>263</v>
      </c>
      <c r="B260" t="s">
        <v>354</v>
      </c>
      <c r="C260" t="s">
        <v>329</v>
      </c>
      <c r="D260" t="s">
        <v>727</v>
      </c>
      <c r="E260" t="s">
        <v>722</v>
      </c>
      <c r="F260" t="s">
        <v>577</v>
      </c>
      <c r="G260" t="s">
        <v>728</v>
      </c>
      <c r="I260" t="s">
        <v>614</v>
      </c>
      <c r="T260">
        <v>23</v>
      </c>
      <c r="BG260" t="s">
        <v>311</v>
      </c>
      <c r="BH260" t="s">
        <v>675</v>
      </c>
      <c r="BI260" s="10" t="s">
        <v>672</v>
      </c>
      <c r="BK260" s="10" t="s">
        <v>137</v>
      </c>
      <c r="BL260" s="10">
        <v>0.57999999999999996</v>
      </c>
      <c r="BM260" s="52">
        <v>16</v>
      </c>
      <c r="BN260" s="17">
        <v>0.96</v>
      </c>
      <c r="BS260" s="10">
        <v>2.99</v>
      </c>
      <c r="BT260" s="10">
        <v>0.92</v>
      </c>
      <c r="BY260" s="10">
        <v>2.87</v>
      </c>
      <c r="BZ260" s="10">
        <v>0.95</v>
      </c>
      <c r="CE260" s="10" t="s">
        <v>725</v>
      </c>
      <c r="CG260" t="s">
        <v>572</v>
      </c>
      <c r="CH260" t="s">
        <v>726</v>
      </c>
    </row>
    <row r="261" spans="1:86" x14ac:dyDescent="0.3">
      <c r="A261">
        <v>264</v>
      </c>
      <c r="B261" t="s">
        <v>354</v>
      </c>
      <c r="C261" t="s">
        <v>351</v>
      </c>
      <c r="D261" t="s">
        <v>729</v>
      </c>
      <c r="E261" t="s">
        <v>722</v>
      </c>
      <c r="F261" t="s">
        <v>577</v>
      </c>
      <c r="G261" t="s">
        <v>728</v>
      </c>
      <c r="I261" t="s">
        <v>614</v>
      </c>
      <c r="J261" t="s">
        <v>668</v>
      </c>
      <c r="K261">
        <v>0.04</v>
      </c>
      <c r="BG261" t="s">
        <v>311</v>
      </c>
      <c r="BH261" t="s">
        <v>675</v>
      </c>
      <c r="BI261" s="10" t="s">
        <v>672</v>
      </c>
      <c r="BK261" s="10" t="s">
        <v>137</v>
      </c>
      <c r="BL261" s="10">
        <v>2.06</v>
      </c>
      <c r="BM261" s="52">
        <v>16</v>
      </c>
      <c r="BN261" s="17">
        <v>1.62</v>
      </c>
      <c r="BS261" s="10">
        <v>2.99</v>
      </c>
      <c r="BT261" s="10">
        <v>0.92</v>
      </c>
      <c r="BY261" s="10" t="s">
        <v>735</v>
      </c>
      <c r="BZ261" s="10" t="s">
        <v>736</v>
      </c>
      <c r="CE261" s="10" t="s">
        <v>725</v>
      </c>
      <c r="CG261" t="s">
        <v>572</v>
      </c>
      <c r="CH261" t="s">
        <v>726</v>
      </c>
    </row>
    <row r="262" spans="1:86" x14ac:dyDescent="0.3">
      <c r="A262">
        <v>266</v>
      </c>
      <c r="B262" t="s">
        <v>354</v>
      </c>
      <c r="C262" t="s">
        <v>341</v>
      </c>
      <c r="E262" t="s">
        <v>722</v>
      </c>
      <c r="F262" t="s">
        <v>577</v>
      </c>
      <c r="G262" t="s">
        <v>723</v>
      </c>
      <c r="I262" t="s">
        <v>614</v>
      </c>
      <c r="BG262" t="s">
        <v>311</v>
      </c>
      <c r="BH262" t="s">
        <v>316</v>
      </c>
      <c r="BI262" s="10" t="s">
        <v>672</v>
      </c>
      <c r="BK262" s="10" t="s">
        <v>137</v>
      </c>
      <c r="BL262" s="10">
        <v>2.12</v>
      </c>
      <c r="BM262" s="52">
        <v>16</v>
      </c>
      <c r="BN262" s="17">
        <v>0.4</v>
      </c>
      <c r="BS262" s="10">
        <v>6.96</v>
      </c>
      <c r="BT262" s="10">
        <v>0.49</v>
      </c>
      <c r="BY262" s="10">
        <v>4.8499999999999996</v>
      </c>
      <c r="BZ262" s="10">
        <v>0.59</v>
      </c>
      <c r="CE262" s="10" t="s">
        <v>725</v>
      </c>
      <c r="CG262" t="s">
        <v>572</v>
      </c>
      <c r="CH262" t="s">
        <v>726</v>
      </c>
    </row>
    <row r="263" spans="1:86" x14ac:dyDescent="0.3">
      <c r="A263">
        <v>267</v>
      </c>
      <c r="B263" t="s">
        <v>354</v>
      </c>
      <c r="C263" t="s">
        <v>329</v>
      </c>
      <c r="D263" t="s">
        <v>727</v>
      </c>
      <c r="E263" t="s">
        <v>722</v>
      </c>
      <c r="F263" t="s">
        <v>577</v>
      </c>
      <c r="G263" t="s">
        <v>728</v>
      </c>
      <c r="I263" t="s">
        <v>614</v>
      </c>
      <c r="T263">
        <v>23</v>
      </c>
      <c r="BG263" t="s">
        <v>311</v>
      </c>
      <c r="BH263" t="s">
        <v>316</v>
      </c>
      <c r="BI263" s="10" t="s">
        <v>672</v>
      </c>
      <c r="BK263" s="10" t="s">
        <v>137</v>
      </c>
      <c r="BL263" s="10">
        <v>-0.1</v>
      </c>
      <c r="BM263" s="52">
        <v>16</v>
      </c>
      <c r="BN263" s="17">
        <v>0.42</v>
      </c>
      <c r="BS263" s="10">
        <v>4.8499999999999996</v>
      </c>
      <c r="BT263" s="10">
        <v>0.59</v>
      </c>
      <c r="BY263" s="10">
        <v>4.9400000000000004</v>
      </c>
      <c r="BZ263" s="10">
        <v>0.61</v>
      </c>
      <c r="CE263" s="10" t="s">
        <v>725</v>
      </c>
      <c r="CF263" t="s">
        <v>739</v>
      </c>
      <c r="CG263" t="s">
        <v>572</v>
      </c>
      <c r="CH263" t="s">
        <v>726</v>
      </c>
    </row>
    <row r="264" spans="1:86" x14ac:dyDescent="0.3">
      <c r="A264">
        <v>268</v>
      </c>
      <c r="B264" t="s">
        <v>354</v>
      </c>
      <c r="C264" t="s">
        <v>351</v>
      </c>
      <c r="D264" t="s">
        <v>729</v>
      </c>
      <c r="E264" t="s">
        <v>722</v>
      </c>
      <c r="F264" t="s">
        <v>577</v>
      </c>
      <c r="G264" t="s">
        <v>728</v>
      </c>
      <c r="I264" t="s">
        <v>614</v>
      </c>
      <c r="J264" t="s">
        <v>668</v>
      </c>
      <c r="K264">
        <v>0.04</v>
      </c>
      <c r="BG264" t="s">
        <v>311</v>
      </c>
      <c r="BH264" t="s">
        <v>316</v>
      </c>
      <c r="BI264" s="10" t="s">
        <v>672</v>
      </c>
      <c r="BK264" s="10" t="s">
        <v>137</v>
      </c>
      <c r="BL264" s="10">
        <v>4.8499999999999996</v>
      </c>
      <c r="BM264" s="52">
        <v>16</v>
      </c>
      <c r="BN264" s="17">
        <v>0.59</v>
      </c>
      <c r="BS264" s="10">
        <v>4.8499999999999996</v>
      </c>
      <c r="BT264" s="10">
        <v>0.59</v>
      </c>
      <c r="BY264" s="10" t="s">
        <v>735</v>
      </c>
      <c r="BZ264" s="10" t="s">
        <v>736</v>
      </c>
      <c r="CE264" s="10" t="s">
        <v>725</v>
      </c>
      <c r="CG264" t="s">
        <v>572</v>
      </c>
      <c r="CH264" t="s">
        <v>726</v>
      </c>
    </row>
    <row r="265" spans="1:86" x14ac:dyDescent="0.3">
      <c r="A265">
        <v>270</v>
      </c>
      <c r="B265" t="s">
        <v>354</v>
      </c>
      <c r="C265" t="s">
        <v>341</v>
      </c>
      <c r="E265" t="s">
        <v>722</v>
      </c>
      <c r="F265" t="s">
        <v>577</v>
      </c>
      <c r="G265" t="s">
        <v>723</v>
      </c>
      <c r="I265" t="s">
        <v>614</v>
      </c>
      <c r="BG265" t="s">
        <v>311</v>
      </c>
      <c r="BH265" t="s">
        <v>740</v>
      </c>
      <c r="BI265" s="10" t="s">
        <v>672</v>
      </c>
      <c r="BK265" s="10" t="s">
        <v>137</v>
      </c>
      <c r="BL265" s="10">
        <v>2.31</v>
      </c>
      <c r="BM265" s="52">
        <v>16</v>
      </c>
      <c r="BN265" s="17">
        <v>0.46</v>
      </c>
      <c r="BS265" s="10">
        <v>5.88</v>
      </c>
      <c r="BT265" s="10">
        <v>0.48</v>
      </c>
      <c r="BY265" s="10">
        <v>3.57</v>
      </c>
      <c r="BZ265" s="10">
        <v>0.61</v>
      </c>
      <c r="CE265" s="10" t="s">
        <v>725</v>
      </c>
      <c r="CG265" t="s">
        <v>572</v>
      </c>
      <c r="CH265" t="s">
        <v>726</v>
      </c>
    </row>
    <row r="266" spans="1:86" x14ac:dyDescent="0.3">
      <c r="A266">
        <v>271</v>
      </c>
      <c r="B266" t="s">
        <v>354</v>
      </c>
      <c r="C266" t="s">
        <v>329</v>
      </c>
      <c r="D266" t="s">
        <v>727</v>
      </c>
      <c r="E266" t="s">
        <v>722</v>
      </c>
      <c r="F266" t="s">
        <v>577</v>
      </c>
      <c r="G266" t="s">
        <v>728</v>
      </c>
      <c r="I266" t="s">
        <v>614</v>
      </c>
      <c r="T266">
        <v>23</v>
      </c>
      <c r="BG266" t="s">
        <v>311</v>
      </c>
      <c r="BH266" t="s">
        <v>740</v>
      </c>
      <c r="BI266" s="10" t="s">
        <v>672</v>
      </c>
      <c r="BK266" s="10" t="s">
        <v>137</v>
      </c>
      <c r="BL266" s="10">
        <v>-0.03</v>
      </c>
      <c r="BM266" s="52">
        <v>16</v>
      </c>
      <c r="BN266" s="17">
        <v>0.54</v>
      </c>
      <c r="BS266" s="10">
        <v>3.57</v>
      </c>
      <c r="BT266" s="10">
        <v>0.61</v>
      </c>
      <c r="BY266" s="10">
        <v>3.6</v>
      </c>
      <c r="BZ266" s="10">
        <v>0.63</v>
      </c>
      <c r="CE266" s="10" t="s">
        <v>725</v>
      </c>
      <c r="CF266" t="s">
        <v>739</v>
      </c>
      <c r="CG266" t="s">
        <v>572</v>
      </c>
      <c r="CH266" t="s">
        <v>726</v>
      </c>
    </row>
    <row r="267" spans="1:86" x14ac:dyDescent="0.3">
      <c r="A267">
        <v>272</v>
      </c>
      <c r="B267" t="s">
        <v>354</v>
      </c>
      <c r="C267" t="s">
        <v>351</v>
      </c>
      <c r="D267" t="s">
        <v>729</v>
      </c>
      <c r="E267" t="s">
        <v>722</v>
      </c>
      <c r="F267" t="s">
        <v>577</v>
      </c>
      <c r="G267" t="s">
        <v>728</v>
      </c>
      <c r="I267" t="s">
        <v>614</v>
      </c>
      <c r="J267" t="s">
        <v>668</v>
      </c>
      <c r="K267">
        <v>0.04</v>
      </c>
      <c r="BG267" t="s">
        <v>311</v>
      </c>
      <c r="BH267" t="s">
        <v>740</v>
      </c>
      <c r="BI267" s="10" t="s">
        <v>672</v>
      </c>
      <c r="BK267" s="10" t="s">
        <v>137</v>
      </c>
      <c r="BL267" s="10">
        <v>3.64</v>
      </c>
      <c r="BM267" s="52">
        <v>16</v>
      </c>
      <c r="BN267" s="17">
        <v>0.63</v>
      </c>
      <c r="BS267" s="10">
        <v>3.57</v>
      </c>
      <c r="BT267" s="10">
        <v>0.61</v>
      </c>
      <c r="BY267" s="10" t="s">
        <v>735</v>
      </c>
      <c r="BZ267" s="10" t="s">
        <v>736</v>
      </c>
      <c r="CE267" s="10" t="s">
        <v>725</v>
      </c>
      <c r="CG267" t="s">
        <v>572</v>
      </c>
      <c r="CH267" t="s">
        <v>726</v>
      </c>
    </row>
    <row r="268" spans="1:86" x14ac:dyDescent="0.3">
      <c r="A268">
        <v>274</v>
      </c>
      <c r="B268" t="s">
        <v>356</v>
      </c>
      <c r="C268" t="s">
        <v>329</v>
      </c>
      <c r="D268" t="s">
        <v>741</v>
      </c>
      <c r="E268" t="s">
        <v>564</v>
      </c>
      <c r="F268" t="s">
        <v>565</v>
      </c>
      <c r="I268" t="s">
        <v>567</v>
      </c>
      <c r="S268">
        <v>8</v>
      </c>
      <c r="BG268" t="s">
        <v>311</v>
      </c>
      <c r="BH268" t="s">
        <v>742</v>
      </c>
      <c r="BK268" s="10" t="s">
        <v>689</v>
      </c>
      <c r="BL268" s="10">
        <v>1</v>
      </c>
      <c r="CE268" s="10" t="s">
        <v>743</v>
      </c>
      <c r="CF268" t="s">
        <v>604</v>
      </c>
      <c r="CG268" t="s">
        <v>572</v>
      </c>
      <c r="CH268" t="s">
        <v>744</v>
      </c>
    </row>
    <row r="269" spans="1:86" x14ac:dyDescent="0.3">
      <c r="A269">
        <v>275</v>
      </c>
      <c r="B269" t="s">
        <v>356</v>
      </c>
      <c r="C269" t="s">
        <v>329</v>
      </c>
      <c r="D269" t="s">
        <v>741</v>
      </c>
      <c r="E269" t="s">
        <v>564</v>
      </c>
      <c r="F269" t="s">
        <v>565</v>
      </c>
      <c r="I269" t="s">
        <v>567</v>
      </c>
      <c r="S269">
        <v>16.5</v>
      </c>
      <c r="BG269" t="s">
        <v>311</v>
      </c>
      <c r="BH269" t="s">
        <v>742</v>
      </c>
      <c r="BK269" s="10" t="s">
        <v>689</v>
      </c>
      <c r="BL269" s="10">
        <v>2</v>
      </c>
      <c r="CE269" s="10" t="s">
        <v>743</v>
      </c>
      <c r="CF269" t="s">
        <v>604</v>
      </c>
      <c r="CG269" t="s">
        <v>572</v>
      </c>
      <c r="CH269" t="s">
        <v>744</v>
      </c>
    </row>
    <row r="270" spans="1:86" x14ac:dyDescent="0.3">
      <c r="A270">
        <v>276</v>
      </c>
      <c r="B270" t="s">
        <v>356</v>
      </c>
      <c r="C270" t="s">
        <v>329</v>
      </c>
      <c r="D270" t="s">
        <v>741</v>
      </c>
      <c r="E270" t="s">
        <v>564</v>
      </c>
      <c r="F270" t="s">
        <v>565</v>
      </c>
      <c r="I270" t="s">
        <v>567</v>
      </c>
      <c r="S270">
        <v>25</v>
      </c>
      <c r="BG270" t="s">
        <v>311</v>
      </c>
      <c r="BH270" t="s">
        <v>742</v>
      </c>
      <c r="BK270" s="10" t="s">
        <v>689</v>
      </c>
      <c r="BL270" s="10">
        <v>3</v>
      </c>
      <c r="CE270" s="10" t="s">
        <v>743</v>
      </c>
      <c r="CF270" t="s">
        <v>604</v>
      </c>
      <c r="CG270" t="s">
        <v>572</v>
      </c>
      <c r="CH270" t="s">
        <v>744</v>
      </c>
    </row>
    <row r="271" spans="1:86" x14ac:dyDescent="0.3">
      <c r="A271">
        <v>277</v>
      </c>
      <c r="B271" t="s">
        <v>356</v>
      </c>
      <c r="C271" t="s">
        <v>329</v>
      </c>
      <c r="D271" t="s">
        <v>741</v>
      </c>
      <c r="E271" t="s">
        <v>564</v>
      </c>
      <c r="F271" t="s">
        <v>565</v>
      </c>
      <c r="I271" t="s">
        <v>567</v>
      </c>
      <c r="S271">
        <v>33</v>
      </c>
      <c r="BG271" t="s">
        <v>311</v>
      </c>
      <c r="BH271" t="s">
        <v>742</v>
      </c>
      <c r="BK271" s="10" t="s">
        <v>689</v>
      </c>
      <c r="BL271" s="10">
        <v>4</v>
      </c>
      <c r="CE271" s="10" t="s">
        <v>743</v>
      </c>
      <c r="CF271" t="s">
        <v>604</v>
      </c>
      <c r="CG271" t="s">
        <v>572</v>
      </c>
      <c r="CH271" t="s">
        <v>744</v>
      </c>
    </row>
    <row r="272" spans="1:86" x14ac:dyDescent="0.3">
      <c r="A272">
        <v>278</v>
      </c>
      <c r="B272" t="s">
        <v>356</v>
      </c>
      <c r="C272" t="s">
        <v>329</v>
      </c>
      <c r="D272" t="s">
        <v>741</v>
      </c>
      <c r="E272" t="s">
        <v>564</v>
      </c>
      <c r="F272" t="s">
        <v>565</v>
      </c>
      <c r="I272" t="s">
        <v>567</v>
      </c>
      <c r="S272">
        <v>7</v>
      </c>
      <c r="BG272" t="s">
        <v>311</v>
      </c>
      <c r="BH272" t="s">
        <v>745</v>
      </c>
      <c r="BK272" s="10" t="s">
        <v>689</v>
      </c>
      <c r="BL272" s="10">
        <v>1</v>
      </c>
      <c r="CE272" s="10" t="s">
        <v>743</v>
      </c>
      <c r="CF272" t="s">
        <v>604</v>
      </c>
      <c r="CG272" t="s">
        <v>572</v>
      </c>
      <c r="CH272" t="s">
        <v>744</v>
      </c>
    </row>
    <row r="273" spans="1:86" x14ac:dyDescent="0.3">
      <c r="A273">
        <v>279</v>
      </c>
      <c r="B273" t="s">
        <v>356</v>
      </c>
      <c r="C273" t="s">
        <v>329</v>
      </c>
      <c r="D273" t="s">
        <v>741</v>
      </c>
      <c r="E273" t="s">
        <v>564</v>
      </c>
      <c r="F273" t="s">
        <v>565</v>
      </c>
      <c r="I273" t="s">
        <v>567</v>
      </c>
      <c r="S273">
        <v>14</v>
      </c>
      <c r="BG273" t="s">
        <v>311</v>
      </c>
      <c r="BH273" t="s">
        <v>745</v>
      </c>
      <c r="BK273" s="10" t="s">
        <v>689</v>
      </c>
      <c r="BL273" s="10">
        <v>2</v>
      </c>
      <c r="CE273" s="10" t="s">
        <v>743</v>
      </c>
      <c r="CF273" t="s">
        <v>604</v>
      </c>
      <c r="CG273" t="s">
        <v>572</v>
      </c>
      <c r="CH273" t="s">
        <v>744</v>
      </c>
    </row>
    <row r="274" spans="1:86" x14ac:dyDescent="0.3">
      <c r="A274">
        <v>280</v>
      </c>
      <c r="B274" t="s">
        <v>356</v>
      </c>
      <c r="C274" t="s">
        <v>329</v>
      </c>
      <c r="D274" t="s">
        <v>741</v>
      </c>
      <c r="E274" t="s">
        <v>564</v>
      </c>
      <c r="F274" t="s">
        <v>565</v>
      </c>
      <c r="I274" t="s">
        <v>567</v>
      </c>
      <c r="S274">
        <v>20.5</v>
      </c>
      <c r="BG274" t="s">
        <v>311</v>
      </c>
      <c r="BH274" t="s">
        <v>745</v>
      </c>
      <c r="BK274" s="10" t="s">
        <v>689</v>
      </c>
      <c r="BL274" s="10">
        <v>3</v>
      </c>
      <c r="CE274" s="10" t="s">
        <v>743</v>
      </c>
      <c r="CF274" t="s">
        <v>604</v>
      </c>
      <c r="CG274" t="s">
        <v>572</v>
      </c>
      <c r="CH274" t="s">
        <v>744</v>
      </c>
    </row>
    <row r="275" spans="1:86" x14ac:dyDescent="0.3">
      <c r="A275">
        <v>281</v>
      </c>
      <c r="B275" t="s">
        <v>356</v>
      </c>
      <c r="C275" t="s">
        <v>329</v>
      </c>
      <c r="D275" t="s">
        <v>741</v>
      </c>
      <c r="E275" t="s">
        <v>564</v>
      </c>
      <c r="F275" t="s">
        <v>565</v>
      </c>
      <c r="I275" t="s">
        <v>567</v>
      </c>
      <c r="S275">
        <v>28</v>
      </c>
      <c r="BG275" t="s">
        <v>311</v>
      </c>
      <c r="BH275" t="s">
        <v>745</v>
      </c>
      <c r="BK275" s="10" t="s">
        <v>689</v>
      </c>
      <c r="BL275" s="10">
        <v>4</v>
      </c>
      <c r="CE275" s="10" t="s">
        <v>743</v>
      </c>
      <c r="CF275" t="s">
        <v>604</v>
      </c>
      <c r="CG275" t="s">
        <v>572</v>
      </c>
      <c r="CH275" t="s">
        <v>744</v>
      </c>
    </row>
    <row r="276" spans="1:86" x14ac:dyDescent="0.3">
      <c r="A276">
        <v>282</v>
      </c>
      <c r="B276" t="s">
        <v>356</v>
      </c>
      <c r="C276" t="s">
        <v>329</v>
      </c>
      <c r="D276" t="s">
        <v>741</v>
      </c>
      <c r="E276" t="s">
        <v>564</v>
      </c>
      <c r="F276" t="s">
        <v>565</v>
      </c>
      <c r="I276" t="s">
        <v>567</v>
      </c>
      <c r="S276">
        <v>9.5</v>
      </c>
      <c r="BG276" t="s">
        <v>311</v>
      </c>
      <c r="BH276" t="s">
        <v>746</v>
      </c>
      <c r="BK276" s="10" t="s">
        <v>689</v>
      </c>
      <c r="BL276" s="10">
        <v>1</v>
      </c>
      <c r="CE276" s="10" t="s">
        <v>743</v>
      </c>
      <c r="CF276" t="s">
        <v>604</v>
      </c>
      <c r="CG276" t="s">
        <v>572</v>
      </c>
      <c r="CH276" t="s">
        <v>744</v>
      </c>
    </row>
    <row r="277" spans="1:86" x14ac:dyDescent="0.3">
      <c r="A277">
        <v>283</v>
      </c>
      <c r="B277" t="s">
        <v>356</v>
      </c>
      <c r="C277" t="s">
        <v>329</v>
      </c>
      <c r="D277" t="s">
        <v>741</v>
      </c>
      <c r="E277" t="s">
        <v>564</v>
      </c>
      <c r="F277" t="s">
        <v>565</v>
      </c>
      <c r="I277" t="s">
        <v>567</v>
      </c>
      <c r="S277">
        <v>18</v>
      </c>
      <c r="BG277" t="s">
        <v>311</v>
      </c>
      <c r="BH277" t="s">
        <v>746</v>
      </c>
      <c r="BK277" s="10" t="s">
        <v>689</v>
      </c>
      <c r="BL277" s="10">
        <v>2</v>
      </c>
      <c r="CE277" s="10" t="s">
        <v>743</v>
      </c>
      <c r="CF277" t="s">
        <v>604</v>
      </c>
      <c r="CG277" t="s">
        <v>572</v>
      </c>
      <c r="CH277" t="s">
        <v>744</v>
      </c>
    </row>
    <row r="278" spans="1:86" x14ac:dyDescent="0.3">
      <c r="A278">
        <v>284</v>
      </c>
      <c r="B278" t="s">
        <v>356</v>
      </c>
      <c r="C278" t="s">
        <v>329</v>
      </c>
      <c r="D278" t="s">
        <v>741</v>
      </c>
      <c r="E278" t="s">
        <v>564</v>
      </c>
      <c r="F278" t="s">
        <v>565</v>
      </c>
      <c r="I278" t="s">
        <v>567</v>
      </c>
      <c r="S278">
        <v>27</v>
      </c>
      <c r="BG278" t="s">
        <v>311</v>
      </c>
      <c r="BH278" t="s">
        <v>746</v>
      </c>
      <c r="BK278" s="10" t="s">
        <v>689</v>
      </c>
      <c r="BL278" s="10">
        <v>3</v>
      </c>
      <c r="CE278" s="10" t="s">
        <v>743</v>
      </c>
      <c r="CF278" t="s">
        <v>604</v>
      </c>
      <c r="CG278" t="s">
        <v>572</v>
      </c>
      <c r="CH278" t="s">
        <v>744</v>
      </c>
    </row>
    <row r="279" spans="1:86" x14ac:dyDescent="0.3">
      <c r="A279">
        <v>285</v>
      </c>
      <c r="B279" t="s">
        <v>356</v>
      </c>
      <c r="C279" t="s">
        <v>329</v>
      </c>
      <c r="D279" t="s">
        <v>741</v>
      </c>
      <c r="E279" t="s">
        <v>564</v>
      </c>
      <c r="F279" t="s">
        <v>565</v>
      </c>
      <c r="I279" t="s">
        <v>567</v>
      </c>
      <c r="S279">
        <v>36</v>
      </c>
      <c r="BG279" t="s">
        <v>311</v>
      </c>
      <c r="BH279" t="s">
        <v>746</v>
      </c>
      <c r="BK279" s="10" t="s">
        <v>689</v>
      </c>
      <c r="BL279" s="10">
        <v>4</v>
      </c>
      <c r="CE279" s="10" t="s">
        <v>743</v>
      </c>
      <c r="CF279" t="s">
        <v>604</v>
      </c>
      <c r="CG279" t="s">
        <v>572</v>
      </c>
      <c r="CH279" t="s">
        <v>744</v>
      </c>
    </row>
    <row r="280" spans="1:86" x14ac:dyDescent="0.3">
      <c r="A280">
        <v>286</v>
      </c>
      <c r="B280" t="s">
        <v>356</v>
      </c>
      <c r="C280" t="s">
        <v>329</v>
      </c>
      <c r="D280" t="s">
        <v>741</v>
      </c>
      <c r="E280" t="s">
        <v>564</v>
      </c>
      <c r="F280" t="s">
        <v>565</v>
      </c>
      <c r="I280" t="s">
        <v>567</v>
      </c>
      <c r="S280">
        <v>8</v>
      </c>
      <c r="BG280" t="s">
        <v>311</v>
      </c>
      <c r="BH280" t="s">
        <v>747</v>
      </c>
      <c r="BK280" s="10" t="s">
        <v>689</v>
      </c>
      <c r="BL280" s="10">
        <v>1</v>
      </c>
      <c r="CE280" s="10" t="s">
        <v>743</v>
      </c>
      <c r="CF280" t="s">
        <v>604</v>
      </c>
      <c r="CG280" t="s">
        <v>572</v>
      </c>
      <c r="CH280" t="s">
        <v>744</v>
      </c>
    </row>
    <row r="281" spans="1:86" x14ac:dyDescent="0.3">
      <c r="A281">
        <v>287</v>
      </c>
      <c r="B281" t="s">
        <v>356</v>
      </c>
      <c r="C281" t="s">
        <v>329</v>
      </c>
      <c r="D281" t="s">
        <v>741</v>
      </c>
      <c r="E281" t="s">
        <v>564</v>
      </c>
      <c r="F281" t="s">
        <v>565</v>
      </c>
      <c r="I281" t="s">
        <v>567</v>
      </c>
      <c r="S281">
        <v>16</v>
      </c>
      <c r="BG281" t="s">
        <v>311</v>
      </c>
      <c r="BH281" t="s">
        <v>747</v>
      </c>
      <c r="BK281" s="10" t="s">
        <v>689</v>
      </c>
      <c r="BL281" s="10">
        <v>2</v>
      </c>
      <c r="CE281" s="10" t="s">
        <v>743</v>
      </c>
      <c r="CF281" t="s">
        <v>604</v>
      </c>
      <c r="CG281" t="s">
        <v>572</v>
      </c>
      <c r="CH281" t="s">
        <v>744</v>
      </c>
    </row>
    <row r="282" spans="1:86" x14ac:dyDescent="0.3">
      <c r="A282">
        <v>288</v>
      </c>
      <c r="B282" t="s">
        <v>356</v>
      </c>
      <c r="C282" t="s">
        <v>329</v>
      </c>
      <c r="D282" t="s">
        <v>741</v>
      </c>
      <c r="E282" t="s">
        <v>564</v>
      </c>
      <c r="F282" t="s">
        <v>565</v>
      </c>
      <c r="I282" t="s">
        <v>567</v>
      </c>
      <c r="S282">
        <v>24.5</v>
      </c>
      <c r="BG282" t="s">
        <v>311</v>
      </c>
      <c r="BH282" t="s">
        <v>747</v>
      </c>
      <c r="BK282" s="10" t="s">
        <v>689</v>
      </c>
      <c r="BL282" s="10">
        <v>3</v>
      </c>
      <c r="CE282" s="10" t="s">
        <v>743</v>
      </c>
      <c r="CF282" t="s">
        <v>604</v>
      </c>
      <c r="CG282" t="s">
        <v>572</v>
      </c>
      <c r="CH282" t="s">
        <v>744</v>
      </c>
    </row>
    <row r="283" spans="1:86" x14ac:dyDescent="0.3">
      <c r="A283">
        <v>289</v>
      </c>
      <c r="B283" t="s">
        <v>356</v>
      </c>
      <c r="C283" t="s">
        <v>329</v>
      </c>
      <c r="D283" t="s">
        <v>741</v>
      </c>
      <c r="E283" t="s">
        <v>564</v>
      </c>
      <c r="F283" t="s">
        <v>565</v>
      </c>
      <c r="I283" t="s">
        <v>567</v>
      </c>
      <c r="S283">
        <v>32.5</v>
      </c>
      <c r="BG283" t="s">
        <v>311</v>
      </c>
      <c r="BH283" t="s">
        <v>747</v>
      </c>
      <c r="BK283" s="10" t="s">
        <v>689</v>
      </c>
      <c r="BL283" s="10">
        <v>4</v>
      </c>
      <c r="CE283" s="10" t="s">
        <v>743</v>
      </c>
      <c r="CF283" t="s">
        <v>604</v>
      </c>
      <c r="CG283" t="s">
        <v>572</v>
      </c>
      <c r="CH283" t="s">
        <v>744</v>
      </c>
    </row>
    <row r="284" spans="1:86" x14ac:dyDescent="0.3">
      <c r="A284">
        <v>290</v>
      </c>
      <c r="B284" t="s">
        <v>356</v>
      </c>
      <c r="C284" t="s">
        <v>329</v>
      </c>
      <c r="D284" t="s">
        <v>741</v>
      </c>
      <c r="E284" t="s">
        <v>564</v>
      </c>
      <c r="F284" t="s">
        <v>565</v>
      </c>
      <c r="I284" t="s">
        <v>567</v>
      </c>
      <c r="S284">
        <v>8</v>
      </c>
      <c r="BG284" t="s">
        <v>311</v>
      </c>
      <c r="BH284" t="s">
        <v>748</v>
      </c>
      <c r="BK284" s="10" t="s">
        <v>689</v>
      </c>
      <c r="BL284" s="10">
        <v>1</v>
      </c>
      <c r="CE284" s="10" t="s">
        <v>743</v>
      </c>
      <c r="CF284" t="s">
        <v>604</v>
      </c>
      <c r="CG284" t="s">
        <v>572</v>
      </c>
      <c r="CH284" t="s">
        <v>744</v>
      </c>
    </row>
    <row r="285" spans="1:86" x14ac:dyDescent="0.3">
      <c r="A285">
        <v>291</v>
      </c>
      <c r="B285" t="s">
        <v>356</v>
      </c>
      <c r="C285" t="s">
        <v>329</v>
      </c>
      <c r="D285" t="s">
        <v>741</v>
      </c>
      <c r="E285" t="s">
        <v>564</v>
      </c>
      <c r="F285" t="s">
        <v>565</v>
      </c>
      <c r="I285" t="s">
        <v>567</v>
      </c>
      <c r="S285">
        <v>15.5</v>
      </c>
      <c r="BG285" t="s">
        <v>311</v>
      </c>
      <c r="BH285" t="s">
        <v>748</v>
      </c>
      <c r="BK285" s="10" t="s">
        <v>689</v>
      </c>
      <c r="BL285" s="10">
        <v>2</v>
      </c>
      <c r="CE285" s="10" t="s">
        <v>743</v>
      </c>
      <c r="CF285" t="s">
        <v>604</v>
      </c>
      <c r="CG285" t="s">
        <v>572</v>
      </c>
      <c r="CH285" t="s">
        <v>744</v>
      </c>
    </row>
    <row r="286" spans="1:86" x14ac:dyDescent="0.3">
      <c r="A286">
        <v>292</v>
      </c>
      <c r="B286" t="s">
        <v>356</v>
      </c>
      <c r="C286" t="s">
        <v>329</v>
      </c>
      <c r="D286" t="s">
        <v>741</v>
      </c>
      <c r="E286" t="s">
        <v>564</v>
      </c>
      <c r="F286" t="s">
        <v>565</v>
      </c>
      <c r="I286" t="s">
        <v>567</v>
      </c>
      <c r="S286">
        <v>23</v>
      </c>
      <c r="BG286" t="s">
        <v>311</v>
      </c>
      <c r="BH286" t="s">
        <v>748</v>
      </c>
      <c r="BK286" s="10" t="s">
        <v>689</v>
      </c>
      <c r="BL286" s="10">
        <v>3</v>
      </c>
      <c r="CE286" s="10" t="s">
        <v>743</v>
      </c>
      <c r="CF286" t="s">
        <v>604</v>
      </c>
      <c r="CG286" t="s">
        <v>572</v>
      </c>
      <c r="CH286" t="s">
        <v>744</v>
      </c>
    </row>
    <row r="287" spans="1:86" x14ac:dyDescent="0.3">
      <c r="A287">
        <v>293</v>
      </c>
      <c r="B287" t="s">
        <v>356</v>
      </c>
      <c r="C287" t="s">
        <v>329</v>
      </c>
      <c r="D287" t="s">
        <v>741</v>
      </c>
      <c r="E287" t="s">
        <v>564</v>
      </c>
      <c r="F287" t="s">
        <v>565</v>
      </c>
      <c r="I287" t="s">
        <v>567</v>
      </c>
      <c r="S287">
        <v>31</v>
      </c>
      <c r="BG287" t="s">
        <v>311</v>
      </c>
      <c r="BH287" t="s">
        <v>748</v>
      </c>
      <c r="BK287" s="10" t="s">
        <v>689</v>
      </c>
      <c r="BL287" s="10">
        <v>4</v>
      </c>
      <c r="CE287" s="10" t="s">
        <v>743</v>
      </c>
      <c r="CF287" t="s">
        <v>604</v>
      </c>
      <c r="CG287" t="s">
        <v>572</v>
      </c>
      <c r="CH287" t="s">
        <v>744</v>
      </c>
    </row>
    <row r="288" spans="1:86" x14ac:dyDescent="0.3">
      <c r="A288">
        <v>294</v>
      </c>
      <c r="B288" t="s">
        <v>356</v>
      </c>
      <c r="C288" t="s">
        <v>329</v>
      </c>
      <c r="D288" t="s">
        <v>741</v>
      </c>
      <c r="E288" t="s">
        <v>564</v>
      </c>
      <c r="F288" t="s">
        <v>565</v>
      </c>
      <c r="I288" t="s">
        <v>567</v>
      </c>
      <c r="S288">
        <v>40</v>
      </c>
      <c r="BG288" t="s">
        <v>311</v>
      </c>
      <c r="BH288" t="s">
        <v>749</v>
      </c>
      <c r="BK288" s="10" t="s">
        <v>689</v>
      </c>
      <c r="BL288" s="10">
        <v>1</v>
      </c>
      <c r="CE288" s="10" t="s">
        <v>743</v>
      </c>
      <c r="CF288" t="s">
        <v>604</v>
      </c>
      <c r="CG288" t="s">
        <v>572</v>
      </c>
      <c r="CH288" t="s">
        <v>744</v>
      </c>
    </row>
    <row r="289" spans="1:86" x14ac:dyDescent="0.3">
      <c r="A289">
        <v>295</v>
      </c>
      <c r="B289" t="s">
        <v>356</v>
      </c>
      <c r="C289" t="s">
        <v>329</v>
      </c>
      <c r="D289" t="s">
        <v>741</v>
      </c>
      <c r="E289" t="s">
        <v>564</v>
      </c>
      <c r="F289" t="s">
        <v>565</v>
      </c>
      <c r="I289" t="s">
        <v>567</v>
      </c>
      <c r="S289">
        <v>78</v>
      </c>
      <c r="BG289" t="s">
        <v>311</v>
      </c>
      <c r="BH289" t="s">
        <v>749</v>
      </c>
      <c r="BK289" s="10" t="s">
        <v>689</v>
      </c>
      <c r="BL289" s="10">
        <v>2</v>
      </c>
      <c r="CE289" s="10" t="s">
        <v>743</v>
      </c>
      <c r="CF289" t="s">
        <v>604</v>
      </c>
      <c r="CG289" t="s">
        <v>572</v>
      </c>
      <c r="CH289" t="s">
        <v>744</v>
      </c>
    </row>
    <row r="290" spans="1:86" x14ac:dyDescent="0.3">
      <c r="A290">
        <v>296</v>
      </c>
      <c r="B290" t="s">
        <v>356</v>
      </c>
      <c r="C290" t="s">
        <v>329</v>
      </c>
      <c r="D290" t="s">
        <v>741</v>
      </c>
      <c r="E290" t="s">
        <v>564</v>
      </c>
      <c r="F290" t="s">
        <v>565</v>
      </c>
      <c r="I290" t="s">
        <v>567</v>
      </c>
      <c r="S290">
        <v>119</v>
      </c>
      <c r="BG290" t="s">
        <v>311</v>
      </c>
      <c r="BH290" t="s">
        <v>749</v>
      </c>
      <c r="BK290" s="10" t="s">
        <v>689</v>
      </c>
      <c r="BL290" s="10">
        <v>3</v>
      </c>
      <c r="CE290" s="10" t="s">
        <v>743</v>
      </c>
      <c r="CF290" t="s">
        <v>604</v>
      </c>
      <c r="CG290" t="s">
        <v>572</v>
      </c>
      <c r="CH290" t="s">
        <v>744</v>
      </c>
    </row>
    <row r="291" spans="1:86" x14ac:dyDescent="0.3">
      <c r="A291">
        <v>297</v>
      </c>
      <c r="B291" t="s">
        <v>356</v>
      </c>
      <c r="C291" t="s">
        <v>329</v>
      </c>
      <c r="D291" t="s">
        <v>741</v>
      </c>
      <c r="E291" t="s">
        <v>564</v>
      </c>
      <c r="F291" t="s">
        <v>565</v>
      </c>
      <c r="I291" t="s">
        <v>567</v>
      </c>
      <c r="S291">
        <v>160</v>
      </c>
      <c r="BG291" t="s">
        <v>311</v>
      </c>
      <c r="BH291" t="s">
        <v>749</v>
      </c>
      <c r="BK291" s="10" t="s">
        <v>689</v>
      </c>
      <c r="BL291" s="10">
        <v>4</v>
      </c>
      <c r="CE291" s="10" t="s">
        <v>743</v>
      </c>
      <c r="CF291" t="s">
        <v>604</v>
      </c>
      <c r="CG291" t="s">
        <v>572</v>
      </c>
      <c r="CH291" t="s">
        <v>744</v>
      </c>
    </row>
    <row r="292" spans="1:86" x14ac:dyDescent="0.3">
      <c r="A292">
        <v>298</v>
      </c>
      <c r="B292" t="s">
        <v>358</v>
      </c>
      <c r="C292" t="s">
        <v>6</v>
      </c>
      <c r="D292" t="s">
        <v>750</v>
      </c>
      <c r="F292" t="s">
        <v>577</v>
      </c>
      <c r="G292" t="s">
        <v>751</v>
      </c>
      <c r="H292" t="s">
        <v>752</v>
      </c>
      <c r="I292" t="s">
        <v>567</v>
      </c>
      <c r="O292">
        <v>1.5</v>
      </c>
      <c r="Q292">
        <v>14.49</v>
      </c>
      <c r="AG292">
        <v>9</v>
      </c>
      <c r="AP292">
        <v>5</v>
      </c>
      <c r="BG292" t="s">
        <v>311</v>
      </c>
      <c r="BH292" t="s">
        <v>608</v>
      </c>
      <c r="BI292" s="10" t="s">
        <v>688</v>
      </c>
      <c r="BK292" s="10" t="s">
        <v>689</v>
      </c>
      <c r="BL292" s="10">
        <v>2</v>
      </c>
      <c r="BS292" s="10">
        <f>LOG(265000)</f>
        <v>5.4232458739368079</v>
      </c>
      <c r="CE292" s="10" t="s">
        <v>580</v>
      </c>
      <c r="CF292" t="s">
        <v>604</v>
      </c>
      <c r="CG292" t="s">
        <v>57</v>
      </c>
      <c r="CH292" t="s">
        <v>753</v>
      </c>
    </row>
    <row r="293" spans="1:86" x14ac:dyDescent="0.3">
      <c r="A293">
        <v>299</v>
      </c>
      <c r="B293" t="s">
        <v>358</v>
      </c>
      <c r="C293" t="s">
        <v>6</v>
      </c>
      <c r="D293" t="s">
        <v>750</v>
      </c>
      <c r="F293" t="s">
        <v>577</v>
      </c>
      <c r="G293" t="s">
        <v>751</v>
      </c>
      <c r="H293" t="s">
        <v>752</v>
      </c>
      <c r="I293" t="s">
        <v>567</v>
      </c>
      <c r="O293">
        <v>1.5</v>
      </c>
      <c r="Q293">
        <v>18.3</v>
      </c>
      <c r="AG293">
        <v>9</v>
      </c>
      <c r="AP293">
        <v>5</v>
      </c>
      <c r="BG293" t="s">
        <v>311</v>
      </c>
      <c r="BH293" t="s">
        <v>608</v>
      </c>
      <c r="BI293" s="10" t="s">
        <v>688</v>
      </c>
      <c r="BK293" s="10" t="s">
        <v>689</v>
      </c>
      <c r="BL293" s="10">
        <v>3</v>
      </c>
      <c r="BS293" s="10">
        <f>LOG(265000)</f>
        <v>5.4232458739368079</v>
      </c>
      <c r="CE293" s="10" t="s">
        <v>580</v>
      </c>
      <c r="CF293" t="s">
        <v>604</v>
      </c>
      <c r="CG293" t="s">
        <v>57</v>
      </c>
      <c r="CH293" t="s">
        <v>753</v>
      </c>
    </row>
    <row r="294" spans="1:86" x14ac:dyDescent="0.3">
      <c r="A294">
        <v>300</v>
      </c>
      <c r="B294" t="s">
        <v>358</v>
      </c>
      <c r="C294" t="s">
        <v>6</v>
      </c>
      <c r="D294" t="s">
        <v>750</v>
      </c>
      <c r="F294" t="s">
        <v>577</v>
      </c>
      <c r="G294" t="s">
        <v>751</v>
      </c>
      <c r="H294" t="s">
        <v>752</v>
      </c>
      <c r="I294" t="s">
        <v>567</v>
      </c>
      <c r="O294">
        <v>1.5</v>
      </c>
      <c r="Q294">
        <v>22.13</v>
      </c>
      <c r="AG294">
        <v>9</v>
      </c>
      <c r="AP294">
        <v>5</v>
      </c>
      <c r="BG294" t="s">
        <v>311</v>
      </c>
      <c r="BH294" t="s">
        <v>608</v>
      </c>
      <c r="BI294" s="10" t="s">
        <v>688</v>
      </c>
      <c r="BK294" s="10" t="s">
        <v>689</v>
      </c>
      <c r="BL294" s="10">
        <v>4</v>
      </c>
      <c r="BS294" s="10">
        <f>LOG(265000)</f>
        <v>5.4232458739368079</v>
      </c>
      <c r="CE294" s="10" t="s">
        <v>580</v>
      </c>
      <c r="CF294" t="s">
        <v>604</v>
      </c>
      <c r="CG294" t="s">
        <v>57</v>
      </c>
      <c r="CH294" t="s">
        <v>753</v>
      </c>
    </row>
    <row r="295" spans="1:86" x14ac:dyDescent="0.3">
      <c r="A295">
        <v>301</v>
      </c>
      <c r="B295" t="s">
        <v>358</v>
      </c>
      <c r="C295" t="s">
        <v>6</v>
      </c>
      <c r="D295" t="s">
        <v>754</v>
      </c>
      <c r="F295" t="s">
        <v>577</v>
      </c>
      <c r="G295" t="s">
        <v>751</v>
      </c>
      <c r="H295" t="s">
        <v>752</v>
      </c>
      <c r="I295" t="s">
        <v>567</v>
      </c>
      <c r="N295">
        <v>6.5</v>
      </c>
      <c r="Q295">
        <v>2.0499999999999998</v>
      </c>
      <c r="AG295">
        <v>7</v>
      </c>
      <c r="AL295">
        <v>0.2</v>
      </c>
      <c r="BG295" t="s">
        <v>311</v>
      </c>
      <c r="BH295" t="s">
        <v>608</v>
      </c>
      <c r="BI295" s="10" t="s">
        <v>688</v>
      </c>
      <c r="BL295" s="10">
        <v>1</v>
      </c>
      <c r="CE295" s="10" t="s">
        <v>755</v>
      </c>
      <c r="CF295" t="s">
        <v>756</v>
      </c>
      <c r="CG295" t="s">
        <v>57</v>
      </c>
      <c r="CH295" t="s">
        <v>753</v>
      </c>
    </row>
    <row r="296" spans="1:86" x14ac:dyDescent="0.3">
      <c r="A296">
        <v>302</v>
      </c>
      <c r="B296" t="s">
        <v>358</v>
      </c>
      <c r="C296" t="s">
        <v>6</v>
      </c>
      <c r="D296" t="s">
        <v>754</v>
      </c>
      <c r="F296" t="s">
        <v>577</v>
      </c>
      <c r="G296" t="s">
        <v>751</v>
      </c>
      <c r="H296" t="s">
        <v>752</v>
      </c>
      <c r="I296" t="s">
        <v>567</v>
      </c>
      <c r="N296">
        <v>6.5</v>
      </c>
      <c r="Q296">
        <v>3.29</v>
      </c>
      <c r="AG296">
        <v>7</v>
      </c>
      <c r="AL296">
        <v>0.2</v>
      </c>
      <c r="BG296" t="s">
        <v>311</v>
      </c>
      <c r="BH296" t="s">
        <v>608</v>
      </c>
      <c r="BI296" s="10" t="s">
        <v>688</v>
      </c>
      <c r="BL296" s="10">
        <v>2</v>
      </c>
      <c r="CE296" s="10" t="s">
        <v>755</v>
      </c>
      <c r="CF296" t="s">
        <v>756</v>
      </c>
      <c r="CG296" t="s">
        <v>57</v>
      </c>
      <c r="CH296" t="s">
        <v>753</v>
      </c>
    </row>
    <row r="297" spans="1:86" x14ac:dyDescent="0.3">
      <c r="A297">
        <v>303</v>
      </c>
      <c r="B297" t="s">
        <v>358</v>
      </c>
      <c r="C297" t="s">
        <v>6</v>
      </c>
      <c r="D297" t="s">
        <v>754</v>
      </c>
      <c r="F297" t="s">
        <v>577</v>
      </c>
      <c r="G297" t="s">
        <v>751</v>
      </c>
      <c r="H297" t="s">
        <v>752</v>
      </c>
      <c r="I297" t="s">
        <v>567</v>
      </c>
      <c r="N297">
        <v>6.5</v>
      </c>
      <c r="Q297">
        <v>4.41</v>
      </c>
      <c r="AG297">
        <v>7</v>
      </c>
      <c r="AL297">
        <v>0.2</v>
      </c>
      <c r="BG297" t="s">
        <v>311</v>
      </c>
      <c r="BH297" t="s">
        <v>608</v>
      </c>
      <c r="BI297" s="10" t="s">
        <v>688</v>
      </c>
      <c r="BL297" s="10">
        <v>3</v>
      </c>
      <c r="CE297" s="10" t="s">
        <v>755</v>
      </c>
      <c r="CF297" t="s">
        <v>756</v>
      </c>
      <c r="CG297" t="s">
        <v>57</v>
      </c>
      <c r="CH297" t="s">
        <v>753</v>
      </c>
    </row>
    <row r="298" spans="1:86" x14ac:dyDescent="0.3">
      <c r="A298">
        <v>304</v>
      </c>
      <c r="B298" t="s">
        <v>358</v>
      </c>
      <c r="C298" t="s">
        <v>6</v>
      </c>
      <c r="D298" t="s">
        <v>754</v>
      </c>
      <c r="F298" t="s">
        <v>577</v>
      </c>
      <c r="G298" t="s">
        <v>751</v>
      </c>
      <c r="H298" t="s">
        <v>752</v>
      </c>
      <c r="I298" t="s">
        <v>567</v>
      </c>
      <c r="N298">
        <v>6.5</v>
      </c>
      <c r="Q298">
        <v>5.44</v>
      </c>
      <c r="AG298">
        <v>7</v>
      </c>
      <c r="AL298">
        <v>0.2</v>
      </c>
      <c r="BG298" t="s">
        <v>311</v>
      </c>
      <c r="BH298" t="s">
        <v>608</v>
      </c>
      <c r="BI298" s="10" t="s">
        <v>688</v>
      </c>
      <c r="BL298" s="10">
        <v>4</v>
      </c>
      <c r="CE298" s="10" t="s">
        <v>755</v>
      </c>
      <c r="CF298" t="s">
        <v>756</v>
      </c>
      <c r="CG298" t="s">
        <v>57</v>
      </c>
      <c r="CH298" t="s">
        <v>753</v>
      </c>
    </row>
    <row r="299" spans="1:86" x14ac:dyDescent="0.3">
      <c r="A299">
        <v>305</v>
      </c>
      <c r="B299" t="s">
        <v>358</v>
      </c>
      <c r="C299" t="s">
        <v>6</v>
      </c>
      <c r="D299" t="s">
        <v>757</v>
      </c>
      <c r="F299" t="s">
        <v>577</v>
      </c>
      <c r="G299" t="s">
        <v>751</v>
      </c>
      <c r="H299" t="s">
        <v>752</v>
      </c>
      <c r="I299" t="s">
        <v>567</v>
      </c>
      <c r="N299">
        <v>6.87</v>
      </c>
      <c r="Q299">
        <v>2.13</v>
      </c>
      <c r="AG299">
        <v>7</v>
      </c>
      <c r="AL299">
        <v>2</v>
      </c>
      <c r="BG299" t="s">
        <v>311</v>
      </c>
      <c r="BH299" t="s">
        <v>608</v>
      </c>
      <c r="BI299" s="10" t="s">
        <v>688</v>
      </c>
      <c r="BL299" s="10">
        <v>1</v>
      </c>
      <c r="CE299" s="10" t="s">
        <v>755</v>
      </c>
      <c r="CF299" t="s">
        <v>756</v>
      </c>
      <c r="CG299" t="s">
        <v>57</v>
      </c>
      <c r="CH299" t="s">
        <v>753</v>
      </c>
    </row>
    <row r="300" spans="1:86" x14ac:dyDescent="0.3">
      <c r="A300">
        <v>306</v>
      </c>
      <c r="B300" t="s">
        <v>358</v>
      </c>
      <c r="C300" t="s">
        <v>6</v>
      </c>
      <c r="D300" t="s">
        <v>757</v>
      </c>
      <c r="F300" t="s">
        <v>577</v>
      </c>
      <c r="G300" t="s">
        <v>751</v>
      </c>
      <c r="H300" t="s">
        <v>752</v>
      </c>
      <c r="I300" t="s">
        <v>567</v>
      </c>
      <c r="N300">
        <v>6.87</v>
      </c>
      <c r="Q300">
        <v>3.37</v>
      </c>
      <c r="AG300">
        <v>7</v>
      </c>
      <c r="AL300">
        <v>2</v>
      </c>
      <c r="BG300" t="s">
        <v>311</v>
      </c>
      <c r="BH300" t="s">
        <v>608</v>
      </c>
      <c r="BI300" s="10" t="s">
        <v>688</v>
      </c>
      <c r="BL300" s="10">
        <v>2</v>
      </c>
      <c r="CE300" s="10" t="s">
        <v>755</v>
      </c>
      <c r="CF300" t="s">
        <v>756</v>
      </c>
      <c r="CG300" t="s">
        <v>57</v>
      </c>
      <c r="CH300" t="s">
        <v>753</v>
      </c>
    </row>
    <row r="301" spans="1:86" x14ac:dyDescent="0.3">
      <c r="A301">
        <v>307</v>
      </c>
      <c r="B301" t="s">
        <v>358</v>
      </c>
      <c r="C301" t="s">
        <v>6</v>
      </c>
      <c r="D301" t="s">
        <v>757</v>
      </c>
      <c r="F301" t="s">
        <v>577</v>
      </c>
      <c r="G301" t="s">
        <v>751</v>
      </c>
      <c r="H301" t="s">
        <v>752</v>
      </c>
      <c r="I301" t="s">
        <v>567</v>
      </c>
      <c r="N301">
        <v>6.87</v>
      </c>
      <c r="Q301">
        <v>4.75</v>
      </c>
      <c r="AG301">
        <v>7</v>
      </c>
      <c r="AL301">
        <v>2</v>
      </c>
      <c r="BG301" t="s">
        <v>311</v>
      </c>
      <c r="BH301" t="s">
        <v>608</v>
      </c>
      <c r="BI301" s="10" t="s">
        <v>688</v>
      </c>
      <c r="BL301" s="10">
        <v>3</v>
      </c>
      <c r="CE301" s="10" t="s">
        <v>755</v>
      </c>
      <c r="CF301" t="s">
        <v>756</v>
      </c>
      <c r="CG301" t="s">
        <v>57</v>
      </c>
      <c r="CH301" t="s">
        <v>753</v>
      </c>
    </row>
    <row r="302" spans="1:86" x14ac:dyDescent="0.3">
      <c r="A302">
        <v>308</v>
      </c>
      <c r="B302" t="s">
        <v>358</v>
      </c>
      <c r="C302" t="s">
        <v>6</v>
      </c>
      <c r="D302" t="s">
        <v>757</v>
      </c>
      <c r="F302" t="s">
        <v>577</v>
      </c>
      <c r="G302" t="s">
        <v>751</v>
      </c>
      <c r="H302" t="s">
        <v>752</v>
      </c>
      <c r="I302" t="s">
        <v>567</v>
      </c>
      <c r="N302">
        <v>6.87</v>
      </c>
      <c r="Q302">
        <v>5.46</v>
      </c>
      <c r="AG302">
        <v>7</v>
      </c>
      <c r="AL302">
        <v>2</v>
      </c>
      <c r="BG302" t="s">
        <v>311</v>
      </c>
      <c r="BH302" t="s">
        <v>608</v>
      </c>
      <c r="BI302" s="10" t="s">
        <v>688</v>
      </c>
      <c r="BL302" s="10">
        <v>4</v>
      </c>
      <c r="CE302" s="10" t="s">
        <v>755</v>
      </c>
      <c r="CF302" t="s">
        <v>756</v>
      </c>
      <c r="CG302" t="s">
        <v>57</v>
      </c>
      <c r="CH302" t="s">
        <v>753</v>
      </c>
    </row>
    <row r="303" spans="1:86" x14ac:dyDescent="0.3">
      <c r="A303">
        <v>309</v>
      </c>
      <c r="B303" t="s">
        <v>358</v>
      </c>
      <c r="C303" t="s">
        <v>6</v>
      </c>
      <c r="D303" t="s">
        <v>757</v>
      </c>
      <c r="F303" t="s">
        <v>577</v>
      </c>
      <c r="G303" t="s">
        <v>751</v>
      </c>
      <c r="H303" t="s">
        <v>752</v>
      </c>
      <c r="I303" t="s">
        <v>567</v>
      </c>
      <c r="N303">
        <v>6.87</v>
      </c>
      <c r="Q303">
        <v>2.2400000000000002</v>
      </c>
      <c r="AG303">
        <v>7</v>
      </c>
      <c r="AL303">
        <v>5</v>
      </c>
      <c r="BG303" t="s">
        <v>311</v>
      </c>
      <c r="BH303" t="s">
        <v>608</v>
      </c>
      <c r="BI303" s="10" t="s">
        <v>688</v>
      </c>
      <c r="BL303" s="10">
        <v>1</v>
      </c>
      <c r="CE303" s="10" t="s">
        <v>755</v>
      </c>
      <c r="CF303" t="s">
        <v>756</v>
      </c>
      <c r="CG303" t="s">
        <v>57</v>
      </c>
      <c r="CH303" t="s">
        <v>753</v>
      </c>
    </row>
    <row r="304" spans="1:86" x14ac:dyDescent="0.3">
      <c r="A304">
        <v>310</v>
      </c>
      <c r="B304" t="s">
        <v>358</v>
      </c>
      <c r="C304" t="s">
        <v>6</v>
      </c>
      <c r="D304" t="s">
        <v>757</v>
      </c>
      <c r="F304" t="s">
        <v>577</v>
      </c>
      <c r="G304" t="s">
        <v>751</v>
      </c>
      <c r="H304" t="s">
        <v>752</v>
      </c>
      <c r="I304" t="s">
        <v>567</v>
      </c>
      <c r="N304">
        <v>6.87</v>
      </c>
      <c r="Q304">
        <v>3.71</v>
      </c>
      <c r="AG304">
        <v>7</v>
      </c>
      <c r="AL304">
        <v>5</v>
      </c>
      <c r="BG304" t="s">
        <v>311</v>
      </c>
      <c r="BH304" t="s">
        <v>608</v>
      </c>
      <c r="BI304" s="10" t="s">
        <v>688</v>
      </c>
      <c r="BL304" s="10">
        <v>2</v>
      </c>
      <c r="CE304" s="10" t="s">
        <v>755</v>
      </c>
      <c r="CF304" t="s">
        <v>756</v>
      </c>
      <c r="CG304" t="s">
        <v>57</v>
      </c>
      <c r="CH304" t="s">
        <v>753</v>
      </c>
    </row>
    <row r="305" spans="1:86" x14ac:dyDescent="0.3">
      <c r="A305">
        <v>311</v>
      </c>
      <c r="B305" t="s">
        <v>358</v>
      </c>
      <c r="C305" t="s">
        <v>6</v>
      </c>
      <c r="D305" t="s">
        <v>757</v>
      </c>
      <c r="F305" t="s">
        <v>577</v>
      </c>
      <c r="G305" t="s">
        <v>751</v>
      </c>
      <c r="H305" t="s">
        <v>752</v>
      </c>
      <c r="I305" t="s">
        <v>567</v>
      </c>
      <c r="N305">
        <v>6.87</v>
      </c>
      <c r="Q305">
        <v>4.88</v>
      </c>
      <c r="AG305">
        <v>7</v>
      </c>
      <c r="AL305">
        <v>5</v>
      </c>
      <c r="BG305" t="s">
        <v>311</v>
      </c>
      <c r="BH305" t="s">
        <v>608</v>
      </c>
      <c r="BI305" s="10" t="s">
        <v>688</v>
      </c>
      <c r="BL305" s="10">
        <v>3</v>
      </c>
      <c r="CE305" s="10" t="s">
        <v>755</v>
      </c>
      <c r="CF305" t="s">
        <v>756</v>
      </c>
      <c r="CG305" t="s">
        <v>57</v>
      </c>
      <c r="CH305" t="s">
        <v>753</v>
      </c>
    </row>
    <row r="306" spans="1:86" x14ac:dyDescent="0.3">
      <c r="A306">
        <v>312</v>
      </c>
      <c r="B306" t="s">
        <v>358</v>
      </c>
      <c r="C306" t="s">
        <v>6</v>
      </c>
      <c r="D306" t="s">
        <v>757</v>
      </c>
      <c r="F306" t="s">
        <v>577</v>
      </c>
      <c r="G306" t="s">
        <v>751</v>
      </c>
      <c r="H306" t="s">
        <v>752</v>
      </c>
      <c r="I306" t="s">
        <v>567</v>
      </c>
      <c r="N306">
        <v>6.87</v>
      </c>
      <c r="Q306">
        <v>5.99</v>
      </c>
      <c r="AG306">
        <v>7</v>
      </c>
      <c r="AL306">
        <v>5</v>
      </c>
      <c r="BG306" t="s">
        <v>311</v>
      </c>
      <c r="BH306" t="s">
        <v>608</v>
      </c>
      <c r="BI306" s="10" t="s">
        <v>688</v>
      </c>
      <c r="BL306" s="10">
        <v>4</v>
      </c>
      <c r="CE306" s="10" t="s">
        <v>755</v>
      </c>
      <c r="CF306" t="s">
        <v>756</v>
      </c>
      <c r="CG306" t="s">
        <v>57</v>
      </c>
      <c r="CH306" t="s">
        <v>753</v>
      </c>
    </row>
    <row r="307" spans="1:86" x14ac:dyDescent="0.3">
      <c r="A307">
        <v>313</v>
      </c>
      <c r="B307" t="s">
        <v>358</v>
      </c>
      <c r="C307" t="s">
        <v>6</v>
      </c>
      <c r="D307" t="s">
        <v>758</v>
      </c>
      <c r="F307" t="s">
        <v>577</v>
      </c>
      <c r="G307" t="s">
        <v>751</v>
      </c>
      <c r="H307" t="s">
        <v>752</v>
      </c>
      <c r="I307" t="s">
        <v>567</v>
      </c>
      <c r="N307">
        <v>9</v>
      </c>
      <c r="Q307">
        <v>2.5499999999999998</v>
      </c>
      <c r="AG307">
        <v>7</v>
      </c>
      <c r="AL307">
        <v>20</v>
      </c>
      <c r="BG307" t="s">
        <v>311</v>
      </c>
      <c r="BH307" t="s">
        <v>608</v>
      </c>
      <c r="BI307" s="10" t="s">
        <v>688</v>
      </c>
      <c r="BL307" s="10">
        <v>1</v>
      </c>
      <c r="CE307" s="10" t="s">
        <v>755</v>
      </c>
      <c r="CF307" t="s">
        <v>756</v>
      </c>
      <c r="CG307" t="s">
        <v>57</v>
      </c>
      <c r="CH307" t="s">
        <v>753</v>
      </c>
    </row>
    <row r="308" spans="1:86" x14ac:dyDescent="0.3">
      <c r="A308">
        <v>314</v>
      </c>
      <c r="B308" t="s">
        <v>358</v>
      </c>
      <c r="C308" t="s">
        <v>6</v>
      </c>
      <c r="D308" t="s">
        <v>758</v>
      </c>
      <c r="F308" t="s">
        <v>577</v>
      </c>
      <c r="G308" t="s">
        <v>751</v>
      </c>
      <c r="H308" t="s">
        <v>752</v>
      </c>
      <c r="I308" t="s">
        <v>567</v>
      </c>
      <c r="N308">
        <v>9</v>
      </c>
      <c r="Q308">
        <v>5.95</v>
      </c>
      <c r="AG308">
        <v>7</v>
      </c>
      <c r="AL308">
        <v>20</v>
      </c>
      <c r="BG308" t="s">
        <v>311</v>
      </c>
      <c r="BH308" t="s">
        <v>608</v>
      </c>
      <c r="BI308" s="10" t="s">
        <v>688</v>
      </c>
      <c r="BL308" s="10">
        <v>2</v>
      </c>
      <c r="CE308" s="10" t="s">
        <v>755</v>
      </c>
      <c r="CF308" t="s">
        <v>756</v>
      </c>
      <c r="CG308" t="s">
        <v>57</v>
      </c>
      <c r="CH308" t="s">
        <v>753</v>
      </c>
    </row>
    <row r="309" spans="1:86" x14ac:dyDescent="0.3">
      <c r="A309">
        <v>315</v>
      </c>
      <c r="B309" t="s">
        <v>358</v>
      </c>
      <c r="C309" t="s">
        <v>6</v>
      </c>
      <c r="D309" t="s">
        <v>758</v>
      </c>
      <c r="F309" t="s">
        <v>577</v>
      </c>
      <c r="G309" t="s">
        <v>751</v>
      </c>
      <c r="H309" t="s">
        <v>752</v>
      </c>
      <c r="I309" t="s">
        <v>567</v>
      </c>
      <c r="N309">
        <v>9</v>
      </c>
      <c r="Q309">
        <v>16.47</v>
      </c>
      <c r="AG309">
        <v>7</v>
      </c>
      <c r="AL309">
        <v>20</v>
      </c>
      <c r="BG309" t="s">
        <v>311</v>
      </c>
      <c r="BH309" t="s">
        <v>608</v>
      </c>
      <c r="BI309" s="10" t="s">
        <v>688</v>
      </c>
      <c r="BL309" s="10">
        <v>3</v>
      </c>
      <c r="CE309" s="10" t="s">
        <v>755</v>
      </c>
      <c r="CF309" t="s">
        <v>756</v>
      </c>
      <c r="CG309" t="s">
        <v>57</v>
      </c>
      <c r="CH309" t="s">
        <v>753</v>
      </c>
    </row>
    <row r="310" spans="1:86" x14ac:dyDescent="0.3">
      <c r="A310">
        <v>316</v>
      </c>
      <c r="B310" t="s">
        <v>358</v>
      </c>
      <c r="C310" t="s">
        <v>6</v>
      </c>
      <c r="D310" t="s">
        <v>758</v>
      </c>
      <c r="F310" t="s">
        <v>577</v>
      </c>
      <c r="G310" t="s">
        <v>751</v>
      </c>
      <c r="H310" t="s">
        <v>752</v>
      </c>
      <c r="I310" t="s">
        <v>567</v>
      </c>
      <c r="N310">
        <v>9</v>
      </c>
      <c r="Q310">
        <v>25.81</v>
      </c>
      <c r="AG310">
        <v>7</v>
      </c>
      <c r="AL310">
        <v>20</v>
      </c>
      <c r="BG310" t="s">
        <v>311</v>
      </c>
      <c r="BH310" t="s">
        <v>608</v>
      </c>
      <c r="BI310" s="10" t="s">
        <v>688</v>
      </c>
      <c r="BL310" s="10">
        <v>4</v>
      </c>
      <c r="CE310" s="10" t="s">
        <v>755</v>
      </c>
      <c r="CF310" t="s">
        <v>756</v>
      </c>
      <c r="CG310" t="s">
        <v>57</v>
      </c>
      <c r="CH310" t="s">
        <v>753</v>
      </c>
    </row>
    <row r="311" spans="1:86" x14ac:dyDescent="0.3">
      <c r="A311">
        <v>317</v>
      </c>
      <c r="B311" t="s">
        <v>358</v>
      </c>
      <c r="C311" t="s">
        <v>6</v>
      </c>
      <c r="D311" t="s">
        <v>754</v>
      </c>
      <c r="F311" t="s">
        <v>577</v>
      </c>
      <c r="G311" t="s">
        <v>751</v>
      </c>
      <c r="H311" t="s">
        <v>752</v>
      </c>
      <c r="I311" t="s">
        <v>567</v>
      </c>
      <c r="N311">
        <v>6.5</v>
      </c>
      <c r="Q311">
        <v>5.72</v>
      </c>
      <c r="AG311">
        <v>8</v>
      </c>
      <c r="AL311">
        <v>0.2</v>
      </c>
      <c r="BG311" t="s">
        <v>311</v>
      </c>
      <c r="BH311" t="s">
        <v>608</v>
      </c>
      <c r="BI311" s="10" t="s">
        <v>688</v>
      </c>
      <c r="BL311" s="10">
        <v>1</v>
      </c>
      <c r="CE311" s="10" t="s">
        <v>755</v>
      </c>
      <c r="CF311" t="s">
        <v>756</v>
      </c>
      <c r="CG311" t="s">
        <v>57</v>
      </c>
      <c r="CH311" t="s">
        <v>753</v>
      </c>
    </row>
    <row r="312" spans="1:86" x14ac:dyDescent="0.3">
      <c r="A312">
        <v>318</v>
      </c>
      <c r="B312" t="s">
        <v>358</v>
      </c>
      <c r="C312" t="s">
        <v>6</v>
      </c>
      <c r="D312" t="s">
        <v>754</v>
      </c>
      <c r="F312" t="s">
        <v>577</v>
      </c>
      <c r="G312" t="s">
        <v>751</v>
      </c>
      <c r="H312" t="s">
        <v>752</v>
      </c>
      <c r="I312" t="s">
        <v>567</v>
      </c>
      <c r="N312">
        <v>6.5</v>
      </c>
      <c r="Q312">
        <v>9.6</v>
      </c>
      <c r="AG312">
        <v>8</v>
      </c>
      <c r="AL312">
        <v>0.2</v>
      </c>
      <c r="BG312" t="s">
        <v>311</v>
      </c>
      <c r="BH312" t="s">
        <v>608</v>
      </c>
      <c r="BI312" s="10" t="s">
        <v>688</v>
      </c>
      <c r="BL312" s="10">
        <v>2</v>
      </c>
      <c r="CE312" s="10" t="s">
        <v>755</v>
      </c>
      <c r="CF312" t="s">
        <v>756</v>
      </c>
      <c r="CG312" t="s">
        <v>57</v>
      </c>
      <c r="CH312" t="s">
        <v>753</v>
      </c>
    </row>
    <row r="313" spans="1:86" x14ac:dyDescent="0.3">
      <c r="A313">
        <v>319</v>
      </c>
      <c r="B313" t="s">
        <v>358</v>
      </c>
      <c r="C313" t="s">
        <v>6</v>
      </c>
      <c r="D313" t="s">
        <v>754</v>
      </c>
      <c r="F313" t="s">
        <v>577</v>
      </c>
      <c r="G313" t="s">
        <v>751</v>
      </c>
      <c r="H313" t="s">
        <v>752</v>
      </c>
      <c r="I313" t="s">
        <v>567</v>
      </c>
      <c r="N313">
        <v>6.5</v>
      </c>
      <c r="Q313">
        <v>12.8</v>
      </c>
      <c r="AG313">
        <v>8</v>
      </c>
      <c r="AL313">
        <v>0.2</v>
      </c>
      <c r="BG313" t="s">
        <v>311</v>
      </c>
      <c r="BH313" t="s">
        <v>608</v>
      </c>
      <c r="BI313" s="10" t="s">
        <v>688</v>
      </c>
      <c r="BL313" s="10">
        <v>3</v>
      </c>
      <c r="CE313" s="10" t="s">
        <v>755</v>
      </c>
      <c r="CF313" t="s">
        <v>756</v>
      </c>
      <c r="CG313" t="s">
        <v>57</v>
      </c>
      <c r="CH313" t="s">
        <v>753</v>
      </c>
    </row>
    <row r="314" spans="1:86" x14ac:dyDescent="0.3">
      <c r="A314">
        <v>320</v>
      </c>
      <c r="B314" t="s">
        <v>358</v>
      </c>
      <c r="C314" t="s">
        <v>6</v>
      </c>
      <c r="D314" t="s">
        <v>754</v>
      </c>
      <c r="F314" t="s">
        <v>577</v>
      </c>
      <c r="G314" t="s">
        <v>751</v>
      </c>
      <c r="H314" t="s">
        <v>752</v>
      </c>
      <c r="I314" t="s">
        <v>567</v>
      </c>
      <c r="N314">
        <v>6.5</v>
      </c>
      <c r="Q314">
        <v>15.49</v>
      </c>
      <c r="AG314">
        <v>8</v>
      </c>
      <c r="AL314">
        <v>0.2</v>
      </c>
      <c r="BG314" t="s">
        <v>311</v>
      </c>
      <c r="BH314" t="s">
        <v>608</v>
      </c>
      <c r="BI314" s="10" t="s">
        <v>688</v>
      </c>
      <c r="BL314" s="10">
        <v>4</v>
      </c>
      <c r="CE314" s="10" t="s">
        <v>755</v>
      </c>
      <c r="CF314" t="s">
        <v>756</v>
      </c>
      <c r="CG314" t="s">
        <v>57</v>
      </c>
      <c r="CH314" t="s">
        <v>753</v>
      </c>
    </row>
    <row r="315" spans="1:86" x14ac:dyDescent="0.3">
      <c r="A315">
        <v>321</v>
      </c>
      <c r="B315" t="s">
        <v>358</v>
      </c>
      <c r="C315" t="s">
        <v>6</v>
      </c>
      <c r="D315" t="s">
        <v>757</v>
      </c>
      <c r="F315" t="s">
        <v>577</v>
      </c>
      <c r="G315" t="s">
        <v>751</v>
      </c>
      <c r="H315" t="s">
        <v>752</v>
      </c>
      <c r="I315" t="s">
        <v>567</v>
      </c>
      <c r="N315">
        <v>6.87</v>
      </c>
      <c r="Q315">
        <v>6.67</v>
      </c>
      <c r="AG315">
        <v>8</v>
      </c>
      <c r="AL315">
        <v>2</v>
      </c>
      <c r="BG315" t="s">
        <v>311</v>
      </c>
      <c r="BH315" t="s">
        <v>608</v>
      </c>
      <c r="BI315" s="10" t="s">
        <v>688</v>
      </c>
      <c r="BL315" s="10">
        <v>1</v>
      </c>
      <c r="CE315" s="10" t="s">
        <v>755</v>
      </c>
      <c r="CF315" t="s">
        <v>756</v>
      </c>
      <c r="CG315" t="s">
        <v>57</v>
      </c>
      <c r="CH315" t="s">
        <v>753</v>
      </c>
    </row>
    <row r="316" spans="1:86" x14ac:dyDescent="0.3">
      <c r="A316">
        <v>322</v>
      </c>
      <c r="B316" t="s">
        <v>358</v>
      </c>
      <c r="C316" t="s">
        <v>6</v>
      </c>
      <c r="D316" t="s">
        <v>757</v>
      </c>
      <c r="F316" t="s">
        <v>577</v>
      </c>
      <c r="G316" t="s">
        <v>751</v>
      </c>
      <c r="H316" t="s">
        <v>752</v>
      </c>
      <c r="I316" t="s">
        <v>567</v>
      </c>
      <c r="N316">
        <v>6.87</v>
      </c>
      <c r="Q316">
        <v>10.32</v>
      </c>
      <c r="AG316">
        <v>8</v>
      </c>
      <c r="AL316">
        <v>2</v>
      </c>
      <c r="BG316" t="s">
        <v>311</v>
      </c>
      <c r="BH316" t="s">
        <v>608</v>
      </c>
      <c r="BI316" s="10" t="s">
        <v>688</v>
      </c>
      <c r="BL316" s="10">
        <v>2</v>
      </c>
      <c r="CE316" s="10" t="s">
        <v>755</v>
      </c>
      <c r="CF316" t="s">
        <v>756</v>
      </c>
      <c r="CG316" t="s">
        <v>57</v>
      </c>
      <c r="CH316" t="s">
        <v>753</v>
      </c>
    </row>
    <row r="317" spans="1:86" x14ac:dyDescent="0.3">
      <c r="A317">
        <v>323</v>
      </c>
      <c r="B317" t="s">
        <v>358</v>
      </c>
      <c r="C317" t="s">
        <v>6</v>
      </c>
      <c r="D317" t="s">
        <v>757</v>
      </c>
      <c r="F317" t="s">
        <v>577</v>
      </c>
      <c r="G317" t="s">
        <v>751</v>
      </c>
      <c r="H317" t="s">
        <v>752</v>
      </c>
      <c r="I317" t="s">
        <v>567</v>
      </c>
      <c r="N317">
        <v>6.87</v>
      </c>
      <c r="Q317">
        <v>12.9</v>
      </c>
      <c r="AG317">
        <v>8</v>
      </c>
      <c r="AL317">
        <v>2</v>
      </c>
      <c r="BG317" t="s">
        <v>311</v>
      </c>
      <c r="BH317" t="s">
        <v>608</v>
      </c>
      <c r="BI317" s="10" t="s">
        <v>688</v>
      </c>
      <c r="BL317" s="10">
        <v>3</v>
      </c>
      <c r="CE317" s="10" t="s">
        <v>755</v>
      </c>
      <c r="CF317" t="s">
        <v>756</v>
      </c>
      <c r="CG317" t="s">
        <v>57</v>
      </c>
      <c r="CH317" t="s">
        <v>753</v>
      </c>
    </row>
    <row r="318" spans="1:86" x14ac:dyDescent="0.3">
      <c r="A318">
        <v>324</v>
      </c>
      <c r="B318" t="s">
        <v>358</v>
      </c>
      <c r="C318" t="s">
        <v>6</v>
      </c>
      <c r="D318" t="s">
        <v>757</v>
      </c>
      <c r="F318" t="s">
        <v>577</v>
      </c>
      <c r="G318" t="s">
        <v>751</v>
      </c>
      <c r="H318" t="s">
        <v>752</v>
      </c>
      <c r="I318" t="s">
        <v>567</v>
      </c>
      <c r="N318">
        <v>6.87</v>
      </c>
      <c r="Q318">
        <v>15.68</v>
      </c>
      <c r="AG318">
        <v>8</v>
      </c>
      <c r="AL318">
        <v>2</v>
      </c>
      <c r="BG318" t="s">
        <v>311</v>
      </c>
      <c r="BH318" t="s">
        <v>608</v>
      </c>
      <c r="BI318" s="10" t="s">
        <v>688</v>
      </c>
      <c r="BL318" s="10">
        <v>4</v>
      </c>
      <c r="CE318" s="10" t="s">
        <v>755</v>
      </c>
      <c r="CF318" t="s">
        <v>756</v>
      </c>
      <c r="CG318" t="s">
        <v>57</v>
      </c>
      <c r="CH318" t="s">
        <v>753</v>
      </c>
    </row>
    <row r="319" spans="1:86" x14ac:dyDescent="0.3">
      <c r="A319">
        <v>325</v>
      </c>
      <c r="B319" t="s">
        <v>358</v>
      </c>
      <c r="C319" t="s">
        <v>6</v>
      </c>
      <c r="D319" t="s">
        <v>757</v>
      </c>
      <c r="F319" t="s">
        <v>577</v>
      </c>
      <c r="G319" t="s">
        <v>751</v>
      </c>
      <c r="H319" t="s">
        <v>752</v>
      </c>
      <c r="I319" t="s">
        <v>567</v>
      </c>
      <c r="N319">
        <v>6.87</v>
      </c>
      <c r="Q319">
        <v>7.78</v>
      </c>
      <c r="AG319">
        <v>8</v>
      </c>
      <c r="AL319">
        <v>5</v>
      </c>
      <c r="BG319" t="s">
        <v>311</v>
      </c>
      <c r="BH319" t="s">
        <v>608</v>
      </c>
      <c r="BI319" s="10" t="s">
        <v>688</v>
      </c>
      <c r="BL319" s="10">
        <v>1</v>
      </c>
      <c r="CE319" s="10" t="s">
        <v>755</v>
      </c>
      <c r="CF319" t="s">
        <v>756</v>
      </c>
      <c r="CG319" t="s">
        <v>57</v>
      </c>
      <c r="CH319" t="s">
        <v>753</v>
      </c>
    </row>
    <row r="320" spans="1:86" x14ac:dyDescent="0.3">
      <c r="A320">
        <v>326</v>
      </c>
      <c r="B320" t="s">
        <v>358</v>
      </c>
      <c r="C320" t="s">
        <v>6</v>
      </c>
      <c r="D320" t="s">
        <v>757</v>
      </c>
      <c r="F320" t="s">
        <v>577</v>
      </c>
      <c r="G320" t="s">
        <v>751</v>
      </c>
      <c r="H320" t="s">
        <v>752</v>
      </c>
      <c r="I320" t="s">
        <v>567</v>
      </c>
      <c r="N320">
        <v>6.87</v>
      </c>
      <c r="Q320">
        <v>13.16</v>
      </c>
      <c r="AG320">
        <v>8</v>
      </c>
      <c r="AL320">
        <v>5</v>
      </c>
      <c r="BG320" t="s">
        <v>311</v>
      </c>
      <c r="BH320" t="s">
        <v>608</v>
      </c>
      <c r="BI320" s="10" t="s">
        <v>688</v>
      </c>
      <c r="BL320" s="10">
        <v>2</v>
      </c>
      <c r="CE320" s="10" t="s">
        <v>755</v>
      </c>
      <c r="CF320" t="s">
        <v>756</v>
      </c>
      <c r="CG320" t="s">
        <v>57</v>
      </c>
      <c r="CH320" t="s">
        <v>753</v>
      </c>
    </row>
    <row r="321" spans="1:86" x14ac:dyDescent="0.3">
      <c r="A321">
        <v>327</v>
      </c>
      <c r="B321" t="s">
        <v>358</v>
      </c>
      <c r="C321" t="s">
        <v>6</v>
      </c>
      <c r="D321" t="s">
        <v>757</v>
      </c>
      <c r="F321" t="s">
        <v>577</v>
      </c>
      <c r="G321" t="s">
        <v>751</v>
      </c>
      <c r="H321" t="s">
        <v>752</v>
      </c>
      <c r="I321" t="s">
        <v>567</v>
      </c>
      <c r="N321">
        <v>6.87</v>
      </c>
      <c r="Q321">
        <v>17.79</v>
      </c>
      <c r="AG321">
        <v>8</v>
      </c>
      <c r="AL321">
        <v>5</v>
      </c>
      <c r="BG321" t="s">
        <v>311</v>
      </c>
      <c r="BH321" t="s">
        <v>608</v>
      </c>
      <c r="BI321" s="10" t="s">
        <v>688</v>
      </c>
      <c r="BL321" s="10">
        <v>3</v>
      </c>
      <c r="CE321" s="10" t="s">
        <v>755</v>
      </c>
      <c r="CF321" t="s">
        <v>756</v>
      </c>
      <c r="CG321" t="s">
        <v>57</v>
      </c>
      <c r="CH321" t="s">
        <v>753</v>
      </c>
    </row>
    <row r="322" spans="1:86" x14ac:dyDescent="0.3">
      <c r="A322">
        <v>328</v>
      </c>
      <c r="B322" t="s">
        <v>358</v>
      </c>
      <c r="C322" t="s">
        <v>6</v>
      </c>
      <c r="D322" t="s">
        <v>757</v>
      </c>
      <c r="F322" t="s">
        <v>577</v>
      </c>
      <c r="G322" t="s">
        <v>751</v>
      </c>
      <c r="H322" t="s">
        <v>752</v>
      </c>
      <c r="I322" t="s">
        <v>567</v>
      </c>
      <c r="N322">
        <v>6.87</v>
      </c>
      <c r="Q322">
        <v>21.94</v>
      </c>
      <c r="AG322">
        <v>8</v>
      </c>
      <c r="AL322">
        <v>5</v>
      </c>
      <c r="BG322" t="s">
        <v>311</v>
      </c>
      <c r="BH322" t="s">
        <v>608</v>
      </c>
      <c r="BI322" s="10" t="s">
        <v>688</v>
      </c>
      <c r="BL322" s="10">
        <v>4</v>
      </c>
      <c r="CE322" s="10" t="s">
        <v>755</v>
      </c>
      <c r="CF322" t="s">
        <v>756</v>
      </c>
      <c r="CG322" t="s">
        <v>57</v>
      </c>
      <c r="CH322" t="s">
        <v>753</v>
      </c>
    </row>
    <row r="323" spans="1:86" x14ac:dyDescent="0.3">
      <c r="A323">
        <v>329</v>
      </c>
      <c r="B323" t="s">
        <v>358</v>
      </c>
      <c r="C323" t="s">
        <v>6</v>
      </c>
      <c r="D323" t="s">
        <v>758</v>
      </c>
      <c r="F323" t="s">
        <v>577</v>
      </c>
      <c r="G323" t="s">
        <v>751</v>
      </c>
      <c r="H323" t="s">
        <v>752</v>
      </c>
      <c r="I323" t="s">
        <v>567</v>
      </c>
      <c r="N323">
        <v>9</v>
      </c>
      <c r="Q323">
        <v>7.99</v>
      </c>
      <c r="AG323">
        <v>8</v>
      </c>
      <c r="AL323">
        <v>20</v>
      </c>
      <c r="BG323" t="s">
        <v>311</v>
      </c>
      <c r="BH323" t="s">
        <v>608</v>
      </c>
      <c r="BI323" s="10" t="s">
        <v>688</v>
      </c>
      <c r="BL323" s="10">
        <v>1</v>
      </c>
      <c r="CE323" s="10" t="s">
        <v>755</v>
      </c>
      <c r="CF323" t="s">
        <v>756</v>
      </c>
      <c r="CG323" t="s">
        <v>57</v>
      </c>
      <c r="CH323" t="s">
        <v>753</v>
      </c>
    </row>
    <row r="324" spans="1:86" x14ac:dyDescent="0.3">
      <c r="A324">
        <v>330</v>
      </c>
      <c r="B324" t="s">
        <v>358</v>
      </c>
      <c r="C324" t="s">
        <v>6</v>
      </c>
      <c r="D324" t="s">
        <v>758</v>
      </c>
      <c r="F324" t="s">
        <v>577</v>
      </c>
      <c r="G324" t="s">
        <v>751</v>
      </c>
      <c r="H324" t="s">
        <v>752</v>
      </c>
      <c r="I324" t="s">
        <v>567</v>
      </c>
      <c r="N324">
        <v>9</v>
      </c>
      <c r="Q324">
        <v>15.09</v>
      </c>
      <c r="AG324">
        <v>8</v>
      </c>
      <c r="AL324">
        <v>20</v>
      </c>
      <c r="BG324" t="s">
        <v>311</v>
      </c>
      <c r="BH324" t="s">
        <v>608</v>
      </c>
      <c r="BI324" s="10" t="s">
        <v>688</v>
      </c>
      <c r="BL324" s="10">
        <v>2</v>
      </c>
      <c r="CE324" s="10" t="s">
        <v>755</v>
      </c>
      <c r="CF324" t="s">
        <v>756</v>
      </c>
      <c r="CG324" t="s">
        <v>57</v>
      </c>
      <c r="CH324" t="s">
        <v>753</v>
      </c>
    </row>
    <row r="325" spans="1:86" x14ac:dyDescent="0.3">
      <c r="A325">
        <v>331</v>
      </c>
      <c r="B325" t="s">
        <v>358</v>
      </c>
      <c r="C325" t="s">
        <v>6</v>
      </c>
      <c r="D325" t="s">
        <v>758</v>
      </c>
      <c r="F325" t="s">
        <v>577</v>
      </c>
      <c r="G325" t="s">
        <v>751</v>
      </c>
      <c r="H325" t="s">
        <v>752</v>
      </c>
      <c r="I325" t="s">
        <v>567</v>
      </c>
      <c r="N325">
        <v>9</v>
      </c>
      <c r="Q325">
        <v>24.81</v>
      </c>
      <c r="AG325">
        <v>8</v>
      </c>
      <c r="AL325">
        <v>20</v>
      </c>
      <c r="BG325" t="s">
        <v>311</v>
      </c>
      <c r="BH325" t="s">
        <v>608</v>
      </c>
      <c r="BI325" s="10" t="s">
        <v>688</v>
      </c>
      <c r="BL325" s="10">
        <v>3</v>
      </c>
      <c r="CE325" s="10" t="s">
        <v>755</v>
      </c>
      <c r="CF325" t="s">
        <v>756</v>
      </c>
      <c r="CG325" t="s">
        <v>57</v>
      </c>
      <c r="CH325" t="s">
        <v>753</v>
      </c>
    </row>
    <row r="326" spans="1:86" x14ac:dyDescent="0.3">
      <c r="A326">
        <v>332</v>
      </c>
      <c r="B326" t="s">
        <v>358</v>
      </c>
      <c r="C326" t="s">
        <v>6</v>
      </c>
      <c r="D326" t="s">
        <v>758</v>
      </c>
      <c r="F326" t="s">
        <v>577</v>
      </c>
      <c r="G326" t="s">
        <v>751</v>
      </c>
      <c r="H326" t="s">
        <v>752</v>
      </c>
      <c r="I326" t="s">
        <v>567</v>
      </c>
      <c r="N326">
        <v>9</v>
      </c>
      <c r="Q326">
        <v>34.520000000000003</v>
      </c>
      <c r="AG326">
        <v>8</v>
      </c>
      <c r="AL326">
        <v>20</v>
      </c>
      <c r="BG326" t="s">
        <v>311</v>
      </c>
      <c r="BH326" t="s">
        <v>608</v>
      </c>
      <c r="BI326" s="10" t="s">
        <v>688</v>
      </c>
      <c r="BL326" s="10">
        <v>4</v>
      </c>
      <c r="CE326" s="10" t="s">
        <v>755</v>
      </c>
      <c r="CF326" t="s">
        <v>756</v>
      </c>
      <c r="CG326" t="s">
        <v>57</v>
      </c>
      <c r="CH326" t="s">
        <v>753</v>
      </c>
    </row>
    <row r="327" spans="1:86" x14ac:dyDescent="0.3">
      <c r="A327">
        <v>333</v>
      </c>
      <c r="B327" t="s">
        <v>358</v>
      </c>
      <c r="C327" t="s">
        <v>6</v>
      </c>
      <c r="D327" t="s">
        <v>754</v>
      </c>
      <c r="F327" t="s">
        <v>577</v>
      </c>
      <c r="G327" t="s">
        <v>751</v>
      </c>
      <c r="H327" t="s">
        <v>752</v>
      </c>
      <c r="I327" t="s">
        <v>567</v>
      </c>
      <c r="N327">
        <v>6.5</v>
      </c>
      <c r="Q327">
        <v>8.25</v>
      </c>
      <c r="AG327">
        <v>9</v>
      </c>
      <c r="AL327">
        <v>0.2</v>
      </c>
      <c r="BG327" t="s">
        <v>311</v>
      </c>
      <c r="BH327" t="s">
        <v>608</v>
      </c>
      <c r="BI327" s="10" t="s">
        <v>688</v>
      </c>
      <c r="BL327" s="10">
        <v>1</v>
      </c>
      <c r="CE327" s="10" t="s">
        <v>755</v>
      </c>
      <c r="CF327" t="s">
        <v>756</v>
      </c>
      <c r="CG327" t="s">
        <v>57</v>
      </c>
      <c r="CH327" t="s">
        <v>753</v>
      </c>
    </row>
    <row r="328" spans="1:86" x14ac:dyDescent="0.3">
      <c r="A328">
        <v>334</v>
      </c>
      <c r="B328" t="s">
        <v>358</v>
      </c>
      <c r="C328" t="s">
        <v>6</v>
      </c>
      <c r="D328" t="s">
        <v>754</v>
      </c>
      <c r="F328" t="s">
        <v>577</v>
      </c>
      <c r="G328" t="s">
        <v>751</v>
      </c>
      <c r="H328" t="s">
        <v>752</v>
      </c>
      <c r="I328" t="s">
        <v>567</v>
      </c>
      <c r="N328">
        <v>6.5</v>
      </c>
      <c r="Q328">
        <v>14.06</v>
      </c>
      <c r="AG328">
        <v>9</v>
      </c>
      <c r="AL328">
        <v>0.2</v>
      </c>
      <c r="BG328" t="s">
        <v>311</v>
      </c>
      <c r="BH328" t="s">
        <v>608</v>
      </c>
      <c r="BI328" s="10" t="s">
        <v>688</v>
      </c>
      <c r="BL328" s="10">
        <v>2</v>
      </c>
      <c r="CE328" s="10" t="s">
        <v>755</v>
      </c>
      <c r="CF328" t="s">
        <v>756</v>
      </c>
      <c r="CG328" t="s">
        <v>57</v>
      </c>
      <c r="CH328" t="s">
        <v>753</v>
      </c>
    </row>
    <row r="329" spans="1:86" x14ac:dyDescent="0.3">
      <c r="A329">
        <v>335</v>
      </c>
      <c r="B329" t="s">
        <v>358</v>
      </c>
      <c r="C329" t="s">
        <v>6</v>
      </c>
      <c r="D329" t="s">
        <v>754</v>
      </c>
      <c r="F329" t="s">
        <v>577</v>
      </c>
      <c r="G329" t="s">
        <v>751</v>
      </c>
      <c r="H329" t="s">
        <v>752</v>
      </c>
      <c r="I329" t="s">
        <v>567</v>
      </c>
      <c r="N329">
        <v>6.5</v>
      </c>
      <c r="Q329">
        <v>19.100000000000001</v>
      </c>
      <c r="AG329">
        <v>9</v>
      </c>
      <c r="AL329">
        <v>0.2</v>
      </c>
      <c r="BG329" t="s">
        <v>311</v>
      </c>
      <c r="BH329" t="s">
        <v>608</v>
      </c>
      <c r="BI329" s="10" t="s">
        <v>688</v>
      </c>
      <c r="BL329" s="10">
        <v>3</v>
      </c>
      <c r="CE329" s="10" t="s">
        <v>755</v>
      </c>
      <c r="CF329" t="s">
        <v>756</v>
      </c>
      <c r="CG329" t="s">
        <v>57</v>
      </c>
      <c r="CH329" t="s">
        <v>753</v>
      </c>
    </row>
    <row r="330" spans="1:86" x14ac:dyDescent="0.3">
      <c r="A330">
        <v>336</v>
      </c>
      <c r="B330" t="s">
        <v>358</v>
      </c>
      <c r="C330" t="s">
        <v>6</v>
      </c>
      <c r="D330" t="s">
        <v>754</v>
      </c>
      <c r="F330" t="s">
        <v>577</v>
      </c>
      <c r="G330" t="s">
        <v>751</v>
      </c>
      <c r="H330" t="s">
        <v>752</v>
      </c>
      <c r="I330" t="s">
        <v>567</v>
      </c>
      <c r="N330">
        <v>6.5</v>
      </c>
      <c r="Q330">
        <v>23.97</v>
      </c>
      <c r="AG330">
        <v>9</v>
      </c>
      <c r="AL330">
        <v>0.2</v>
      </c>
      <c r="BG330" t="s">
        <v>311</v>
      </c>
      <c r="BH330" t="s">
        <v>608</v>
      </c>
      <c r="BI330" s="10" t="s">
        <v>688</v>
      </c>
      <c r="BL330" s="10">
        <v>4</v>
      </c>
      <c r="CE330" s="10" t="s">
        <v>755</v>
      </c>
      <c r="CF330" t="s">
        <v>756</v>
      </c>
      <c r="CG330" t="s">
        <v>57</v>
      </c>
      <c r="CH330" t="s">
        <v>753</v>
      </c>
    </row>
    <row r="331" spans="1:86" x14ac:dyDescent="0.3">
      <c r="A331">
        <v>337</v>
      </c>
      <c r="B331" t="s">
        <v>358</v>
      </c>
      <c r="C331" t="s">
        <v>6</v>
      </c>
      <c r="D331" t="s">
        <v>757</v>
      </c>
      <c r="F331" t="s">
        <v>577</v>
      </c>
      <c r="G331" t="s">
        <v>751</v>
      </c>
      <c r="H331" t="s">
        <v>752</v>
      </c>
      <c r="I331" t="s">
        <v>567</v>
      </c>
      <c r="N331">
        <v>6.87</v>
      </c>
      <c r="Q331">
        <v>8.94</v>
      </c>
      <c r="AG331">
        <v>9</v>
      </c>
      <c r="AL331">
        <v>2</v>
      </c>
      <c r="BG331" t="s">
        <v>311</v>
      </c>
      <c r="BH331" t="s">
        <v>608</v>
      </c>
      <c r="BI331" s="10" t="s">
        <v>688</v>
      </c>
      <c r="BL331" s="10">
        <v>1</v>
      </c>
      <c r="CE331" s="10" t="s">
        <v>755</v>
      </c>
      <c r="CF331" t="s">
        <v>756</v>
      </c>
      <c r="CG331" t="s">
        <v>57</v>
      </c>
      <c r="CH331" t="s">
        <v>753</v>
      </c>
    </row>
    <row r="332" spans="1:86" x14ac:dyDescent="0.3">
      <c r="A332">
        <v>338</v>
      </c>
      <c r="B332" t="s">
        <v>358</v>
      </c>
      <c r="C332" t="s">
        <v>6</v>
      </c>
      <c r="D332" t="s">
        <v>757</v>
      </c>
      <c r="F332" t="s">
        <v>577</v>
      </c>
      <c r="G332" t="s">
        <v>751</v>
      </c>
      <c r="H332" t="s">
        <v>752</v>
      </c>
      <c r="I332" t="s">
        <v>567</v>
      </c>
      <c r="N332">
        <v>6.87</v>
      </c>
      <c r="Q332">
        <v>15.5</v>
      </c>
      <c r="AG332">
        <v>9</v>
      </c>
      <c r="AL332">
        <v>2</v>
      </c>
      <c r="BG332" t="s">
        <v>311</v>
      </c>
      <c r="BH332" t="s">
        <v>608</v>
      </c>
      <c r="BI332" s="10" t="s">
        <v>688</v>
      </c>
      <c r="BL332" s="10">
        <v>2</v>
      </c>
      <c r="CE332" s="10" t="s">
        <v>755</v>
      </c>
      <c r="CF332" t="s">
        <v>756</v>
      </c>
      <c r="CG332" t="s">
        <v>57</v>
      </c>
      <c r="CH332" t="s">
        <v>753</v>
      </c>
    </row>
    <row r="333" spans="1:86" x14ac:dyDescent="0.3">
      <c r="A333">
        <v>339</v>
      </c>
      <c r="B333" t="s">
        <v>358</v>
      </c>
      <c r="C333" t="s">
        <v>6</v>
      </c>
      <c r="D333" t="s">
        <v>757</v>
      </c>
      <c r="F333" t="s">
        <v>577</v>
      </c>
      <c r="G333" t="s">
        <v>751</v>
      </c>
      <c r="H333" t="s">
        <v>752</v>
      </c>
      <c r="I333" t="s">
        <v>567</v>
      </c>
      <c r="N333">
        <v>6.87</v>
      </c>
      <c r="Q333">
        <v>20.88</v>
      </c>
      <c r="AG333">
        <v>9</v>
      </c>
      <c r="AL333">
        <v>2</v>
      </c>
      <c r="BG333" t="s">
        <v>311</v>
      </c>
      <c r="BH333" t="s">
        <v>608</v>
      </c>
      <c r="BI333" s="10" t="s">
        <v>688</v>
      </c>
      <c r="BL333" s="10">
        <v>3</v>
      </c>
      <c r="CE333" s="10" t="s">
        <v>755</v>
      </c>
      <c r="CF333" t="s">
        <v>756</v>
      </c>
      <c r="CG333" t="s">
        <v>57</v>
      </c>
      <c r="CH333" t="s">
        <v>753</v>
      </c>
    </row>
    <row r="334" spans="1:86" x14ac:dyDescent="0.3">
      <c r="A334">
        <v>340</v>
      </c>
      <c r="B334" t="s">
        <v>358</v>
      </c>
      <c r="C334" t="s">
        <v>6</v>
      </c>
      <c r="D334" t="s">
        <v>757</v>
      </c>
      <c r="F334" t="s">
        <v>577</v>
      </c>
      <c r="G334" t="s">
        <v>751</v>
      </c>
      <c r="H334" t="s">
        <v>752</v>
      </c>
      <c r="I334" t="s">
        <v>567</v>
      </c>
      <c r="N334">
        <v>6.87</v>
      </c>
      <c r="Q334">
        <v>26</v>
      </c>
      <c r="AG334">
        <v>9</v>
      </c>
      <c r="AL334">
        <v>2</v>
      </c>
      <c r="BG334" t="s">
        <v>311</v>
      </c>
      <c r="BH334" t="s">
        <v>608</v>
      </c>
      <c r="BI334" s="10" t="s">
        <v>688</v>
      </c>
      <c r="BL334" s="10">
        <v>4</v>
      </c>
      <c r="CE334" s="10" t="s">
        <v>755</v>
      </c>
      <c r="CF334" t="s">
        <v>756</v>
      </c>
      <c r="CG334" t="s">
        <v>57</v>
      </c>
      <c r="CH334" t="s">
        <v>753</v>
      </c>
    </row>
    <row r="335" spans="1:86" x14ac:dyDescent="0.3">
      <c r="A335">
        <v>341</v>
      </c>
      <c r="B335" t="s">
        <v>358</v>
      </c>
      <c r="C335" t="s">
        <v>6</v>
      </c>
      <c r="D335" t="s">
        <v>757</v>
      </c>
      <c r="F335" t="s">
        <v>577</v>
      </c>
      <c r="G335" t="s">
        <v>751</v>
      </c>
      <c r="H335" t="s">
        <v>752</v>
      </c>
      <c r="I335" t="s">
        <v>567</v>
      </c>
      <c r="N335">
        <v>6.87</v>
      </c>
      <c r="Q335">
        <v>9.66</v>
      </c>
      <c r="AG335">
        <v>9</v>
      </c>
      <c r="AL335">
        <v>5</v>
      </c>
      <c r="BG335" t="s">
        <v>311</v>
      </c>
      <c r="BH335" t="s">
        <v>608</v>
      </c>
      <c r="BI335" s="10" t="s">
        <v>688</v>
      </c>
      <c r="BL335" s="10">
        <v>1</v>
      </c>
      <c r="CE335" s="10" t="s">
        <v>755</v>
      </c>
      <c r="CF335" t="s">
        <v>756</v>
      </c>
      <c r="CG335" t="s">
        <v>57</v>
      </c>
      <c r="CH335" t="s">
        <v>753</v>
      </c>
    </row>
    <row r="336" spans="1:86" x14ac:dyDescent="0.3">
      <c r="A336">
        <v>342</v>
      </c>
      <c r="B336" t="s">
        <v>358</v>
      </c>
      <c r="C336" t="s">
        <v>6</v>
      </c>
      <c r="D336" t="s">
        <v>757</v>
      </c>
      <c r="F336" t="s">
        <v>577</v>
      </c>
      <c r="G336" t="s">
        <v>751</v>
      </c>
      <c r="H336" t="s">
        <v>752</v>
      </c>
      <c r="I336" t="s">
        <v>567</v>
      </c>
      <c r="N336">
        <v>6.87</v>
      </c>
      <c r="Q336">
        <v>16.329999999999998</v>
      </c>
      <c r="AG336">
        <v>9</v>
      </c>
      <c r="AL336">
        <v>5</v>
      </c>
      <c r="BG336" t="s">
        <v>311</v>
      </c>
      <c r="BH336" t="s">
        <v>608</v>
      </c>
      <c r="BI336" s="10" t="s">
        <v>688</v>
      </c>
      <c r="BL336" s="10">
        <v>2</v>
      </c>
      <c r="CE336" s="10" t="s">
        <v>755</v>
      </c>
      <c r="CF336" t="s">
        <v>756</v>
      </c>
      <c r="CG336" t="s">
        <v>57</v>
      </c>
      <c r="CH336" t="s">
        <v>753</v>
      </c>
    </row>
    <row r="337" spans="1:86" x14ac:dyDescent="0.3">
      <c r="A337">
        <v>343</v>
      </c>
      <c r="B337" t="s">
        <v>358</v>
      </c>
      <c r="C337" t="s">
        <v>6</v>
      </c>
      <c r="D337" t="s">
        <v>757</v>
      </c>
      <c r="F337" t="s">
        <v>577</v>
      </c>
      <c r="G337" t="s">
        <v>751</v>
      </c>
      <c r="H337" t="s">
        <v>752</v>
      </c>
      <c r="I337" t="s">
        <v>567</v>
      </c>
      <c r="N337">
        <v>6.87</v>
      </c>
      <c r="Q337">
        <v>22.03</v>
      </c>
      <c r="AG337">
        <v>9</v>
      </c>
      <c r="AL337">
        <v>5</v>
      </c>
      <c r="BG337" t="s">
        <v>311</v>
      </c>
      <c r="BH337" t="s">
        <v>608</v>
      </c>
      <c r="BI337" s="10" t="s">
        <v>688</v>
      </c>
      <c r="BL337" s="10">
        <v>3</v>
      </c>
      <c r="CE337" s="10" t="s">
        <v>755</v>
      </c>
      <c r="CF337" t="s">
        <v>756</v>
      </c>
      <c r="CG337" t="s">
        <v>57</v>
      </c>
      <c r="CH337" t="s">
        <v>753</v>
      </c>
    </row>
    <row r="338" spans="1:86" x14ac:dyDescent="0.3">
      <c r="A338">
        <v>344</v>
      </c>
      <c r="B338" t="s">
        <v>358</v>
      </c>
      <c r="C338" t="s">
        <v>6</v>
      </c>
      <c r="D338" t="s">
        <v>757</v>
      </c>
      <c r="F338" t="s">
        <v>577</v>
      </c>
      <c r="G338" t="s">
        <v>751</v>
      </c>
      <c r="H338" t="s">
        <v>752</v>
      </c>
      <c r="I338" t="s">
        <v>567</v>
      </c>
      <c r="N338">
        <v>6.87</v>
      </c>
      <c r="Q338">
        <v>27.93</v>
      </c>
      <c r="AG338">
        <v>9</v>
      </c>
      <c r="AL338">
        <v>5</v>
      </c>
      <c r="BG338" t="s">
        <v>311</v>
      </c>
      <c r="BH338" t="s">
        <v>608</v>
      </c>
      <c r="BI338" s="10" t="s">
        <v>688</v>
      </c>
      <c r="BL338" s="10">
        <v>4</v>
      </c>
      <c r="CE338" s="10" t="s">
        <v>755</v>
      </c>
      <c r="CF338" t="s">
        <v>756</v>
      </c>
      <c r="CG338" t="s">
        <v>57</v>
      </c>
      <c r="CH338" t="s">
        <v>753</v>
      </c>
    </row>
    <row r="339" spans="1:86" x14ac:dyDescent="0.3">
      <c r="A339">
        <v>345</v>
      </c>
      <c r="B339" t="s">
        <v>358</v>
      </c>
      <c r="C339" t="s">
        <v>6</v>
      </c>
      <c r="D339" t="s">
        <v>758</v>
      </c>
      <c r="F339" t="s">
        <v>577</v>
      </c>
      <c r="G339" t="s">
        <v>751</v>
      </c>
      <c r="H339" t="s">
        <v>752</v>
      </c>
      <c r="I339" t="s">
        <v>567</v>
      </c>
      <c r="N339">
        <v>9</v>
      </c>
      <c r="Q339">
        <v>13.7</v>
      </c>
      <c r="AG339">
        <v>9</v>
      </c>
      <c r="AL339">
        <v>20</v>
      </c>
      <c r="BG339" t="s">
        <v>311</v>
      </c>
      <c r="BH339" t="s">
        <v>608</v>
      </c>
      <c r="BI339" s="10" t="s">
        <v>688</v>
      </c>
      <c r="BL339" s="10">
        <v>1</v>
      </c>
      <c r="CE339" s="10" t="s">
        <v>755</v>
      </c>
      <c r="CF339" t="s">
        <v>756</v>
      </c>
      <c r="CG339" t="s">
        <v>57</v>
      </c>
      <c r="CH339" t="s">
        <v>753</v>
      </c>
    </row>
    <row r="340" spans="1:86" x14ac:dyDescent="0.3">
      <c r="A340">
        <v>346</v>
      </c>
      <c r="B340" t="s">
        <v>358</v>
      </c>
      <c r="C340" t="s">
        <v>6</v>
      </c>
      <c r="D340" t="s">
        <v>758</v>
      </c>
      <c r="F340" t="s">
        <v>577</v>
      </c>
      <c r="G340" t="s">
        <v>751</v>
      </c>
      <c r="H340" t="s">
        <v>752</v>
      </c>
      <c r="I340" t="s">
        <v>567</v>
      </c>
      <c r="N340">
        <v>9</v>
      </c>
      <c r="Q340">
        <v>28.73</v>
      </c>
      <c r="AG340">
        <v>9</v>
      </c>
      <c r="AL340">
        <v>20</v>
      </c>
      <c r="BG340" t="s">
        <v>311</v>
      </c>
      <c r="BH340" t="s">
        <v>608</v>
      </c>
      <c r="BI340" s="10" t="s">
        <v>688</v>
      </c>
      <c r="BL340" s="10">
        <v>2</v>
      </c>
      <c r="CE340" s="10" t="s">
        <v>755</v>
      </c>
      <c r="CF340" t="s">
        <v>756</v>
      </c>
      <c r="CG340" t="s">
        <v>57</v>
      </c>
      <c r="CH340" t="s">
        <v>753</v>
      </c>
    </row>
    <row r="341" spans="1:86" x14ac:dyDescent="0.3">
      <c r="A341">
        <v>347</v>
      </c>
      <c r="B341" t="s">
        <v>358</v>
      </c>
      <c r="C341" t="s">
        <v>6</v>
      </c>
      <c r="D341" t="s">
        <v>758</v>
      </c>
      <c r="F341" t="s">
        <v>577</v>
      </c>
      <c r="G341" t="s">
        <v>751</v>
      </c>
      <c r="H341" t="s">
        <v>752</v>
      </c>
      <c r="I341" t="s">
        <v>567</v>
      </c>
      <c r="N341">
        <v>9</v>
      </c>
      <c r="Q341">
        <v>41.32</v>
      </c>
      <c r="AG341">
        <v>9</v>
      </c>
      <c r="AL341">
        <v>20</v>
      </c>
      <c r="BG341" t="s">
        <v>311</v>
      </c>
      <c r="BH341" t="s">
        <v>608</v>
      </c>
      <c r="BI341" s="10" t="s">
        <v>688</v>
      </c>
      <c r="BL341" s="10">
        <v>3</v>
      </c>
      <c r="CE341" s="10" t="s">
        <v>755</v>
      </c>
      <c r="CF341" t="s">
        <v>756</v>
      </c>
      <c r="CG341" t="s">
        <v>57</v>
      </c>
      <c r="CH341" t="s">
        <v>753</v>
      </c>
    </row>
    <row r="342" spans="1:86" x14ac:dyDescent="0.3">
      <c r="A342">
        <v>348</v>
      </c>
      <c r="B342" t="s">
        <v>358</v>
      </c>
      <c r="C342" t="s">
        <v>6</v>
      </c>
      <c r="D342" t="s">
        <v>758</v>
      </c>
      <c r="F342" t="s">
        <v>577</v>
      </c>
      <c r="G342" t="s">
        <v>751</v>
      </c>
      <c r="H342" t="s">
        <v>752</v>
      </c>
      <c r="I342" t="s">
        <v>567</v>
      </c>
      <c r="N342">
        <v>9</v>
      </c>
      <c r="Q342">
        <v>51.89</v>
      </c>
      <c r="AG342">
        <v>9</v>
      </c>
      <c r="AL342">
        <v>20</v>
      </c>
      <c r="BG342" t="s">
        <v>311</v>
      </c>
      <c r="BH342" t="s">
        <v>608</v>
      </c>
      <c r="BI342" s="10" t="s">
        <v>688</v>
      </c>
      <c r="BL342" s="10">
        <v>4</v>
      </c>
      <c r="CE342" s="10" t="s">
        <v>755</v>
      </c>
      <c r="CF342" t="s">
        <v>756</v>
      </c>
      <c r="CG342" t="s">
        <v>57</v>
      </c>
      <c r="CH342" t="s">
        <v>753</v>
      </c>
    </row>
    <row r="343" spans="1:86" x14ac:dyDescent="0.3">
      <c r="A343">
        <v>349</v>
      </c>
      <c r="B343" t="s">
        <v>358</v>
      </c>
      <c r="C343" t="s">
        <v>348</v>
      </c>
      <c r="D343" t="s">
        <v>759</v>
      </c>
      <c r="F343" t="s">
        <v>577</v>
      </c>
      <c r="G343" t="s">
        <v>751</v>
      </c>
      <c r="H343" t="s">
        <v>752</v>
      </c>
      <c r="I343" t="s">
        <v>567</v>
      </c>
      <c r="N343">
        <v>15</v>
      </c>
      <c r="Q343">
        <v>969</v>
      </c>
      <c r="AG343">
        <v>7</v>
      </c>
      <c r="AL343">
        <v>2</v>
      </c>
      <c r="BG343" t="s">
        <v>311</v>
      </c>
      <c r="BH343" t="s">
        <v>749</v>
      </c>
      <c r="BI343" s="10" t="s">
        <v>688</v>
      </c>
      <c r="BL343" s="10">
        <v>1</v>
      </c>
      <c r="CE343" s="10" t="s">
        <v>760</v>
      </c>
      <c r="CF343" t="s">
        <v>756</v>
      </c>
      <c r="CG343" t="s">
        <v>57</v>
      </c>
      <c r="CH343" t="s">
        <v>753</v>
      </c>
    </row>
    <row r="344" spans="1:86" x14ac:dyDescent="0.3">
      <c r="A344">
        <v>350</v>
      </c>
      <c r="B344" t="s">
        <v>358</v>
      </c>
      <c r="C344" t="s">
        <v>348</v>
      </c>
      <c r="D344" t="s">
        <v>759</v>
      </c>
      <c r="F344" t="s">
        <v>577</v>
      </c>
      <c r="G344" t="s">
        <v>751</v>
      </c>
      <c r="H344" t="s">
        <v>752</v>
      </c>
      <c r="I344" t="s">
        <v>567</v>
      </c>
      <c r="N344">
        <v>15</v>
      </c>
      <c r="Q344">
        <v>1688</v>
      </c>
      <c r="AG344">
        <v>7</v>
      </c>
      <c r="AL344">
        <v>2</v>
      </c>
      <c r="BG344" t="s">
        <v>311</v>
      </c>
      <c r="BH344" t="s">
        <v>749</v>
      </c>
      <c r="BI344" s="10" t="s">
        <v>688</v>
      </c>
      <c r="BL344" s="10">
        <v>2</v>
      </c>
      <c r="CE344" s="10" t="s">
        <v>760</v>
      </c>
      <c r="CF344" t="s">
        <v>756</v>
      </c>
      <c r="CG344" t="s">
        <v>57</v>
      </c>
      <c r="CH344" t="s">
        <v>753</v>
      </c>
    </row>
    <row r="345" spans="1:86" x14ac:dyDescent="0.3">
      <c r="A345">
        <v>351</v>
      </c>
      <c r="B345" t="s">
        <v>358</v>
      </c>
      <c r="C345" t="s">
        <v>348</v>
      </c>
      <c r="D345" t="s">
        <v>759</v>
      </c>
      <c r="F345" t="s">
        <v>577</v>
      </c>
      <c r="G345" t="s">
        <v>751</v>
      </c>
      <c r="H345" t="s">
        <v>752</v>
      </c>
      <c r="I345" t="s">
        <v>567</v>
      </c>
      <c r="N345">
        <v>15</v>
      </c>
      <c r="Q345">
        <v>2393</v>
      </c>
      <c r="AG345">
        <v>7</v>
      </c>
      <c r="AL345">
        <v>2</v>
      </c>
      <c r="BG345" t="s">
        <v>311</v>
      </c>
      <c r="BH345" t="s">
        <v>749</v>
      </c>
      <c r="BI345" s="10" t="s">
        <v>688</v>
      </c>
      <c r="BL345" s="10">
        <v>3</v>
      </c>
      <c r="CE345" s="10" t="s">
        <v>760</v>
      </c>
      <c r="CF345" t="s">
        <v>756</v>
      </c>
      <c r="CG345" t="s">
        <v>57</v>
      </c>
      <c r="CH345" t="s">
        <v>753</v>
      </c>
    </row>
    <row r="346" spans="1:86" x14ac:dyDescent="0.3">
      <c r="A346">
        <v>352</v>
      </c>
      <c r="B346" t="s">
        <v>358</v>
      </c>
      <c r="C346" t="s">
        <v>348</v>
      </c>
      <c r="D346" t="s">
        <v>759</v>
      </c>
      <c r="F346" t="s">
        <v>577</v>
      </c>
      <c r="G346" t="s">
        <v>751</v>
      </c>
      <c r="H346" t="s">
        <v>752</v>
      </c>
      <c r="I346" t="s">
        <v>567</v>
      </c>
      <c r="N346">
        <v>15</v>
      </c>
      <c r="Q346">
        <v>3082</v>
      </c>
      <c r="AG346">
        <v>7</v>
      </c>
      <c r="AL346">
        <v>2</v>
      </c>
      <c r="BG346" t="s">
        <v>311</v>
      </c>
      <c r="BH346" t="s">
        <v>749</v>
      </c>
      <c r="BI346" s="10" t="s">
        <v>688</v>
      </c>
      <c r="BL346" s="10">
        <v>4</v>
      </c>
      <c r="CE346" s="10" t="s">
        <v>760</v>
      </c>
      <c r="CF346" t="s">
        <v>756</v>
      </c>
      <c r="CG346" t="s">
        <v>57</v>
      </c>
      <c r="CH346" t="s">
        <v>753</v>
      </c>
    </row>
    <row r="347" spans="1:86" x14ac:dyDescent="0.3">
      <c r="A347">
        <v>353</v>
      </c>
      <c r="B347" t="s">
        <v>358</v>
      </c>
      <c r="C347" t="s">
        <v>348</v>
      </c>
      <c r="D347" t="s">
        <v>759</v>
      </c>
      <c r="F347" t="s">
        <v>577</v>
      </c>
      <c r="G347" t="s">
        <v>751</v>
      </c>
      <c r="H347" t="s">
        <v>752</v>
      </c>
      <c r="I347" t="s">
        <v>567</v>
      </c>
      <c r="N347">
        <v>15</v>
      </c>
      <c r="Q347">
        <v>1204</v>
      </c>
      <c r="AG347">
        <v>7</v>
      </c>
      <c r="AL347">
        <v>5</v>
      </c>
      <c r="BG347" t="s">
        <v>311</v>
      </c>
      <c r="BH347" t="s">
        <v>749</v>
      </c>
      <c r="BI347" s="10" t="s">
        <v>688</v>
      </c>
      <c r="BL347" s="10">
        <v>1</v>
      </c>
      <c r="CE347" s="10" t="s">
        <v>760</v>
      </c>
      <c r="CF347" t="s">
        <v>756</v>
      </c>
      <c r="CG347" t="s">
        <v>57</v>
      </c>
      <c r="CH347" t="s">
        <v>753</v>
      </c>
    </row>
    <row r="348" spans="1:86" x14ac:dyDescent="0.3">
      <c r="A348">
        <v>354</v>
      </c>
      <c r="B348" t="s">
        <v>358</v>
      </c>
      <c r="C348" t="s">
        <v>348</v>
      </c>
      <c r="D348" t="s">
        <v>759</v>
      </c>
      <c r="F348" t="s">
        <v>577</v>
      </c>
      <c r="G348" t="s">
        <v>751</v>
      </c>
      <c r="H348" t="s">
        <v>752</v>
      </c>
      <c r="I348" t="s">
        <v>567</v>
      </c>
      <c r="N348">
        <v>15</v>
      </c>
      <c r="Q348">
        <v>1903</v>
      </c>
      <c r="AG348">
        <v>7</v>
      </c>
      <c r="AL348">
        <v>5</v>
      </c>
      <c r="BG348" t="s">
        <v>311</v>
      </c>
      <c r="BH348" t="s">
        <v>749</v>
      </c>
      <c r="BI348" s="10" t="s">
        <v>688</v>
      </c>
      <c r="BL348" s="10">
        <v>2</v>
      </c>
      <c r="CE348" s="10" t="s">
        <v>760</v>
      </c>
      <c r="CF348" t="s">
        <v>756</v>
      </c>
      <c r="CG348" t="s">
        <v>57</v>
      </c>
      <c r="CH348" t="s">
        <v>753</v>
      </c>
    </row>
    <row r="349" spans="1:86" x14ac:dyDescent="0.3">
      <c r="A349">
        <v>355</v>
      </c>
      <c r="B349" t="s">
        <v>358</v>
      </c>
      <c r="C349" t="s">
        <v>348</v>
      </c>
      <c r="D349" t="s">
        <v>759</v>
      </c>
      <c r="F349" t="s">
        <v>577</v>
      </c>
      <c r="G349" t="s">
        <v>751</v>
      </c>
      <c r="H349" t="s">
        <v>752</v>
      </c>
      <c r="I349" t="s">
        <v>567</v>
      </c>
      <c r="N349">
        <v>15</v>
      </c>
      <c r="Q349">
        <v>2638</v>
      </c>
      <c r="AG349">
        <v>7</v>
      </c>
      <c r="AL349">
        <v>5</v>
      </c>
      <c r="BG349" t="s">
        <v>311</v>
      </c>
      <c r="BH349" t="s">
        <v>749</v>
      </c>
      <c r="BI349" s="10" t="s">
        <v>688</v>
      </c>
      <c r="BL349" s="10">
        <v>3</v>
      </c>
      <c r="CE349" s="10" t="s">
        <v>760</v>
      </c>
      <c r="CF349" t="s">
        <v>756</v>
      </c>
      <c r="CG349" t="s">
        <v>57</v>
      </c>
      <c r="CH349" t="s">
        <v>753</v>
      </c>
    </row>
    <row r="350" spans="1:86" x14ac:dyDescent="0.3">
      <c r="A350">
        <v>356</v>
      </c>
      <c r="B350" t="s">
        <v>358</v>
      </c>
      <c r="C350" t="s">
        <v>348</v>
      </c>
      <c r="D350" t="s">
        <v>759</v>
      </c>
      <c r="F350" t="s">
        <v>577</v>
      </c>
      <c r="G350" t="s">
        <v>751</v>
      </c>
      <c r="H350" t="s">
        <v>752</v>
      </c>
      <c r="I350" t="s">
        <v>567</v>
      </c>
      <c r="N350">
        <v>15</v>
      </c>
      <c r="Q350">
        <v>3337</v>
      </c>
      <c r="AG350">
        <v>7</v>
      </c>
      <c r="AL350">
        <v>5</v>
      </c>
      <c r="BG350" t="s">
        <v>311</v>
      </c>
      <c r="BH350" t="s">
        <v>749</v>
      </c>
      <c r="BI350" s="10" t="s">
        <v>688</v>
      </c>
      <c r="BL350" s="10">
        <v>4</v>
      </c>
      <c r="CE350" s="10" t="s">
        <v>760</v>
      </c>
      <c r="CF350" t="s">
        <v>756</v>
      </c>
      <c r="CG350" t="s">
        <v>57</v>
      </c>
      <c r="CH350" t="s">
        <v>753</v>
      </c>
    </row>
    <row r="351" spans="1:86" x14ac:dyDescent="0.3">
      <c r="A351">
        <v>357</v>
      </c>
      <c r="B351" t="s">
        <v>358</v>
      </c>
      <c r="C351" t="s">
        <v>348</v>
      </c>
      <c r="D351" t="s">
        <v>761</v>
      </c>
      <c r="F351" t="s">
        <v>577</v>
      </c>
      <c r="G351" t="s">
        <v>751</v>
      </c>
      <c r="H351" t="s">
        <v>752</v>
      </c>
      <c r="I351" t="s">
        <v>567</v>
      </c>
      <c r="N351">
        <v>16</v>
      </c>
      <c r="Q351">
        <v>1375</v>
      </c>
      <c r="AG351">
        <v>7</v>
      </c>
      <c r="AL351">
        <v>20</v>
      </c>
      <c r="BG351" t="s">
        <v>311</v>
      </c>
      <c r="BH351" t="s">
        <v>749</v>
      </c>
      <c r="BI351" s="10" t="s">
        <v>688</v>
      </c>
      <c r="BL351" s="10">
        <v>1</v>
      </c>
      <c r="CE351" s="10" t="s">
        <v>760</v>
      </c>
      <c r="CF351" t="s">
        <v>756</v>
      </c>
      <c r="CG351" t="s">
        <v>57</v>
      </c>
      <c r="CH351" t="s">
        <v>753</v>
      </c>
    </row>
    <row r="352" spans="1:86" x14ac:dyDescent="0.3">
      <c r="A352">
        <v>358</v>
      </c>
      <c r="B352" t="s">
        <v>358</v>
      </c>
      <c r="C352" t="s">
        <v>348</v>
      </c>
      <c r="D352" t="s">
        <v>761</v>
      </c>
      <c r="F352" t="s">
        <v>577</v>
      </c>
      <c r="G352" t="s">
        <v>751</v>
      </c>
      <c r="H352" t="s">
        <v>752</v>
      </c>
      <c r="I352" t="s">
        <v>567</v>
      </c>
      <c r="N352">
        <v>16</v>
      </c>
      <c r="Q352">
        <v>2175</v>
      </c>
      <c r="AG352">
        <v>7</v>
      </c>
      <c r="AL352">
        <v>20</v>
      </c>
      <c r="BG352" t="s">
        <v>311</v>
      </c>
      <c r="BH352" t="s">
        <v>749</v>
      </c>
      <c r="BI352" s="10" t="s">
        <v>688</v>
      </c>
      <c r="BL352" s="10">
        <v>2</v>
      </c>
      <c r="CE352" s="10" t="s">
        <v>760</v>
      </c>
      <c r="CF352" t="s">
        <v>756</v>
      </c>
      <c r="CG352" t="s">
        <v>57</v>
      </c>
      <c r="CH352" t="s">
        <v>753</v>
      </c>
    </row>
    <row r="353" spans="1:86" x14ac:dyDescent="0.3">
      <c r="A353">
        <v>359</v>
      </c>
      <c r="B353" t="s">
        <v>358</v>
      </c>
      <c r="C353" t="s">
        <v>348</v>
      </c>
      <c r="D353" t="s">
        <v>761</v>
      </c>
      <c r="F353" t="s">
        <v>577</v>
      </c>
      <c r="G353" t="s">
        <v>751</v>
      </c>
      <c r="H353" t="s">
        <v>752</v>
      </c>
      <c r="I353" t="s">
        <v>567</v>
      </c>
      <c r="N353">
        <v>16</v>
      </c>
      <c r="Q353">
        <v>2970</v>
      </c>
      <c r="AG353">
        <v>7</v>
      </c>
      <c r="AL353">
        <v>20</v>
      </c>
      <c r="BG353" t="s">
        <v>311</v>
      </c>
      <c r="BH353" t="s">
        <v>749</v>
      </c>
      <c r="BI353" s="10" t="s">
        <v>688</v>
      </c>
      <c r="BL353" s="10">
        <v>3</v>
      </c>
      <c r="CE353" s="10" t="s">
        <v>760</v>
      </c>
      <c r="CF353" t="s">
        <v>756</v>
      </c>
      <c r="CG353" t="s">
        <v>57</v>
      </c>
      <c r="CH353" t="s">
        <v>753</v>
      </c>
    </row>
    <row r="354" spans="1:86" x14ac:dyDescent="0.3">
      <c r="A354">
        <v>360</v>
      </c>
      <c r="B354" t="s">
        <v>358</v>
      </c>
      <c r="C354" t="s">
        <v>348</v>
      </c>
      <c r="D354" t="s">
        <v>761</v>
      </c>
      <c r="F354" t="s">
        <v>577</v>
      </c>
      <c r="G354" t="s">
        <v>751</v>
      </c>
      <c r="H354" t="s">
        <v>752</v>
      </c>
      <c r="I354" t="s">
        <v>567</v>
      </c>
      <c r="N354">
        <v>16</v>
      </c>
      <c r="Q354">
        <v>3757</v>
      </c>
      <c r="AG354">
        <v>7</v>
      </c>
      <c r="AL354">
        <v>20</v>
      </c>
      <c r="BG354" t="s">
        <v>311</v>
      </c>
      <c r="BH354" t="s">
        <v>749</v>
      </c>
      <c r="BI354" s="10" t="s">
        <v>688</v>
      </c>
      <c r="BL354" s="10">
        <v>4</v>
      </c>
      <c r="CE354" s="10" t="s">
        <v>760</v>
      </c>
      <c r="CF354" t="s">
        <v>756</v>
      </c>
      <c r="CG354" t="s">
        <v>57</v>
      </c>
      <c r="CH354" t="s">
        <v>753</v>
      </c>
    </row>
    <row r="355" spans="1:86" x14ac:dyDescent="0.3">
      <c r="A355">
        <v>361</v>
      </c>
      <c r="B355" t="s">
        <v>358</v>
      </c>
      <c r="C355" t="s">
        <v>348</v>
      </c>
      <c r="D355" t="s">
        <v>759</v>
      </c>
      <c r="F355" t="s">
        <v>577</v>
      </c>
      <c r="G355" t="s">
        <v>751</v>
      </c>
      <c r="H355" t="s">
        <v>752</v>
      </c>
      <c r="I355" t="s">
        <v>567</v>
      </c>
      <c r="N355">
        <v>15</v>
      </c>
      <c r="Q355">
        <v>1482</v>
      </c>
      <c r="AG355">
        <v>8</v>
      </c>
      <c r="AL355">
        <v>2</v>
      </c>
      <c r="BG355" t="s">
        <v>311</v>
      </c>
      <c r="BH355" t="s">
        <v>749</v>
      </c>
      <c r="BI355" s="10" t="s">
        <v>688</v>
      </c>
      <c r="BL355" s="10">
        <v>1</v>
      </c>
      <c r="CE355" s="10" t="s">
        <v>760</v>
      </c>
      <c r="CF355" t="s">
        <v>756</v>
      </c>
      <c r="CG355" t="s">
        <v>57</v>
      </c>
      <c r="CH355" t="s">
        <v>753</v>
      </c>
    </row>
    <row r="356" spans="1:86" x14ac:dyDescent="0.3">
      <c r="A356">
        <v>362</v>
      </c>
      <c r="B356" t="s">
        <v>358</v>
      </c>
      <c r="C356" t="s">
        <v>348</v>
      </c>
      <c r="D356" t="s">
        <v>759</v>
      </c>
      <c r="F356" t="s">
        <v>577</v>
      </c>
      <c r="G356" t="s">
        <v>751</v>
      </c>
      <c r="H356" t="s">
        <v>752</v>
      </c>
      <c r="I356" t="s">
        <v>567</v>
      </c>
      <c r="N356">
        <v>15</v>
      </c>
      <c r="Q356">
        <v>2326</v>
      </c>
      <c r="AG356">
        <v>8</v>
      </c>
      <c r="AL356">
        <v>2</v>
      </c>
      <c r="BG356" t="s">
        <v>311</v>
      </c>
      <c r="BH356" t="s">
        <v>749</v>
      </c>
      <c r="BI356" s="10" t="s">
        <v>688</v>
      </c>
      <c r="BL356" s="10">
        <v>2</v>
      </c>
      <c r="CE356" s="10" t="s">
        <v>760</v>
      </c>
      <c r="CF356" t="s">
        <v>756</v>
      </c>
      <c r="CG356" t="s">
        <v>57</v>
      </c>
      <c r="CH356" t="s">
        <v>753</v>
      </c>
    </row>
    <row r="357" spans="1:86" x14ac:dyDescent="0.3">
      <c r="A357">
        <v>363</v>
      </c>
      <c r="B357" t="s">
        <v>358</v>
      </c>
      <c r="C357" t="s">
        <v>348</v>
      </c>
      <c r="D357" t="s">
        <v>759</v>
      </c>
      <c r="F357" t="s">
        <v>577</v>
      </c>
      <c r="G357" t="s">
        <v>751</v>
      </c>
      <c r="H357" t="s">
        <v>752</v>
      </c>
      <c r="I357" t="s">
        <v>567</v>
      </c>
      <c r="N357">
        <v>15</v>
      </c>
      <c r="Q357">
        <v>3160</v>
      </c>
      <c r="AG357">
        <v>8</v>
      </c>
      <c r="AL357">
        <v>2</v>
      </c>
      <c r="BG357" t="s">
        <v>311</v>
      </c>
      <c r="BH357" t="s">
        <v>749</v>
      </c>
      <c r="BI357" s="10" t="s">
        <v>688</v>
      </c>
      <c r="BL357" s="10">
        <v>3</v>
      </c>
      <c r="CE357" s="10" t="s">
        <v>760</v>
      </c>
      <c r="CF357" t="s">
        <v>756</v>
      </c>
      <c r="CG357" t="s">
        <v>57</v>
      </c>
      <c r="CH357" t="s">
        <v>753</v>
      </c>
    </row>
    <row r="358" spans="1:86" x14ac:dyDescent="0.3">
      <c r="A358">
        <v>364</v>
      </c>
      <c r="B358" t="s">
        <v>358</v>
      </c>
      <c r="C358" t="s">
        <v>348</v>
      </c>
      <c r="D358" t="s">
        <v>759</v>
      </c>
      <c r="F358" t="s">
        <v>577</v>
      </c>
      <c r="G358" t="s">
        <v>751</v>
      </c>
      <c r="H358" t="s">
        <v>752</v>
      </c>
      <c r="I358" t="s">
        <v>567</v>
      </c>
      <c r="N358">
        <v>15</v>
      </c>
      <c r="Q358">
        <v>3949</v>
      </c>
      <c r="AG358">
        <v>8</v>
      </c>
      <c r="AL358">
        <v>2</v>
      </c>
      <c r="BG358" t="s">
        <v>311</v>
      </c>
      <c r="BH358" t="s">
        <v>749</v>
      </c>
      <c r="BI358" s="10" t="s">
        <v>688</v>
      </c>
      <c r="BL358" s="10">
        <v>4</v>
      </c>
      <c r="CE358" s="10" t="s">
        <v>760</v>
      </c>
      <c r="CF358" t="s">
        <v>756</v>
      </c>
      <c r="CG358" t="s">
        <v>57</v>
      </c>
      <c r="CH358" t="s">
        <v>753</v>
      </c>
    </row>
    <row r="359" spans="1:86" x14ac:dyDescent="0.3">
      <c r="A359">
        <v>365</v>
      </c>
      <c r="B359" t="s">
        <v>358</v>
      </c>
      <c r="C359" t="s">
        <v>348</v>
      </c>
      <c r="D359" t="s">
        <v>759</v>
      </c>
      <c r="F359" t="s">
        <v>577</v>
      </c>
      <c r="G359" t="s">
        <v>751</v>
      </c>
      <c r="H359" t="s">
        <v>752</v>
      </c>
      <c r="I359" t="s">
        <v>567</v>
      </c>
      <c r="N359">
        <v>15</v>
      </c>
      <c r="Q359">
        <v>1590</v>
      </c>
      <c r="AG359">
        <v>8</v>
      </c>
      <c r="AL359">
        <v>5</v>
      </c>
      <c r="BG359" t="s">
        <v>311</v>
      </c>
      <c r="BH359" t="s">
        <v>749</v>
      </c>
      <c r="BI359" s="10" t="s">
        <v>688</v>
      </c>
      <c r="BL359" s="10">
        <v>1</v>
      </c>
      <c r="CE359" s="10" t="s">
        <v>760</v>
      </c>
      <c r="CF359" t="s">
        <v>756</v>
      </c>
      <c r="CG359" t="s">
        <v>57</v>
      </c>
      <c r="CH359" t="s">
        <v>753</v>
      </c>
    </row>
    <row r="360" spans="1:86" x14ac:dyDescent="0.3">
      <c r="A360">
        <v>366</v>
      </c>
      <c r="B360" t="s">
        <v>358</v>
      </c>
      <c r="C360" t="s">
        <v>348</v>
      </c>
      <c r="D360" t="s">
        <v>759</v>
      </c>
      <c r="F360" t="s">
        <v>577</v>
      </c>
      <c r="G360" t="s">
        <v>751</v>
      </c>
      <c r="H360" t="s">
        <v>752</v>
      </c>
      <c r="I360" t="s">
        <v>567</v>
      </c>
      <c r="N360">
        <v>15</v>
      </c>
      <c r="Q360">
        <v>2546</v>
      </c>
      <c r="AG360">
        <v>8</v>
      </c>
      <c r="AL360">
        <v>5</v>
      </c>
      <c r="BG360" t="s">
        <v>311</v>
      </c>
      <c r="BH360" t="s">
        <v>749</v>
      </c>
      <c r="BI360" s="10" t="s">
        <v>688</v>
      </c>
      <c r="BL360" s="10">
        <v>2</v>
      </c>
      <c r="CE360" s="10" t="s">
        <v>760</v>
      </c>
      <c r="CF360" t="s">
        <v>756</v>
      </c>
      <c r="CG360" t="s">
        <v>57</v>
      </c>
      <c r="CH360" t="s">
        <v>753</v>
      </c>
    </row>
    <row r="361" spans="1:86" x14ac:dyDescent="0.3">
      <c r="A361">
        <v>367</v>
      </c>
      <c r="B361" t="s">
        <v>358</v>
      </c>
      <c r="C361" t="s">
        <v>348</v>
      </c>
      <c r="D361" t="s">
        <v>759</v>
      </c>
      <c r="F361" t="s">
        <v>577</v>
      </c>
      <c r="G361" t="s">
        <v>751</v>
      </c>
      <c r="H361" t="s">
        <v>752</v>
      </c>
      <c r="I361" t="s">
        <v>567</v>
      </c>
      <c r="N361">
        <v>15</v>
      </c>
      <c r="Q361">
        <v>3490</v>
      </c>
      <c r="AG361">
        <v>8</v>
      </c>
      <c r="AL361">
        <v>5</v>
      </c>
      <c r="BG361" t="s">
        <v>311</v>
      </c>
      <c r="BH361" t="s">
        <v>749</v>
      </c>
      <c r="BI361" s="10" t="s">
        <v>688</v>
      </c>
      <c r="BL361" s="10">
        <v>3</v>
      </c>
      <c r="CE361" s="10" t="s">
        <v>760</v>
      </c>
      <c r="CF361" t="s">
        <v>756</v>
      </c>
      <c r="CG361" t="s">
        <v>57</v>
      </c>
      <c r="CH361" t="s">
        <v>753</v>
      </c>
    </row>
    <row r="362" spans="1:86" x14ac:dyDescent="0.3">
      <c r="A362">
        <v>368</v>
      </c>
      <c r="B362" t="s">
        <v>358</v>
      </c>
      <c r="C362" t="s">
        <v>348</v>
      </c>
      <c r="D362" t="s">
        <v>759</v>
      </c>
      <c r="F362" t="s">
        <v>577</v>
      </c>
      <c r="G362" t="s">
        <v>751</v>
      </c>
      <c r="H362" t="s">
        <v>752</v>
      </c>
      <c r="I362" t="s">
        <v>567</v>
      </c>
      <c r="N362">
        <v>15</v>
      </c>
      <c r="Q362">
        <v>4426</v>
      </c>
      <c r="AG362">
        <v>8</v>
      </c>
      <c r="AL362">
        <v>5</v>
      </c>
      <c r="BG362" t="s">
        <v>311</v>
      </c>
      <c r="BH362" t="s">
        <v>749</v>
      </c>
      <c r="BI362" s="10" t="s">
        <v>688</v>
      </c>
      <c r="BL362" s="10">
        <v>4</v>
      </c>
      <c r="CE362" s="10" t="s">
        <v>760</v>
      </c>
      <c r="CF362" t="s">
        <v>756</v>
      </c>
      <c r="CG362" t="s">
        <v>57</v>
      </c>
      <c r="CH362" t="s">
        <v>753</v>
      </c>
    </row>
    <row r="363" spans="1:86" x14ac:dyDescent="0.3">
      <c r="A363">
        <v>369</v>
      </c>
      <c r="B363" t="s">
        <v>358</v>
      </c>
      <c r="C363" t="s">
        <v>348</v>
      </c>
      <c r="D363" t="s">
        <v>761</v>
      </c>
      <c r="F363" t="s">
        <v>577</v>
      </c>
      <c r="G363" t="s">
        <v>751</v>
      </c>
      <c r="H363" t="s">
        <v>752</v>
      </c>
      <c r="I363" t="s">
        <v>567</v>
      </c>
      <c r="N363">
        <v>16</v>
      </c>
      <c r="Q363">
        <v>3148</v>
      </c>
      <c r="AG363">
        <v>8</v>
      </c>
      <c r="AL363">
        <v>20</v>
      </c>
      <c r="BG363" t="s">
        <v>311</v>
      </c>
      <c r="BH363" t="s">
        <v>749</v>
      </c>
      <c r="BI363" s="10" t="s">
        <v>688</v>
      </c>
      <c r="BL363" s="10">
        <v>1</v>
      </c>
      <c r="CE363" s="10" t="s">
        <v>760</v>
      </c>
      <c r="CF363" t="s">
        <v>756</v>
      </c>
      <c r="CG363" t="s">
        <v>57</v>
      </c>
      <c r="CH363" t="s">
        <v>753</v>
      </c>
    </row>
    <row r="364" spans="1:86" x14ac:dyDescent="0.3">
      <c r="A364">
        <v>370</v>
      </c>
      <c r="B364" t="s">
        <v>358</v>
      </c>
      <c r="C364" t="s">
        <v>348</v>
      </c>
      <c r="D364" t="s">
        <v>761</v>
      </c>
      <c r="F364" t="s">
        <v>577</v>
      </c>
      <c r="G364" t="s">
        <v>751</v>
      </c>
      <c r="H364" t="s">
        <v>752</v>
      </c>
      <c r="I364" t="s">
        <v>567</v>
      </c>
      <c r="N364">
        <v>16</v>
      </c>
      <c r="Q364">
        <v>4070</v>
      </c>
      <c r="AG364">
        <v>8</v>
      </c>
      <c r="AL364">
        <v>20</v>
      </c>
      <c r="BG364" t="s">
        <v>311</v>
      </c>
      <c r="BH364" t="s">
        <v>749</v>
      </c>
      <c r="BI364" s="10" t="s">
        <v>688</v>
      </c>
      <c r="BL364" s="10">
        <v>2</v>
      </c>
      <c r="CE364" s="10" t="s">
        <v>760</v>
      </c>
      <c r="CF364" t="s">
        <v>756</v>
      </c>
      <c r="CG364" t="s">
        <v>57</v>
      </c>
      <c r="CH364" t="s">
        <v>753</v>
      </c>
    </row>
    <row r="365" spans="1:86" x14ac:dyDescent="0.3">
      <c r="A365">
        <v>371</v>
      </c>
      <c r="B365" t="s">
        <v>358</v>
      </c>
      <c r="C365" t="s">
        <v>348</v>
      </c>
      <c r="D365" t="s">
        <v>761</v>
      </c>
      <c r="F365" t="s">
        <v>577</v>
      </c>
      <c r="G365" t="s">
        <v>751</v>
      </c>
      <c r="H365" t="s">
        <v>752</v>
      </c>
      <c r="I365" t="s">
        <v>567</v>
      </c>
      <c r="N365">
        <v>16</v>
      </c>
      <c r="Q365">
        <v>4904</v>
      </c>
      <c r="AG365">
        <v>8</v>
      </c>
      <c r="AL365">
        <v>20</v>
      </c>
      <c r="BG365" t="s">
        <v>311</v>
      </c>
      <c r="BH365" t="s">
        <v>749</v>
      </c>
      <c r="BI365" s="10" t="s">
        <v>688</v>
      </c>
      <c r="BL365" s="10">
        <v>3</v>
      </c>
      <c r="CE365" s="10" t="s">
        <v>760</v>
      </c>
      <c r="CF365" t="s">
        <v>756</v>
      </c>
      <c r="CG365" t="s">
        <v>57</v>
      </c>
      <c r="CH365" t="s">
        <v>753</v>
      </c>
    </row>
    <row r="366" spans="1:86" x14ac:dyDescent="0.3">
      <c r="A366">
        <v>372</v>
      </c>
      <c r="B366" t="s">
        <v>358</v>
      </c>
      <c r="C366" t="s">
        <v>348</v>
      </c>
      <c r="D366" t="s">
        <v>761</v>
      </c>
      <c r="F366" t="s">
        <v>577</v>
      </c>
      <c r="G366" t="s">
        <v>751</v>
      </c>
      <c r="H366" t="s">
        <v>752</v>
      </c>
      <c r="I366" t="s">
        <v>567</v>
      </c>
      <c r="N366">
        <v>16</v>
      </c>
      <c r="Q366">
        <v>5900</v>
      </c>
      <c r="AG366">
        <v>8</v>
      </c>
      <c r="AL366">
        <v>20</v>
      </c>
      <c r="BG366" t="s">
        <v>311</v>
      </c>
      <c r="BH366" t="s">
        <v>749</v>
      </c>
      <c r="BI366" s="10" t="s">
        <v>688</v>
      </c>
      <c r="BL366" s="10">
        <v>4</v>
      </c>
      <c r="CE366" s="10" t="s">
        <v>760</v>
      </c>
      <c r="CF366" t="s">
        <v>756</v>
      </c>
      <c r="CG366" t="s">
        <v>57</v>
      </c>
      <c r="CH366" t="s">
        <v>753</v>
      </c>
    </row>
    <row r="367" spans="1:86" x14ac:dyDescent="0.3">
      <c r="A367">
        <v>373</v>
      </c>
      <c r="B367" t="s">
        <v>358</v>
      </c>
      <c r="C367" t="s">
        <v>348</v>
      </c>
      <c r="D367" t="s">
        <v>759</v>
      </c>
      <c r="F367" t="s">
        <v>577</v>
      </c>
      <c r="G367" t="s">
        <v>751</v>
      </c>
      <c r="H367" t="s">
        <v>752</v>
      </c>
      <c r="I367" t="s">
        <v>567</v>
      </c>
      <c r="N367">
        <v>15</v>
      </c>
      <c r="Q367">
        <v>2992</v>
      </c>
      <c r="AG367">
        <v>9</v>
      </c>
      <c r="AL367">
        <v>2</v>
      </c>
      <c r="BG367" t="s">
        <v>311</v>
      </c>
      <c r="BH367" t="s">
        <v>749</v>
      </c>
      <c r="BI367" s="10" t="s">
        <v>688</v>
      </c>
      <c r="BL367" s="10">
        <v>1</v>
      </c>
      <c r="CE367" s="10" t="s">
        <v>760</v>
      </c>
      <c r="CF367" t="s">
        <v>756</v>
      </c>
      <c r="CG367" t="s">
        <v>57</v>
      </c>
      <c r="CH367" t="s">
        <v>753</v>
      </c>
    </row>
    <row r="368" spans="1:86" x14ac:dyDescent="0.3">
      <c r="A368">
        <v>374</v>
      </c>
      <c r="B368" t="s">
        <v>358</v>
      </c>
      <c r="C368" t="s">
        <v>348</v>
      </c>
      <c r="D368" t="s">
        <v>759</v>
      </c>
      <c r="F368" t="s">
        <v>577</v>
      </c>
      <c r="G368" t="s">
        <v>751</v>
      </c>
      <c r="H368" t="s">
        <v>752</v>
      </c>
      <c r="I368" t="s">
        <v>567</v>
      </c>
      <c r="N368">
        <v>15</v>
      </c>
      <c r="Q368">
        <v>4592</v>
      </c>
      <c r="AG368">
        <v>9</v>
      </c>
      <c r="AL368">
        <v>2</v>
      </c>
      <c r="BG368" t="s">
        <v>311</v>
      </c>
      <c r="BH368" t="s">
        <v>749</v>
      </c>
      <c r="BI368" s="10" t="s">
        <v>688</v>
      </c>
      <c r="BL368" s="10">
        <v>2</v>
      </c>
      <c r="CE368" s="10" t="s">
        <v>760</v>
      </c>
      <c r="CF368" t="s">
        <v>756</v>
      </c>
      <c r="CG368" t="s">
        <v>57</v>
      </c>
      <c r="CH368" t="s">
        <v>753</v>
      </c>
    </row>
    <row r="369" spans="1:86" x14ac:dyDescent="0.3">
      <c r="A369">
        <v>375</v>
      </c>
      <c r="B369" t="s">
        <v>358</v>
      </c>
      <c r="C369" t="s">
        <v>348</v>
      </c>
      <c r="D369" t="s">
        <v>759</v>
      </c>
      <c r="F369" t="s">
        <v>577</v>
      </c>
      <c r="G369" t="s">
        <v>751</v>
      </c>
      <c r="H369" t="s">
        <v>752</v>
      </c>
      <c r="I369" t="s">
        <v>567</v>
      </c>
      <c r="N369">
        <v>15</v>
      </c>
      <c r="Q369">
        <v>5716</v>
      </c>
      <c r="AG369">
        <v>9</v>
      </c>
      <c r="AL369">
        <v>2</v>
      </c>
      <c r="BG369" t="s">
        <v>311</v>
      </c>
      <c r="BH369" t="s">
        <v>749</v>
      </c>
      <c r="BI369" s="10" t="s">
        <v>688</v>
      </c>
      <c r="BL369" s="10">
        <v>3</v>
      </c>
      <c r="CE369" s="10" t="s">
        <v>760</v>
      </c>
      <c r="CF369" t="s">
        <v>756</v>
      </c>
      <c r="CG369" t="s">
        <v>57</v>
      </c>
      <c r="CH369" t="s">
        <v>753</v>
      </c>
    </row>
    <row r="370" spans="1:86" x14ac:dyDescent="0.3">
      <c r="A370">
        <v>376</v>
      </c>
      <c r="B370" t="s">
        <v>358</v>
      </c>
      <c r="C370" t="s">
        <v>348</v>
      </c>
      <c r="D370" t="s">
        <v>759</v>
      </c>
      <c r="F370" t="s">
        <v>577</v>
      </c>
      <c r="G370" t="s">
        <v>751</v>
      </c>
      <c r="H370" t="s">
        <v>752</v>
      </c>
      <c r="I370" t="s">
        <v>567</v>
      </c>
      <c r="N370">
        <v>15</v>
      </c>
      <c r="Q370">
        <v>6746</v>
      </c>
      <c r="AG370">
        <v>9</v>
      </c>
      <c r="AL370">
        <v>2</v>
      </c>
      <c r="BG370" t="s">
        <v>311</v>
      </c>
      <c r="BH370" t="s">
        <v>749</v>
      </c>
      <c r="BI370" s="10" t="s">
        <v>688</v>
      </c>
      <c r="BL370" s="10">
        <v>4</v>
      </c>
      <c r="CE370" s="10" t="s">
        <v>760</v>
      </c>
      <c r="CF370" t="s">
        <v>756</v>
      </c>
      <c r="CG370" t="s">
        <v>57</v>
      </c>
      <c r="CH370" t="s">
        <v>753</v>
      </c>
    </row>
    <row r="371" spans="1:86" x14ac:dyDescent="0.3">
      <c r="A371">
        <v>377</v>
      </c>
      <c r="B371" t="s">
        <v>358</v>
      </c>
      <c r="C371" t="s">
        <v>348</v>
      </c>
      <c r="D371" t="s">
        <v>759</v>
      </c>
      <c r="F371" t="s">
        <v>577</v>
      </c>
      <c r="G371" t="s">
        <v>751</v>
      </c>
      <c r="H371" t="s">
        <v>752</v>
      </c>
      <c r="I371" t="s">
        <v>567</v>
      </c>
      <c r="N371">
        <v>15</v>
      </c>
      <c r="Q371">
        <v>4364</v>
      </c>
      <c r="AG371">
        <v>9</v>
      </c>
      <c r="AL371">
        <v>5</v>
      </c>
      <c r="BG371" t="s">
        <v>311</v>
      </c>
      <c r="BH371" t="s">
        <v>749</v>
      </c>
      <c r="BI371" s="10" t="s">
        <v>688</v>
      </c>
      <c r="BL371" s="10">
        <v>1</v>
      </c>
      <c r="CE371" s="10" t="s">
        <v>760</v>
      </c>
      <c r="CF371" t="s">
        <v>756</v>
      </c>
      <c r="CG371" t="s">
        <v>57</v>
      </c>
      <c r="CH371" t="s">
        <v>753</v>
      </c>
    </row>
    <row r="372" spans="1:86" x14ac:dyDescent="0.3">
      <c r="A372">
        <v>378</v>
      </c>
      <c r="B372" t="s">
        <v>358</v>
      </c>
      <c r="C372" t="s">
        <v>348</v>
      </c>
      <c r="D372" t="s">
        <v>759</v>
      </c>
      <c r="F372" t="s">
        <v>577</v>
      </c>
      <c r="G372" t="s">
        <v>751</v>
      </c>
      <c r="H372" t="s">
        <v>752</v>
      </c>
      <c r="I372" t="s">
        <v>567</v>
      </c>
      <c r="N372">
        <v>15</v>
      </c>
      <c r="Q372">
        <v>6032</v>
      </c>
      <c r="AG372">
        <v>9</v>
      </c>
      <c r="AL372">
        <v>5</v>
      </c>
      <c r="BG372" t="s">
        <v>311</v>
      </c>
      <c r="BH372" t="s">
        <v>749</v>
      </c>
      <c r="BI372" s="10" t="s">
        <v>688</v>
      </c>
      <c r="BL372" s="10">
        <v>2</v>
      </c>
      <c r="CE372" s="10" t="s">
        <v>760</v>
      </c>
      <c r="CF372" t="s">
        <v>756</v>
      </c>
      <c r="CG372" t="s">
        <v>57</v>
      </c>
      <c r="CH372" t="s">
        <v>753</v>
      </c>
    </row>
    <row r="373" spans="1:86" x14ac:dyDescent="0.3">
      <c r="A373">
        <v>379</v>
      </c>
      <c r="B373" t="s">
        <v>358</v>
      </c>
      <c r="C373" t="s">
        <v>348</v>
      </c>
      <c r="D373" t="s">
        <v>759</v>
      </c>
      <c r="F373" t="s">
        <v>577</v>
      </c>
      <c r="G373" t="s">
        <v>751</v>
      </c>
      <c r="H373" t="s">
        <v>752</v>
      </c>
      <c r="I373" t="s">
        <v>567</v>
      </c>
      <c r="N373">
        <v>15</v>
      </c>
      <c r="Q373">
        <v>7511</v>
      </c>
      <c r="AG373">
        <v>9</v>
      </c>
      <c r="AL373">
        <v>5</v>
      </c>
      <c r="BG373" t="s">
        <v>311</v>
      </c>
      <c r="BH373" t="s">
        <v>749</v>
      </c>
      <c r="BI373" s="10" t="s">
        <v>688</v>
      </c>
      <c r="BL373" s="10">
        <v>3</v>
      </c>
      <c r="CE373" s="10" t="s">
        <v>760</v>
      </c>
      <c r="CF373" t="s">
        <v>756</v>
      </c>
      <c r="CG373" t="s">
        <v>57</v>
      </c>
      <c r="CH373" t="s">
        <v>753</v>
      </c>
    </row>
    <row r="374" spans="1:86" x14ac:dyDescent="0.3">
      <c r="A374">
        <v>380</v>
      </c>
      <c r="B374" t="s">
        <v>358</v>
      </c>
      <c r="C374" t="s">
        <v>348</v>
      </c>
      <c r="D374" t="s">
        <v>759</v>
      </c>
      <c r="F374" t="s">
        <v>577</v>
      </c>
      <c r="G374" t="s">
        <v>751</v>
      </c>
      <c r="H374" t="s">
        <v>752</v>
      </c>
      <c r="I374" t="s">
        <v>567</v>
      </c>
      <c r="N374">
        <v>15</v>
      </c>
      <c r="Q374">
        <v>9096</v>
      </c>
      <c r="AG374">
        <v>9</v>
      </c>
      <c r="AL374">
        <v>5</v>
      </c>
      <c r="BG374" t="s">
        <v>311</v>
      </c>
      <c r="BH374" t="s">
        <v>749</v>
      </c>
      <c r="BI374" s="10" t="s">
        <v>688</v>
      </c>
      <c r="BL374" s="10">
        <v>4</v>
      </c>
      <c r="CE374" s="10" t="s">
        <v>760</v>
      </c>
      <c r="CF374" t="s">
        <v>756</v>
      </c>
      <c r="CG374" t="s">
        <v>57</v>
      </c>
      <c r="CH374" t="s">
        <v>753</v>
      </c>
    </row>
    <row r="375" spans="1:86" x14ac:dyDescent="0.3">
      <c r="A375">
        <v>381</v>
      </c>
      <c r="B375" t="s">
        <v>358</v>
      </c>
      <c r="C375" t="s">
        <v>348</v>
      </c>
      <c r="D375" t="s">
        <v>761</v>
      </c>
      <c r="F375" t="s">
        <v>577</v>
      </c>
      <c r="G375" t="s">
        <v>751</v>
      </c>
      <c r="H375" t="s">
        <v>752</v>
      </c>
      <c r="I375" t="s">
        <v>567</v>
      </c>
      <c r="N375">
        <v>16</v>
      </c>
      <c r="Q375">
        <v>6001</v>
      </c>
      <c r="AG375">
        <v>9</v>
      </c>
      <c r="AL375">
        <v>20</v>
      </c>
      <c r="BG375" t="s">
        <v>311</v>
      </c>
      <c r="BH375" t="s">
        <v>749</v>
      </c>
      <c r="BI375" s="10" t="s">
        <v>688</v>
      </c>
      <c r="BL375" s="10">
        <v>1</v>
      </c>
      <c r="CE375" s="10" t="s">
        <v>760</v>
      </c>
      <c r="CF375" t="s">
        <v>756</v>
      </c>
      <c r="CG375" t="s">
        <v>57</v>
      </c>
      <c r="CH375" t="s">
        <v>753</v>
      </c>
    </row>
    <row r="376" spans="1:86" x14ac:dyDescent="0.3">
      <c r="A376">
        <v>382</v>
      </c>
      <c r="B376" t="s">
        <v>358</v>
      </c>
      <c r="C376" t="s">
        <v>348</v>
      </c>
      <c r="D376" t="s">
        <v>761</v>
      </c>
      <c r="F376" t="s">
        <v>577</v>
      </c>
      <c r="G376" t="s">
        <v>751</v>
      </c>
      <c r="H376" t="s">
        <v>752</v>
      </c>
      <c r="I376" t="s">
        <v>567</v>
      </c>
      <c r="N376">
        <v>16</v>
      </c>
      <c r="Q376">
        <v>8114</v>
      </c>
      <c r="AG376">
        <v>9</v>
      </c>
      <c r="AL376">
        <v>20</v>
      </c>
      <c r="BG376" t="s">
        <v>311</v>
      </c>
      <c r="BH376" t="s">
        <v>749</v>
      </c>
      <c r="BI376" s="10" t="s">
        <v>688</v>
      </c>
      <c r="BL376" s="10">
        <v>2</v>
      </c>
      <c r="CE376" s="10" t="s">
        <v>760</v>
      </c>
      <c r="CF376" t="s">
        <v>756</v>
      </c>
      <c r="CG376" t="s">
        <v>57</v>
      </c>
      <c r="CH376" t="s">
        <v>753</v>
      </c>
    </row>
    <row r="377" spans="1:86" x14ac:dyDescent="0.3">
      <c r="A377">
        <v>383</v>
      </c>
      <c r="B377" t="s">
        <v>358</v>
      </c>
      <c r="C377" t="s">
        <v>348</v>
      </c>
      <c r="D377" t="s">
        <v>761</v>
      </c>
      <c r="F377" t="s">
        <v>577</v>
      </c>
      <c r="G377" t="s">
        <v>751</v>
      </c>
      <c r="H377" t="s">
        <v>752</v>
      </c>
      <c r="I377" t="s">
        <v>567</v>
      </c>
      <c r="N377">
        <v>16</v>
      </c>
      <c r="Q377">
        <v>9544</v>
      </c>
      <c r="AG377">
        <v>9</v>
      </c>
      <c r="AL377">
        <v>20</v>
      </c>
      <c r="BG377" t="s">
        <v>311</v>
      </c>
      <c r="BH377" t="s">
        <v>749</v>
      </c>
      <c r="BI377" s="10" t="s">
        <v>688</v>
      </c>
      <c r="BL377" s="10">
        <v>3</v>
      </c>
      <c r="CE377" s="10" t="s">
        <v>760</v>
      </c>
      <c r="CF377" t="s">
        <v>756</v>
      </c>
      <c r="CG377" t="s">
        <v>57</v>
      </c>
      <c r="CH377" t="s">
        <v>753</v>
      </c>
    </row>
    <row r="378" spans="1:86" x14ac:dyDescent="0.3">
      <c r="A378">
        <v>384</v>
      </c>
      <c r="B378" t="s">
        <v>358</v>
      </c>
      <c r="C378" t="s">
        <v>348</v>
      </c>
      <c r="D378" t="s">
        <v>761</v>
      </c>
      <c r="F378" t="s">
        <v>577</v>
      </c>
      <c r="G378" t="s">
        <v>751</v>
      </c>
      <c r="H378" t="s">
        <v>752</v>
      </c>
      <c r="I378" t="s">
        <v>567</v>
      </c>
      <c r="N378">
        <v>16</v>
      </c>
      <c r="Q378">
        <v>10718</v>
      </c>
      <c r="AG378">
        <v>9</v>
      </c>
      <c r="AL378">
        <v>20</v>
      </c>
      <c r="BG378" t="s">
        <v>311</v>
      </c>
      <c r="BH378" t="s">
        <v>749</v>
      </c>
      <c r="BI378" s="10" t="s">
        <v>688</v>
      </c>
      <c r="BL378" s="10">
        <v>4</v>
      </c>
      <c r="CE378" s="10" t="s">
        <v>760</v>
      </c>
      <c r="CF378" t="s">
        <v>756</v>
      </c>
      <c r="CG378" t="s">
        <v>57</v>
      </c>
      <c r="CH378" t="s">
        <v>753</v>
      </c>
    </row>
    <row r="379" spans="1:86" x14ac:dyDescent="0.3">
      <c r="A379">
        <v>385</v>
      </c>
      <c r="B379" t="s">
        <v>358</v>
      </c>
      <c r="C379" t="s">
        <v>348</v>
      </c>
      <c r="D379" t="s">
        <v>762</v>
      </c>
      <c r="F379" t="s">
        <v>577</v>
      </c>
      <c r="Q379">
        <v>0.84</v>
      </c>
      <c r="BG379" t="s">
        <v>311</v>
      </c>
      <c r="BH379" t="s">
        <v>763</v>
      </c>
      <c r="BL379" s="10">
        <v>2</v>
      </c>
      <c r="CF379" t="s">
        <v>764</v>
      </c>
      <c r="CG379" t="s">
        <v>57</v>
      </c>
      <c r="CH379" t="s">
        <v>765</v>
      </c>
    </row>
    <row r="380" spans="1:86" x14ac:dyDescent="0.3">
      <c r="A380">
        <v>386</v>
      </c>
      <c r="B380" t="s">
        <v>358</v>
      </c>
      <c r="C380" t="s">
        <v>348</v>
      </c>
      <c r="D380" t="s">
        <v>762</v>
      </c>
      <c r="F380" t="s">
        <v>577</v>
      </c>
      <c r="Q380">
        <v>436</v>
      </c>
      <c r="BG380" t="s">
        <v>311</v>
      </c>
      <c r="BH380" t="s">
        <v>763</v>
      </c>
      <c r="BL380" s="10">
        <v>2</v>
      </c>
      <c r="CG380" t="s">
        <v>57</v>
      </c>
      <c r="CH380" t="s">
        <v>765</v>
      </c>
    </row>
    <row r="381" spans="1:86" x14ac:dyDescent="0.3">
      <c r="A381">
        <v>387</v>
      </c>
      <c r="B381" t="s">
        <v>358</v>
      </c>
      <c r="C381" t="s">
        <v>348</v>
      </c>
      <c r="D381" t="s">
        <v>766</v>
      </c>
      <c r="F381" t="s">
        <v>577</v>
      </c>
      <c r="Q381">
        <v>0.86</v>
      </c>
      <c r="BG381" t="s">
        <v>311</v>
      </c>
      <c r="BH381" t="s">
        <v>763</v>
      </c>
      <c r="BL381" s="10">
        <v>1</v>
      </c>
      <c r="CF381" t="s">
        <v>764</v>
      </c>
      <c r="CG381" t="s">
        <v>57</v>
      </c>
      <c r="CH381" t="s">
        <v>765</v>
      </c>
    </row>
    <row r="382" spans="1:86" x14ac:dyDescent="0.3">
      <c r="A382">
        <v>388</v>
      </c>
      <c r="B382" t="s">
        <v>358</v>
      </c>
      <c r="C382" t="s">
        <v>348</v>
      </c>
      <c r="D382" t="s">
        <v>766</v>
      </c>
      <c r="F382" t="s">
        <v>577</v>
      </c>
      <c r="Q382">
        <v>85</v>
      </c>
      <c r="BG382" t="s">
        <v>311</v>
      </c>
      <c r="BH382" t="s">
        <v>763</v>
      </c>
      <c r="BL382" s="10">
        <v>1</v>
      </c>
      <c r="CG382" t="s">
        <v>57</v>
      </c>
      <c r="CH382" t="s">
        <v>765</v>
      </c>
    </row>
    <row r="383" spans="1:86" x14ac:dyDescent="0.3">
      <c r="A383">
        <v>389</v>
      </c>
      <c r="B383" t="s">
        <v>358</v>
      </c>
      <c r="C383" t="s">
        <v>348</v>
      </c>
      <c r="D383" t="s">
        <v>767</v>
      </c>
      <c r="F383" t="s">
        <v>577</v>
      </c>
      <c r="Q383">
        <v>1.28</v>
      </c>
      <c r="BG383" t="s">
        <v>311</v>
      </c>
      <c r="BH383" t="s">
        <v>763</v>
      </c>
      <c r="BL383" s="10">
        <v>1</v>
      </c>
      <c r="CF383" t="s">
        <v>764</v>
      </c>
      <c r="CG383" t="s">
        <v>57</v>
      </c>
      <c r="CH383" t="s">
        <v>765</v>
      </c>
    </row>
    <row r="384" spans="1:86" x14ac:dyDescent="0.3">
      <c r="A384">
        <v>390</v>
      </c>
      <c r="B384" t="s">
        <v>358</v>
      </c>
      <c r="C384" t="s">
        <v>348</v>
      </c>
      <c r="D384" t="s">
        <v>767</v>
      </c>
      <c r="F384" t="s">
        <v>577</v>
      </c>
      <c r="Q384">
        <v>122</v>
      </c>
      <c r="BG384" t="s">
        <v>311</v>
      </c>
      <c r="BH384" t="s">
        <v>763</v>
      </c>
      <c r="BL384" s="10">
        <v>1</v>
      </c>
      <c r="BM384" s="52">
        <v>11</v>
      </c>
      <c r="CG384" t="s">
        <v>57</v>
      </c>
      <c r="CH384" t="s">
        <v>765</v>
      </c>
    </row>
    <row r="385" spans="1:86" x14ac:dyDescent="0.3">
      <c r="A385">
        <v>391</v>
      </c>
      <c r="B385" t="s">
        <v>360</v>
      </c>
      <c r="C385" t="s">
        <v>330</v>
      </c>
      <c r="D385" t="s">
        <v>768</v>
      </c>
      <c r="E385" t="s">
        <v>769</v>
      </c>
      <c r="F385" t="s">
        <v>577</v>
      </c>
      <c r="I385" t="s">
        <v>770</v>
      </c>
      <c r="J385" t="s">
        <v>771</v>
      </c>
      <c r="K385">
        <v>0.4</v>
      </c>
      <c r="BG385" t="s">
        <v>312</v>
      </c>
      <c r="BH385" t="s">
        <v>314</v>
      </c>
      <c r="BJ385" s="10" t="s">
        <v>629</v>
      </c>
      <c r="BK385" s="10" t="s">
        <v>137</v>
      </c>
      <c r="BL385" s="10">
        <v>5.8677620246502</v>
      </c>
      <c r="BM385" s="52">
        <v>11</v>
      </c>
      <c r="BS385" s="10">
        <f>LOG(5900000)</f>
        <v>6.7708520116421438</v>
      </c>
      <c r="BY385" s="10">
        <f>LOG(8)</f>
        <v>0.90308998699194354</v>
      </c>
      <c r="CG385" t="s">
        <v>651</v>
      </c>
      <c r="CH385" t="s">
        <v>726</v>
      </c>
    </row>
    <row r="386" spans="1:86" x14ac:dyDescent="0.3">
      <c r="A386">
        <v>392</v>
      </c>
      <c r="B386" t="s">
        <v>360</v>
      </c>
      <c r="C386" t="s">
        <v>330</v>
      </c>
      <c r="D386" t="s">
        <v>768</v>
      </c>
      <c r="E386" t="s">
        <v>769</v>
      </c>
      <c r="F386" t="s">
        <v>577</v>
      </c>
      <c r="I386" t="s">
        <v>770</v>
      </c>
      <c r="J386" t="s">
        <v>771</v>
      </c>
      <c r="K386">
        <v>0.4</v>
      </c>
      <c r="BG386" t="s">
        <v>312</v>
      </c>
      <c r="BH386" t="s">
        <v>314</v>
      </c>
      <c r="BJ386" s="10" t="s">
        <v>629</v>
      </c>
      <c r="BK386" s="10" t="s">
        <v>137</v>
      </c>
      <c r="BL386" s="10">
        <v>6.4313637641589869</v>
      </c>
      <c r="BM386" s="52">
        <v>11</v>
      </c>
      <c r="BS386" s="10">
        <f>LOG(5400000)</f>
        <v>6.7323937598229682</v>
      </c>
      <c r="BY386" s="10">
        <f>LOG(2)</f>
        <v>0.3010299956639812</v>
      </c>
      <c r="CG386" t="s">
        <v>651</v>
      </c>
      <c r="CH386" t="s">
        <v>726</v>
      </c>
    </row>
    <row r="387" spans="1:86" x14ac:dyDescent="0.3">
      <c r="A387">
        <v>393</v>
      </c>
      <c r="B387" t="s">
        <v>360</v>
      </c>
      <c r="C387" t="s">
        <v>330</v>
      </c>
      <c r="D387" t="s">
        <v>768</v>
      </c>
      <c r="E387" t="s">
        <v>769</v>
      </c>
      <c r="F387" t="s">
        <v>577</v>
      </c>
      <c r="I387" t="s">
        <v>770</v>
      </c>
      <c r="J387" t="s">
        <v>771</v>
      </c>
      <c r="K387">
        <v>0.4</v>
      </c>
      <c r="BG387" t="s">
        <v>312</v>
      </c>
      <c r="BH387" t="s">
        <v>314</v>
      </c>
      <c r="BJ387" s="10" t="s">
        <v>629</v>
      </c>
      <c r="BK387" s="10" t="s">
        <v>137</v>
      </c>
      <c r="BL387" s="10">
        <v>5.4771212547196626</v>
      </c>
      <c r="BM387" s="52">
        <v>11</v>
      </c>
      <c r="BS387" s="10">
        <f>LOG(600000)</f>
        <v>5.7781512503836439</v>
      </c>
      <c r="BY387" s="10">
        <f>LOG(2)</f>
        <v>0.3010299956639812</v>
      </c>
      <c r="CG387" t="s">
        <v>651</v>
      </c>
      <c r="CH387" t="s">
        <v>726</v>
      </c>
    </row>
    <row r="388" spans="1:86" x14ac:dyDescent="0.3">
      <c r="A388">
        <v>394</v>
      </c>
      <c r="B388" t="s">
        <v>360</v>
      </c>
      <c r="C388" t="s">
        <v>330</v>
      </c>
      <c r="D388" t="s">
        <v>768</v>
      </c>
      <c r="E388" t="s">
        <v>769</v>
      </c>
      <c r="F388" t="s">
        <v>577</v>
      </c>
      <c r="I388" t="s">
        <v>770</v>
      </c>
      <c r="J388" t="s">
        <v>771</v>
      </c>
      <c r="K388">
        <v>0.4</v>
      </c>
      <c r="BG388" t="s">
        <v>312</v>
      </c>
      <c r="BH388" t="s">
        <v>314</v>
      </c>
      <c r="BJ388" s="10" t="s">
        <v>629</v>
      </c>
      <c r="BK388" s="10" t="s">
        <v>137</v>
      </c>
      <c r="BL388" s="10">
        <v>5.3679767852945943</v>
      </c>
      <c r="BM388" s="52">
        <v>11</v>
      </c>
      <c r="BS388" s="10">
        <f>LOG(700000)</f>
        <v>5.8450980400142569</v>
      </c>
      <c r="BY388" s="10">
        <f>LOG(3)</f>
        <v>0.47712125471966244</v>
      </c>
      <c r="CG388" t="s">
        <v>651</v>
      </c>
      <c r="CH388" t="s">
        <v>726</v>
      </c>
    </row>
    <row r="389" spans="1:86" x14ac:dyDescent="0.3">
      <c r="A389">
        <v>395</v>
      </c>
      <c r="B389" t="s">
        <v>360</v>
      </c>
      <c r="C389" t="s">
        <v>330</v>
      </c>
      <c r="D389" t="s">
        <v>768</v>
      </c>
      <c r="E389" t="s">
        <v>769</v>
      </c>
      <c r="F389" t="s">
        <v>577</v>
      </c>
      <c r="I389" t="s">
        <v>770</v>
      </c>
      <c r="J389" t="s">
        <v>771</v>
      </c>
      <c r="K389">
        <v>0.4</v>
      </c>
      <c r="BG389" t="s">
        <v>312</v>
      </c>
      <c r="BH389" t="s">
        <v>314</v>
      </c>
      <c r="BJ389" s="10" t="s">
        <v>629</v>
      </c>
      <c r="BK389" s="10" t="s">
        <v>137</v>
      </c>
      <c r="BL389" s="10">
        <v>6.0791812460476251</v>
      </c>
      <c r="BM389" s="52">
        <v>11</v>
      </c>
      <c r="BS389" s="10">
        <f>LOG(1200000)</f>
        <v>6.0791812460476251</v>
      </c>
      <c r="BY389" s="10">
        <f>LOG(1)</f>
        <v>0</v>
      </c>
      <c r="CG389" t="s">
        <v>651</v>
      </c>
      <c r="CH389" t="s">
        <v>726</v>
      </c>
    </row>
    <row r="390" spans="1:86" x14ac:dyDescent="0.3">
      <c r="A390">
        <v>396</v>
      </c>
      <c r="B390" t="s">
        <v>360</v>
      </c>
      <c r="C390" t="s">
        <v>330</v>
      </c>
      <c r="D390" t="s">
        <v>768</v>
      </c>
      <c r="E390" t="s">
        <v>769</v>
      </c>
      <c r="F390" t="s">
        <v>577</v>
      </c>
      <c r="I390" t="s">
        <v>770</v>
      </c>
      <c r="J390" t="s">
        <v>771</v>
      </c>
      <c r="K390">
        <v>0.4</v>
      </c>
      <c r="BG390" t="s">
        <v>312</v>
      </c>
      <c r="BH390" t="s">
        <v>314</v>
      </c>
      <c r="BJ390" s="10" t="s">
        <v>629</v>
      </c>
      <c r="BK390" s="10" t="s">
        <v>137</v>
      </c>
      <c r="BL390" s="10">
        <v>5.5440680443502757</v>
      </c>
      <c r="BM390" s="52">
        <v>11</v>
      </c>
      <c r="BS390" s="10">
        <f>LOG(700000)</f>
        <v>5.8450980400142569</v>
      </c>
      <c r="BY390" s="10">
        <f>LOG(2)</f>
        <v>0.3010299956639812</v>
      </c>
      <c r="CG390" t="s">
        <v>651</v>
      </c>
      <c r="CH390" t="s">
        <v>726</v>
      </c>
    </row>
    <row r="391" spans="1:86" x14ac:dyDescent="0.3">
      <c r="A391">
        <v>397</v>
      </c>
      <c r="B391" t="s">
        <v>360</v>
      </c>
      <c r="C391" t="s">
        <v>330</v>
      </c>
      <c r="D391" t="s">
        <v>768</v>
      </c>
      <c r="E391" t="s">
        <v>769</v>
      </c>
      <c r="F391" t="s">
        <v>577</v>
      </c>
      <c r="I391" t="s">
        <v>770</v>
      </c>
      <c r="J391" t="s">
        <v>771</v>
      </c>
      <c r="K391">
        <v>0.4</v>
      </c>
      <c r="BG391" t="s">
        <v>312</v>
      </c>
      <c r="BH391" t="s">
        <v>314</v>
      </c>
      <c r="BJ391" s="10" t="s">
        <v>629</v>
      </c>
      <c r="BK391" s="10" t="s">
        <v>137</v>
      </c>
      <c r="BL391" s="10">
        <v>6.6334684555795862</v>
      </c>
      <c r="BM391" s="52">
        <v>11</v>
      </c>
      <c r="BR391" s="10" t="s">
        <v>842</v>
      </c>
      <c r="BS391" s="10">
        <f>LOG(4300000)</f>
        <v>6.6334684555795862</v>
      </c>
      <c r="BY391" s="10">
        <f t="shared" ref="BY391:BY401" si="23">LOG(1)</f>
        <v>0</v>
      </c>
      <c r="CG391" t="s">
        <v>651</v>
      </c>
      <c r="CH391" t="s">
        <v>726</v>
      </c>
    </row>
    <row r="392" spans="1:86" x14ac:dyDescent="0.3">
      <c r="A392">
        <v>398</v>
      </c>
      <c r="B392" t="s">
        <v>360</v>
      </c>
      <c r="C392" t="s">
        <v>330</v>
      </c>
      <c r="D392" t="s">
        <v>768</v>
      </c>
      <c r="E392" t="s">
        <v>769</v>
      </c>
      <c r="F392" t="s">
        <v>577</v>
      </c>
      <c r="I392" t="s">
        <v>770</v>
      </c>
      <c r="J392" t="s">
        <v>771</v>
      </c>
      <c r="K392">
        <v>0.4</v>
      </c>
      <c r="BG392" t="s">
        <v>312</v>
      </c>
      <c r="BH392" t="s">
        <v>314</v>
      </c>
      <c r="BJ392" s="10" t="s">
        <v>629</v>
      </c>
      <c r="BK392" s="10" t="s">
        <v>137</v>
      </c>
      <c r="BL392" s="10">
        <v>6.1139433523068369</v>
      </c>
      <c r="BM392" s="52">
        <v>11</v>
      </c>
      <c r="BR392" s="10" t="s">
        <v>842</v>
      </c>
      <c r="BS392" s="10">
        <f>LOG(1300000)</f>
        <v>6.1139433523068369</v>
      </c>
      <c r="BY392" s="10">
        <f t="shared" si="23"/>
        <v>0</v>
      </c>
      <c r="CG392" t="s">
        <v>651</v>
      </c>
      <c r="CH392" t="s">
        <v>726</v>
      </c>
    </row>
    <row r="393" spans="1:86" x14ac:dyDescent="0.3">
      <c r="A393">
        <v>399</v>
      </c>
      <c r="B393" t="s">
        <v>360</v>
      </c>
      <c r="C393" t="s">
        <v>330</v>
      </c>
      <c r="D393" t="s">
        <v>768</v>
      </c>
      <c r="E393" t="s">
        <v>769</v>
      </c>
      <c r="F393" t="s">
        <v>577</v>
      </c>
      <c r="I393" t="s">
        <v>770</v>
      </c>
      <c r="J393" t="s">
        <v>771</v>
      </c>
      <c r="K393">
        <v>0.4</v>
      </c>
      <c r="BG393" t="s">
        <v>312</v>
      </c>
      <c r="BH393" t="s">
        <v>314</v>
      </c>
      <c r="BJ393" s="10" t="s">
        <v>629</v>
      </c>
      <c r="BK393" s="10" t="s">
        <v>137</v>
      </c>
      <c r="BL393" s="10">
        <v>6.8450980400142569</v>
      </c>
      <c r="BM393" s="52">
        <v>11</v>
      </c>
      <c r="BR393" s="10" t="s">
        <v>842</v>
      </c>
      <c r="BS393" s="10">
        <f>LOG(7000000)</f>
        <v>6.8450980400142569</v>
      </c>
      <c r="BY393" s="10">
        <f t="shared" si="23"/>
        <v>0</v>
      </c>
      <c r="CG393" t="s">
        <v>651</v>
      </c>
      <c r="CH393" t="s">
        <v>726</v>
      </c>
    </row>
    <row r="394" spans="1:86" x14ac:dyDescent="0.3">
      <c r="A394">
        <v>400</v>
      </c>
      <c r="B394" t="s">
        <v>360</v>
      </c>
      <c r="C394" t="s">
        <v>330</v>
      </c>
      <c r="D394" t="s">
        <v>768</v>
      </c>
      <c r="E394" t="s">
        <v>769</v>
      </c>
      <c r="F394" t="s">
        <v>577</v>
      </c>
      <c r="I394" t="s">
        <v>770</v>
      </c>
      <c r="J394" t="s">
        <v>771</v>
      </c>
      <c r="K394">
        <v>0.4</v>
      </c>
      <c r="BG394" t="s">
        <v>312</v>
      </c>
      <c r="BH394" t="s">
        <v>314</v>
      </c>
      <c r="BJ394" s="10" t="s">
        <v>629</v>
      </c>
      <c r="BK394" s="10" t="s">
        <v>137</v>
      </c>
      <c r="BL394" s="10">
        <v>6.7323937598229682</v>
      </c>
      <c r="BM394" s="52">
        <v>11</v>
      </c>
      <c r="BR394" s="10" t="s">
        <v>842</v>
      </c>
      <c r="BS394" s="10">
        <f>LOG(5400000)</f>
        <v>6.7323937598229682</v>
      </c>
      <c r="BY394" s="10">
        <f t="shared" si="23"/>
        <v>0</v>
      </c>
      <c r="CG394" t="s">
        <v>651</v>
      </c>
      <c r="CH394" t="s">
        <v>726</v>
      </c>
    </row>
    <row r="395" spans="1:86" x14ac:dyDescent="0.3">
      <c r="A395">
        <v>401</v>
      </c>
      <c r="B395" t="s">
        <v>360</v>
      </c>
      <c r="C395" t="s">
        <v>330</v>
      </c>
      <c r="D395" t="s">
        <v>768</v>
      </c>
      <c r="E395" t="s">
        <v>769</v>
      </c>
      <c r="F395" t="s">
        <v>577</v>
      </c>
      <c r="I395" t="s">
        <v>770</v>
      </c>
      <c r="J395" t="s">
        <v>771</v>
      </c>
      <c r="K395">
        <v>0.4</v>
      </c>
      <c r="BG395" t="s">
        <v>312</v>
      </c>
      <c r="BH395" t="s">
        <v>314</v>
      </c>
      <c r="BJ395" s="10" t="s">
        <v>629</v>
      </c>
      <c r="BK395" s="10" t="s">
        <v>137</v>
      </c>
      <c r="BL395" s="10">
        <v>6.6127838567197355</v>
      </c>
      <c r="BM395" s="52">
        <v>11</v>
      </c>
      <c r="BR395" s="10" t="s">
        <v>842</v>
      </c>
      <c r="BS395" s="10">
        <f>LOG(4100000)</f>
        <v>6.6127838567197355</v>
      </c>
      <c r="BY395" s="10">
        <f t="shared" si="23"/>
        <v>0</v>
      </c>
      <c r="CG395" t="s">
        <v>651</v>
      </c>
      <c r="CH395" t="s">
        <v>726</v>
      </c>
    </row>
    <row r="396" spans="1:86" x14ac:dyDescent="0.3">
      <c r="A396">
        <v>402</v>
      </c>
      <c r="B396" t="s">
        <v>360</v>
      </c>
      <c r="C396" t="s">
        <v>329</v>
      </c>
      <c r="D396" t="s">
        <v>772</v>
      </c>
      <c r="E396" t="s">
        <v>769</v>
      </c>
      <c r="F396" t="s">
        <v>577</v>
      </c>
      <c r="G396" t="s">
        <v>773</v>
      </c>
      <c r="I396" t="s">
        <v>770</v>
      </c>
      <c r="BG396" t="s">
        <v>312</v>
      </c>
      <c r="BH396" t="s">
        <v>314</v>
      </c>
      <c r="BJ396" s="10" t="s">
        <v>629</v>
      </c>
      <c r="BK396" s="10" t="s">
        <v>137</v>
      </c>
      <c r="BL396" s="10">
        <v>0.90308998699194354</v>
      </c>
      <c r="BM396" s="52">
        <v>11</v>
      </c>
      <c r="BR396" s="10" t="s">
        <v>842</v>
      </c>
      <c r="BS396" s="10">
        <f>LOG(8)</f>
        <v>0.90308998699194354</v>
      </c>
      <c r="BY396" s="10">
        <f t="shared" si="23"/>
        <v>0</v>
      </c>
      <c r="CG396" t="s">
        <v>651</v>
      </c>
      <c r="CH396" t="s">
        <v>726</v>
      </c>
    </row>
    <row r="397" spans="1:86" x14ac:dyDescent="0.3">
      <c r="A397">
        <v>403</v>
      </c>
      <c r="B397" t="s">
        <v>360</v>
      </c>
      <c r="C397" t="s">
        <v>329</v>
      </c>
      <c r="D397" t="s">
        <v>772</v>
      </c>
      <c r="E397" t="s">
        <v>769</v>
      </c>
      <c r="F397" t="s">
        <v>577</v>
      </c>
      <c r="G397" t="s">
        <v>773</v>
      </c>
      <c r="I397" t="s">
        <v>770</v>
      </c>
      <c r="BG397" t="s">
        <v>312</v>
      </c>
      <c r="BH397" t="s">
        <v>314</v>
      </c>
      <c r="BJ397" s="10" t="s">
        <v>629</v>
      </c>
      <c r="BK397" s="10" t="s">
        <v>137</v>
      </c>
      <c r="BL397" s="10">
        <v>0.30102999566398125</v>
      </c>
      <c r="BM397" s="52">
        <v>11</v>
      </c>
      <c r="BR397" s="10" t="s">
        <v>842</v>
      </c>
      <c r="BS397" s="10">
        <f>LOG(2)</f>
        <v>0.3010299956639812</v>
      </c>
      <c r="BY397" s="10">
        <f t="shared" si="23"/>
        <v>0</v>
      </c>
      <c r="CG397" t="s">
        <v>651</v>
      </c>
      <c r="CH397" t="s">
        <v>726</v>
      </c>
    </row>
    <row r="398" spans="1:86" x14ac:dyDescent="0.3">
      <c r="A398">
        <v>404</v>
      </c>
      <c r="B398" t="s">
        <v>360</v>
      </c>
      <c r="C398" t="s">
        <v>329</v>
      </c>
      <c r="D398" t="s">
        <v>772</v>
      </c>
      <c r="E398" t="s">
        <v>769</v>
      </c>
      <c r="F398" t="s">
        <v>577</v>
      </c>
      <c r="G398" t="s">
        <v>773</v>
      </c>
      <c r="I398" t="s">
        <v>770</v>
      </c>
      <c r="BG398" t="s">
        <v>312</v>
      </c>
      <c r="BH398" t="s">
        <v>314</v>
      </c>
      <c r="BJ398" s="10" t="s">
        <v>629</v>
      </c>
      <c r="BK398" s="10" t="s">
        <v>137</v>
      </c>
      <c r="BL398" s="10">
        <v>0.30102999566398125</v>
      </c>
      <c r="BM398" s="52">
        <v>11</v>
      </c>
      <c r="BR398" s="10" t="s">
        <v>842</v>
      </c>
      <c r="BS398" s="10">
        <f>LOG(2)</f>
        <v>0.3010299956639812</v>
      </c>
      <c r="BY398" s="10">
        <f t="shared" si="23"/>
        <v>0</v>
      </c>
      <c r="CG398" t="s">
        <v>651</v>
      </c>
      <c r="CH398" t="s">
        <v>726</v>
      </c>
    </row>
    <row r="399" spans="1:86" x14ac:dyDescent="0.3">
      <c r="A399">
        <v>405</v>
      </c>
      <c r="B399" t="s">
        <v>360</v>
      </c>
      <c r="C399" t="s">
        <v>329</v>
      </c>
      <c r="D399" t="s">
        <v>772</v>
      </c>
      <c r="E399" t="s">
        <v>769</v>
      </c>
      <c r="F399" t="s">
        <v>577</v>
      </c>
      <c r="G399" t="s">
        <v>773</v>
      </c>
      <c r="I399" t="s">
        <v>770</v>
      </c>
      <c r="BG399" t="s">
        <v>312</v>
      </c>
      <c r="BH399" t="s">
        <v>314</v>
      </c>
      <c r="BJ399" s="10" t="s">
        <v>629</v>
      </c>
      <c r="BK399" s="10" t="s">
        <v>137</v>
      </c>
      <c r="BL399" s="10">
        <v>0.47712125471966238</v>
      </c>
      <c r="BM399" s="52">
        <v>11</v>
      </c>
      <c r="BR399" s="10" t="s">
        <v>842</v>
      </c>
      <c r="BS399" s="10">
        <f>LOG(3)</f>
        <v>0.47712125471966244</v>
      </c>
      <c r="BY399" s="10">
        <f t="shared" si="23"/>
        <v>0</v>
      </c>
      <c r="CG399" t="s">
        <v>651</v>
      </c>
      <c r="CH399" t="s">
        <v>726</v>
      </c>
    </row>
    <row r="400" spans="1:86" x14ac:dyDescent="0.3">
      <c r="A400">
        <v>406</v>
      </c>
      <c r="B400" t="s">
        <v>360</v>
      </c>
      <c r="C400" t="s">
        <v>329</v>
      </c>
      <c r="D400" t="s">
        <v>772</v>
      </c>
      <c r="E400" t="s">
        <v>769</v>
      </c>
      <c r="F400" t="s">
        <v>577</v>
      </c>
      <c r="G400" t="s">
        <v>773</v>
      </c>
      <c r="I400" t="s">
        <v>770</v>
      </c>
      <c r="BG400" t="s">
        <v>312</v>
      </c>
      <c r="BH400" t="s">
        <v>314</v>
      </c>
      <c r="BJ400" s="10" t="s">
        <v>629</v>
      </c>
      <c r="BK400" s="10" t="s">
        <v>137</v>
      </c>
      <c r="BL400" s="10">
        <v>0</v>
      </c>
      <c r="BM400" s="52">
        <v>11</v>
      </c>
      <c r="BR400" s="10" t="s">
        <v>842</v>
      </c>
      <c r="BS400" s="10">
        <f>LOG(1)</f>
        <v>0</v>
      </c>
      <c r="BY400" s="10">
        <f t="shared" si="23"/>
        <v>0</v>
      </c>
      <c r="CG400" t="s">
        <v>651</v>
      </c>
      <c r="CH400" t="s">
        <v>726</v>
      </c>
    </row>
    <row r="401" spans="1:86" x14ac:dyDescent="0.3">
      <c r="A401">
        <v>407</v>
      </c>
      <c r="B401" t="s">
        <v>360</v>
      </c>
      <c r="C401" t="s">
        <v>329</v>
      </c>
      <c r="D401" t="s">
        <v>772</v>
      </c>
      <c r="E401" t="s">
        <v>769</v>
      </c>
      <c r="F401" t="s">
        <v>577</v>
      </c>
      <c r="G401" t="s">
        <v>773</v>
      </c>
      <c r="I401" t="s">
        <v>770</v>
      </c>
      <c r="BG401" t="s">
        <v>312</v>
      </c>
      <c r="BH401" t="s">
        <v>314</v>
      </c>
      <c r="BJ401" s="10" t="s">
        <v>629</v>
      </c>
      <c r="BK401" s="10" t="s">
        <v>137</v>
      </c>
      <c r="BL401" s="10">
        <v>0.30102999566398125</v>
      </c>
      <c r="BM401" s="52">
        <v>11</v>
      </c>
      <c r="BR401" s="10" t="s">
        <v>842</v>
      </c>
      <c r="BS401" s="10">
        <f>LOG(2)</f>
        <v>0.3010299956639812</v>
      </c>
      <c r="BY401" s="10">
        <f t="shared" si="23"/>
        <v>0</v>
      </c>
      <c r="CG401" t="s">
        <v>651</v>
      </c>
      <c r="CH401" t="s">
        <v>726</v>
      </c>
    </row>
    <row r="402" spans="1:86" x14ac:dyDescent="0.3">
      <c r="A402">
        <v>421</v>
      </c>
      <c r="B402" t="s">
        <v>360</v>
      </c>
      <c r="C402" t="s">
        <v>329</v>
      </c>
      <c r="D402" t="s">
        <v>774</v>
      </c>
      <c r="E402" t="s">
        <v>769</v>
      </c>
      <c r="F402" t="s">
        <v>577</v>
      </c>
      <c r="G402" t="s">
        <v>775</v>
      </c>
      <c r="I402" t="s">
        <v>770</v>
      </c>
      <c r="BG402" t="s">
        <v>312</v>
      </c>
      <c r="BH402" t="s">
        <v>314</v>
      </c>
      <c r="BJ402" s="10" t="s">
        <v>629</v>
      </c>
      <c r="BK402" s="10" t="s">
        <v>137</v>
      </c>
      <c r="BL402" s="10">
        <v>4.3802112417116064</v>
      </c>
      <c r="BM402" s="52">
        <v>4</v>
      </c>
      <c r="BS402" s="10">
        <f>LOG(20000)</f>
        <v>4.3010299956639813</v>
      </c>
      <c r="BY402" s="10">
        <f>LOG(1)</f>
        <v>0</v>
      </c>
      <c r="CG402" t="s">
        <v>651</v>
      </c>
      <c r="CH402" t="s">
        <v>726</v>
      </c>
    </row>
    <row r="403" spans="1:86" x14ac:dyDescent="0.3">
      <c r="A403">
        <v>422</v>
      </c>
      <c r="B403" t="s">
        <v>360</v>
      </c>
      <c r="C403" t="s">
        <v>329</v>
      </c>
      <c r="D403" t="s">
        <v>774</v>
      </c>
      <c r="E403" t="s">
        <v>769</v>
      </c>
      <c r="F403" t="s">
        <v>577</v>
      </c>
      <c r="G403" t="s">
        <v>775</v>
      </c>
      <c r="I403" t="s">
        <v>770</v>
      </c>
      <c r="BG403" t="s">
        <v>312</v>
      </c>
      <c r="BH403" t="s">
        <v>314</v>
      </c>
      <c r="BJ403" s="10" t="s">
        <v>629</v>
      </c>
      <c r="BK403" s="10" t="s">
        <v>137</v>
      </c>
      <c r="BL403" s="10">
        <v>3.5314789170422554</v>
      </c>
      <c r="BM403" s="52">
        <v>4</v>
      </c>
      <c r="BS403" s="10">
        <f>LOG(1200)</f>
        <v>3.0791812460476247</v>
      </c>
      <c r="BY403" s="10">
        <f>LOG(1)</f>
        <v>0</v>
      </c>
      <c r="CG403" t="s">
        <v>651</v>
      </c>
      <c r="CH403" t="s">
        <v>726</v>
      </c>
    </row>
    <row r="404" spans="1:86" x14ac:dyDescent="0.3">
      <c r="A404">
        <v>423</v>
      </c>
      <c r="B404" t="s">
        <v>360</v>
      </c>
      <c r="C404" t="s">
        <v>329</v>
      </c>
      <c r="D404" t="s">
        <v>774</v>
      </c>
      <c r="E404" t="s">
        <v>769</v>
      </c>
      <c r="F404" t="s">
        <v>577</v>
      </c>
      <c r="G404" t="s">
        <v>775</v>
      </c>
      <c r="I404" t="s">
        <v>770</v>
      </c>
      <c r="BG404" t="s">
        <v>312</v>
      </c>
      <c r="BH404" t="s">
        <v>314</v>
      </c>
      <c r="BJ404" s="10" t="s">
        <v>629</v>
      </c>
      <c r="BK404" s="10" t="s">
        <v>137</v>
      </c>
      <c r="BL404" s="10">
        <v>2.6334684555795866</v>
      </c>
      <c r="BM404" s="52">
        <v>4</v>
      </c>
      <c r="BS404" s="10">
        <f>LOG(700)</f>
        <v>2.8450980400142569</v>
      </c>
      <c r="BY404" s="10">
        <f>LOG(12)</f>
        <v>1.0791812460476249</v>
      </c>
      <c r="CG404" t="s">
        <v>651</v>
      </c>
      <c r="CH404" t="s">
        <v>726</v>
      </c>
    </row>
    <row r="405" spans="1:86" x14ac:dyDescent="0.3">
      <c r="A405">
        <v>424</v>
      </c>
      <c r="B405" t="s">
        <v>360</v>
      </c>
      <c r="C405" t="s">
        <v>329</v>
      </c>
      <c r="D405" t="s">
        <v>774</v>
      </c>
      <c r="E405" t="s">
        <v>769</v>
      </c>
      <c r="F405" t="s">
        <v>577</v>
      </c>
      <c r="G405" t="s">
        <v>775</v>
      </c>
      <c r="I405" t="s">
        <v>770</v>
      </c>
      <c r="BG405" t="s">
        <v>312</v>
      </c>
      <c r="BH405" t="s">
        <v>314</v>
      </c>
      <c r="BJ405" s="10" t="s">
        <v>629</v>
      </c>
      <c r="BK405" s="10" t="s">
        <v>137</v>
      </c>
      <c r="BL405" s="10">
        <v>4.1139433523068369</v>
      </c>
      <c r="BM405" s="52">
        <v>4</v>
      </c>
      <c r="BS405" s="10">
        <f>LOG(11000)</f>
        <v>4.0413926851582254</v>
      </c>
      <c r="BY405" s="10">
        <f>LOG(1)</f>
        <v>0</v>
      </c>
      <c r="CG405" t="s">
        <v>651</v>
      </c>
      <c r="CH405" t="s">
        <v>726</v>
      </c>
    </row>
    <row r="406" spans="1:86" x14ac:dyDescent="0.3">
      <c r="A406">
        <v>429</v>
      </c>
      <c r="B406" t="s">
        <v>360</v>
      </c>
      <c r="C406" t="s">
        <v>6</v>
      </c>
      <c r="D406" t="s">
        <v>776</v>
      </c>
      <c r="E406" t="s">
        <v>769</v>
      </c>
      <c r="F406" t="s">
        <v>577</v>
      </c>
      <c r="G406" t="s">
        <v>728</v>
      </c>
      <c r="I406" t="s">
        <v>770</v>
      </c>
      <c r="BG406" t="s">
        <v>312</v>
      </c>
      <c r="BH406" t="s">
        <v>314</v>
      </c>
      <c r="BJ406" s="10" t="s">
        <v>629</v>
      </c>
      <c r="BK406" s="10" t="s">
        <v>137</v>
      </c>
      <c r="BL406" s="10">
        <v>2.7781512503836439</v>
      </c>
      <c r="BM406" s="52">
        <v>4</v>
      </c>
      <c r="BS406" s="10">
        <f>LOG(1200)</f>
        <v>3.0791812460476247</v>
      </c>
      <c r="BY406" s="10">
        <f>LOG(2)</f>
        <v>0.3010299956639812</v>
      </c>
      <c r="CG406" t="s">
        <v>651</v>
      </c>
      <c r="CH406" t="s">
        <v>726</v>
      </c>
    </row>
    <row r="407" spans="1:86" x14ac:dyDescent="0.3">
      <c r="A407">
        <v>430</v>
      </c>
      <c r="B407" t="s">
        <v>360</v>
      </c>
      <c r="C407" t="s">
        <v>6</v>
      </c>
      <c r="D407" t="s">
        <v>776</v>
      </c>
      <c r="E407" t="s">
        <v>769</v>
      </c>
      <c r="F407" t="s">
        <v>577</v>
      </c>
      <c r="G407" t="s">
        <v>728</v>
      </c>
      <c r="I407" t="s">
        <v>770</v>
      </c>
      <c r="BG407" t="s">
        <v>312</v>
      </c>
      <c r="BH407" t="s">
        <v>314</v>
      </c>
      <c r="BJ407" s="10" t="s">
        <v>629</v>
      </c>
      <c r="BK407" s="10" t="s">
        <v>137</v>
      </c>
      <c r="BL407" s="10">
        <v>3.1461280356782382</v>
      </c>
      <c r="BM407" s="52">
        <v>4</v>
      </c>
      <c r="BS407" s="10">
        <f>LOG(7000)</f>
        <v>3.8450980400142569</v>
      </c>
      <c r="BY407" s="10">
        <f>LOG(5)</f>
        <v>0.69897000433601886</v>
      </c>
      <c r="CG407" t="s">
        <v>651</v>
      </c>
      <c r="CH407" t="s">
        <v>726</v>
      </c>
    </row>
    <row r="408" spans="1:86" x14ac:dyDescent="0.3">
      <c r="A408">
        <v>431</v>
      </c>
      <c r="B408" t="s">
        <v>360</v>
      </c>
      <c r="C408" t="s">
        <v>6</v>
      </c>
      <c r="D408" t="s">
        <v>776</v>
      </c>
      <c r="E408" t="s">
        <v>769</v>
      </c>
      <c r="F408" t="s">
        <v>577</v>
      </c>
      <c r="G408" t="s">
        <v>728</v>
      </c>
      <c r="I408" t="s">
        <v>770</v>
      </c>
      <c r="BG408" t="s">
        <v>312</v>
      </c>
      <c r="BH408" t="s">
        <v>314</v>
      </c>
      <c r="BJ408" s="10" t="s">
        <v>629</v>
      </c>
      <c r="BK408" s="10" t="s">
        <v>137</v>
      </c>
      <c r="BL408" s="10">
        <v>2.3010299956639813</v>
      </c>
      <c r="BM408" s="52">
        <v>4</v>
      </c>
      <c r="BS408" s="10">
        <f>LOG(2000)</f>
        <v>3.3010299956639813</v>
      </c>
      <c r="BY408" s="10">
        <f>LOG(10)</f>
        <v>1</v>
      </c>
      <c r="CG408" t="s">
        <v>651</v>
      </c>
      <c r="CH408" t="s">
        <v>726</v>
      </c>
    </row>
    <row r="409" spans="1:86" x14ac:dyDescent="0.3">
      <c r="A409">
        <v>432</v>
      </c>
      <c r="B409" t="s">
        <v>360</v>
      </c>
      <c r="C409" t="s">
        <v>6</v>
      </c>
      <c r="D409" t="s">
        <v>776</v>
      </c>
      <c r="E409" t="s">
        <v>769</v>
      </c>
      <c r="F409" t="s">
        <v>577</v>
      </c>
      <c r="G409" t="s">
        <v>728</v>
      </c>
      <c r="I409" t="s">
        <v>770</v>
      </c>
      <c r="BG409" t="s">
        <v>312</v>
      </c>
      <c r="BH409" t="s">
        <v>314</v>
      </c>
      <c r="BJ409" s="10" t="s">
        <v>629</v>
      </c>
      <c r="BK409" s="10" t="s">
        <v>137</v>
      </c>
      <c r="BL409" s="10">
        <v>2.3679767852945943</v>
      </c>
      <c r="BM409" s="52">
        <v>4</v>
      </c>
      <c r="BS409" s="10">
        <f>LOG(1400)</f>
        <v>3.1461280356782382</v>
      </c>
      <c r="BY409" s="10">
        <f>LOG(6)</f>
        <v>0.77815125038364363</v>
      </c>
      <c r="CG409" t="s">
        <v>651</v>
      </c>
      <c r="CH409" t="s">
        <v>726</v>
      </c>
    </row>
    <row r="410" spans="1:86" x14ac:dyDescent="0.3">
      <c r="A410">
        <v>433</v>
      </c>
      <c r="B410" t="s">
        <v>360</v>
      </c>
      <c r="C410" t="s">
        <v>330</v>
      </c>
      <c r="D410" t="s">
        <v>768</v>
      </c>
      <c r="E410" t="s">
        <v>769</v>
      </c>
      <c r="F410" t="s">
        <v>577</v>
      </c>
      <c r="I410" t="s">
        <v>770</v>
      </c>
      <c r="J410" t="s">
        <v>771</v>
      </c>
      <c r="K410">
        <v>0.4</v>
      </c>
      <c r="BG410" t="s">
        <v>312</v>
      </c>
      <c r="BH410" t="s">
        <v>691</v>
      </c>
      <c r="BJ410" s="10" t="s">
        <v>629</v>
      </c>
      <c r="BK410" s="10" t="s">
        <v>137</v>
      </c>
      <c r="BL410" s="10">
        <v>5.4117282931576707</v>
      </c>
      <c r="BM410" s="52">
        <v>11</v>
      </c>
      <c r="BS410" s="10">
        <f>LOG(16000000)</f>
        <v>7.204119982655925</v>
      </c>
      <c r="BY410" s="10">
        <f>LOG(62)</f>
        <v>1.7923916894982539</v>
      </c>
      <c r="CG410" t="s">
        <v>651</v>
      </c>
      <c r="CH410" t="s">
        <v>726</v>
      </c>
    </row>
    <row r="411" spans="1:86" x14ac:dyDescent="0.3">
      <c r="A411">
        <v>434</v>
      </c>
      <c r="B411" t="s">
        <v>360</v>
      </c>
      <c r="C411" t="s">
        <v>330</v>
      </c>
      <c r="D411" t="s">
        <v>768</v>
      </c>
      <c r="E411" t="s">
        <v>769</v>
      </c>
      <c r="F411" t="s">
        <v>577</v>
      </c>
      <c r="I411" t="s">
        <v>770</v>
      </c>
      <c r="J411" t="s">
        <v>771</v>
      </c>
      <c r="K411">
        <v>0.4</v>
      </c>
      <c r="BG411" t="s">
        <v>312</v>
      </c>
      <c r="BH411" t="s">
        <v>691</v>
      </c>
      <c r="BJ411" s="10" t="s">
        <v>629</v>
      </c>
      <c r="BK411" s="10" t="s">
        <v>137</v>
      </c>
      <c r="BL411" s="10">
        <v>7.2340832060333682</v>
      </c>
      <c r="BM411" s="52">
        <v>11</v>
      </c>
      <c r="BS411" s="10">
        <f>LOG(120000000)</f>
        <v>8.0791812460476251</v>
      </c>
      <c r="BY411" s="10">
        <f>LOG(7)</f>
        <v>0.84509804001425681</v>
      </c>
      <c r="CG411" t="s">
        <v>651</v>
      </c>
      <c r="CH411" t="s">
        <v>726</v>
      </c>
    </row>
    <row r="412" spans="1:86" x14ac:dyDescent="0.3">
      <c r="A412">
        <v>435</v>
      </c>
      <c r="B412" t="s">
        <v>360</v>
      </c>
      <c r="C412" t="s">
        <v>330</v>
      </c>
      <c r="D412" t="s">
        <v>768</v>
      </c>
      <c r="E412" t="s">
        <v>769</v>
      </c>
      <c r="F412" t="s">
        <v>577</v>
      </c>
      <c r="I412" t="s">
        <v>770</v>
      </c>
      <c r="J412" t="s">
        <v>771</v>
      </c>
      <c r="K412">
        <v>0.4</v>
      </c>
      <c r="BG412" t="s">
        <v>312</v>
      </c>
      <c r="BH412" t="s">
        <v>691</v>
      </c>
      <c r="BJ412" s="10" t="s">
        <v>629</v>
      </c>
      <c r="BK412" s="10" t="s">
        <v>137</v>
      </c>
      <c r="BL412" s="10">
        <v>5.5642714304385628</v>
      </c>
      <c r="BM412" s="52">
        <v>11</v>
      </c>
      <c r="BS412" s="10">
        <f>LOG(1100000)</f>
        <v>6.0413926851582254</v>
      </c>
      <c r="BY412" s="10">
        <f>LOG(3)</f>
        <v>0.47712125471966244</v>
      </c>
      <c r="CG412" t="s">
        <v>651</v>
      </c>
      <c r="CH412" t="s">
        <v>726</v>
      </c>
    </row>
    <row r="413" spans="1:86" x14ac:dyDescent="0.3">
      <c r="A413">
        <v>436</v>
      </c>
      <c r="B413" t="s">
        <v>360</v>
      </c>
      <c r="C413" t="s">
        <v>330</v>
      </c>
      <c r="D413" t="s">
        <v>768</v>
      </c>
      <c r="E413" t="s">
        <v>769</v>
      </c>
      <c r="F413" t="s">
        <v>577</v>
      </c>
      <c r="I413" t="s">
        <v>770</v>
      </c>
      <c r="J413" t="s">
        <v>771</v>
      </c>
      <c r="K413">
        <v>0.4</v>
      </c>
      <c r="BG413" t="s">
        <v>312</v>
      </c>
      <c r="BH413" t="s">
        <v>691</v>
      </c>
      <c r="BJ413" s="10" t="s">
        <v>629</v>
      </c>
      <c r="BK413" s="10" t="s">
        <v>137</v>
      </c>
      <c r="BL413" s="10">
        <v>5.3424226808222066</v>
      </c>
      <c r="BM413" s="52">
        <v>11</v>
      </c>
      <c r="BS413" s="10">
        <f>LOG(2200000)</f>
        <v>6.3424226808222066</v>
      </c>
      <c r="BY413" s="10">
        <f>LOG(10)</f>
        <v>1</v>
      </c>
      <c r="CG413" t="s">
        <v>651</v>
      </c>
      <c r="CH413" t="s">
        <v>726</v>
      </c>
    </row>
    <row r="414" spans="1:86" x14ac:dyDescent="0.3">
      <c r="A414">
        <v>437</v>
      </c>
      <c r="B414" t="s">
        <v>360</v>
      </c>
      <c r="C414" t="s">
        <v>330</v>
      </c>
      <c r="D414" t="s">
        <v>768</v>
      </c>
      <c r="E414" t="s">
        <v>769</v>
      </c>
      <c r="F414" t="s">
        <v>577</v>
      </c>
      <c r="I414" t="s">
        <v>770</v>
      </c>
      <c r="J414" t="s">
        <v>771</v>
      </c>
      <c r="K414">
        <v>0.4</v>
      </c>
      <c r="BG414" t="s">
        <v>312</v>
      </c>
      <c r="BH414" t="s">
        <v>691</v>
      </c>
      <c r="BJ414" s="10" t="s">
        <v>629</v>
      </c>
      <c r="BK414" s="10" t="s">
        <v>137</v>
      </c>
      <c r="BL414" s="10">
        <v>6.3521825181113627</v>
      </c>
      <c r="BM414" s="52">
        <v>11</v>
      </c>
      <c r="BS414" s="10">
        <f>LOG(4500000)</f>
        <v>6.653212513775344</v>
      </c>
      <c r="BY414" s="10">
        <f>LOG(2)</f>
        <v>0.3010299956639812</v>
      </c>
      <c r="CG414" t="s">
        <v>651</v>
      </c>
      <c r="CH414" t="s">
        <v>726</v>
      </c>
    </row>
    <row r="415" spans="1:86" x14ac:dyDescent="0.3">
      <c r="A415">
        <v>438</v>
      </c>
      <c r="B415" t="s">
        <v>360</v>
      </c>
      <c r="C415" t="s">
        <v>330</v>
      </c>
      <c r="D415" t="s">
        <v>768</v>
      </c>
      <c r="E415" t="s">
        <v>769</v>
      </c>
      <c r="F415" t="s">
        <v>577</v>
      </c>
      <c r="I415" t="s">
        <v>770</v>
      </c>
      <c r="J415" t="s">
        <v>771</v>
      </c>
      <c r="K415">
        <v>0.4</v>
      </c>
      <c r="BG415" t="s">
        <v>312</v>
      </c>
      <c r="BH415" t="s">
        <v>691</v>
      </c>
      <c r="BJ415" s="10" t="s">
        <v>629</v>
      </c>
      <c r="BK415" s="10" t="s">
        <v>137</v>
      </c>
      <c r="BL415" s="10">
        <v>5.6020599913279625</v>
      </c>
      <c r="BM415" s="52">
        <v>11</v>
      </c>
      <c r="BS415" s="10">
        <f>LOG(2000000)</f>
        <v>6.3010299956639813</v>
      </c>
      <c r="BY415" s="10">
        <f>LOG(5)</f>
        <v>0.69897000433601886</v>
      </c>
      <c r="CG415" t="s">
        <v>651</v>
      </c>
      <c r="CH415" t="s">
        <v>726</v>
      </c>
    </row>
    <row r="416" spans="1:86" x14ac:dyDescent="0.3">
      <c r="A416">
        <v>439</v>
      </c>
      <c r="B416" t="s">
        <v>360</v>
      </c>
      <c r="C416" t="s">
        <v>330</v>
      </c>
      <c r="D416" t="s">
        <v>768</v>
      </c>
      <c r="E416" t="s">
        <v>769</v>
      </c>
      <c r="F416" t="s">
        <v>577</v>
      </c>
      <c r="I416" t="s">
        <v>770</v>
      </c>
      <c r="J416" t="s">
        <v>771</v>
      </c>
      <c r="K416">
        <v>0.4</v>
      </c>
      <c r="BG416" t="s">
        <v>312</v>
      </c>
      <c r="BH416" t="s">
        <v>691</v>
      </c>
      <c r="BJ416" s="10" t="s">
        <v>629</v>
      </c>
      <c r="BK416" s="10" t="s">
        <v>137</v>
      </c>
      <c r="BL416" s="10">
        <v>6.7481880270062007</v>
      </c>
      <c r="BM416" s="52">
        <v>11</v>
      </c>
      <c r="BR416" s="10" t="s">
        <v>842</v>
      </c>
      <c r="BS416" s="10">
        <f>LOG(5600000)</f>
        <v>6.7481880270062007</v>
      </c>
      <c r="BY416" s="10">
        <f t="shared" ref="BY416:BY427" si="24">LOG(1)</f>
        <v>0</v>
      </c>
      <c r="CG416" t="s">
        <v>651</v>
      </c>
      <c r="CH416" t="s">
        <v>726</v>
      </c>
    </row>
    <row r="417" spans="1:86" x14ac:dyDescent="0.3">
      <c r="A417">
        <v>440</v>
      </c>
      <c r="B417" t="s">
        <v>360</v>
      </c>
      <c r="C417" t="s">
        <v>330</v>
      </c>
      <c r="D417" t="s">
        <v>768</v>
      </c>
      <c r="E417" t="s">
        <v>769</v>
      </c>
      <c r="F417" t="s">
        <v>577</v>
      </c>
      <c r="I417" t="s">
        <v>770</v>
      </c>
      <c r="J417" t="s">
        <v>771</v>
      </c>
      <c r="K417">
        <v>0.4</v>
      </c>
      <c r="BG417" t="s">
        <v>312</v>
      </c>
      <c r="BH417" t="s">
        <v>691</v>
      </c>
      <c r="BJ417" s="10" t="s">
        <v>629</v>
      </c>
      <c r="BK417" s="10" t="s">
        <v>137</v>
      </c>
      <c r="BL417" s="10">
        <v>6.8633228601204559</v>
      </c>
      <c r="BM417" s="52">
        <v>11</v>
      </c>
      <c r="BR417" s="10" t="s">
        <v>842</v>
      </c>
      <c r="BS417" s="10">
        <f>LOG(7300000)</f>
        <v>6.8633228601204559</v>
      </c>
      <c r="BY417" s="10">
        <f t="shared" si="24"/>
        <v>0</v>
      </c>
      <c r="CG417" t="s">
        <v>651</v>
      </c>
      <c r="CH417" t="s">
        <v>726</v>
      </c>
    </row>
    <row r="418" spans="1:86" x14ac:dyDescent="0.3">
      <c r="A418">
        <v>441</v>
      </c>
      <c r="B418" t="s">
        <v>360</v>
      </c>
      <c r="C418" t="s">
        <v>330</v>
      </c>
      <c r="D418" t="s">
        <v>768</v>
      </c>
      <c r="E418" t="s">
        <v>769</v>
      </c>
      <c r="F418" t="s">
        <v>577</v>
      </c>
      <c r="I418" t="s">
        <v>770</v>
      </c>
      <c r="J418" t="s">
        <v>771</v>
      </c>
      <c r="K418">
        <v>0.4</v>
      </c>
      <c r="BG418" t="s">
        <v>312</v>
      </c>
      <c r="BH418" t="s">
        <v>691</v>
      </c>
      <c r="BJ418" s="10" t="s">
        <v>629</v>
      </c>
      <c r="BK418" s="10" t="s">
        <v>137</v>
      </c>
      <c r="BL418" s="10">
        <v>6.8450980400142569</v>
      </c>
      <c r="BM418" s="52">
        <v>11</v>
      </c>
      <c r="BR418" s="10" t="s">
        <v>842</v>
      </c>
      <c r="BS418" s="10">
        <f>LOG(7000000)</f>
        <v>6.8450980400142569</v>
      </c>
      <c r="BY418" s="10">
        <f t="shared" si="24"/>
        <v>0</v>
      </c>
      <c r="CG418" t="s">
        <v>651</v>
      </c>
      <c r="CH418" t="s">
        <v>726</v>
      </c>
    </row>
    <row r="419" spans="1:86" x14ac:dyDescent="0.3">
      <c r="A419">
        <v>442</v>
      </c>
      <c r="B419" t="s">
        <v>360</v>
      </c>
      <c r="C419" t="s">
        <v>330</v>
      </c>
      <c r="D419" t="s">
        <v>768</v>
      </c>
      <c r="E419" t="s">
        <v>769</v>
      </c>
      <c r="F419" t="s">
        <v>577</v>
      </c>
      <c r="I419" t="s">
        <v>770</v>
      </c>
      <c r="J419" t="s">
        <v>771</v>
      </c>
      <c r="K419">
        <v>0.4</v>
      </c>
      <c r="BG419" t="s">
        <v>312</v>
      </c>
      <c r="BH419" t="s">
        <v>691</v>
      </c>
      <c r="BJ419" s="10" t="s">
        <v>629</v>
      </c>
      <c r="BK419" s="10" t="s">
        <v>137</v>
      </c>
      <c r="BL419" s="10">
        <v>6.826074802700826</v>
      </c>
      <c r="BM419" s="52">
        <v>11</v>
      </c>
      <c r="BS419" s="10">
        <f>LOG(6700000)</f>
        <v>6.826074802700826</v>
      </c>
      <c r="BY419" s="10">
        <f t="shared" si="24"/>
        <v>0</v>
      </c>
      <c r="CG419" t="s">
        <v>651</v>
      </c>
      <c r="CH419" t="s">
        <v>726</v>
      </c>
    </row>
    <row r="420" spans="1:86" x14ac:dyDescent="0.3">
      <c r="A420">
        <v>443</v>
      </c>
      <c r="B420" t="s">
        <v>360</v>
      </c>
      <c r="C420" t="s">
        <v>330</v>
      </c>
      <c r="D420" t="s">
        <v>768</v>
      </c>
      <c r="E420" t="s">
        <v>769</v>
      </c>
      <c r="F420" t="s">
        <v>577</v>
      </c>
      <c r="I420" t="s">
        <v>770</v>
      </c>
      <c r="J420" t="s">
        <v>771</v>
      </c>
      <c r="K420">
        <v>0.4</v>
      </c>
      <c r="BG420" t="s">
        <v>312</v>
      </c>
      <c r="BH420" t="s">
        <v>691</v>
      </c>
      <c r="BJ420" s="10" t="s">
        <v>629</v>
      </c>
      <c r="BK420" s="10" t="s">
        <v>137</v>
      </c>
      <c r="BL420" s="10">
        <v>6.7323937598229682</v>
      </c>
      <c r="BM420" s="52">
        <v>11</v>
      </c>
      <c r="BR420" s="10" t="s">
        <v>842</v>
      </c>
      <c r="BS420" s="10">
        <f>LOG(5400000)</f>
        <v>6.7323937598229682</v>
      </c>
      <c r="BY420" s="10">
        <f t="shared" si="24"/>
        <v>0</v>
      </c>
      <c r="CG420" t="s">
        <v>651</v>
      </c>
      <c r="CH420" t="s">
        <v>726</v>
      </c>
    </row>
    <row r="421" spans="1:86" x14ac:dyDescent="0.3">
      <c r="A421">
        <v>444</v>
      </c>
      <c r="B421" t="s">
        <v>360</v>
      </c>
      <c r="C421" t="s">
        <v>329</v>
      </c>
      <c r="D421" t="s">
        <v>772</v>
      </c>
      <c r="E421" t="s">
        <v>769</v>
      </c>
      <c r="F421" t="s">
        <v>577</v>
      </c>
      <c r="G421" t="s">
        <v>773</v>
      </c>
      <c r="I421" t="s">
        <v>770</v>
      </c>
      <c r="BG421" t="s">
        <v>312</v>
      </c>
      <c r="BH421" t="s">
        <v>691</v>
      </c>
      <c r="BJ421" s="10" t="s">
        <v>629</v>
      </c>
      <c r="BK421" s="10" t="s">
        <v>137</v>
      </c>
      <c r="BL421" s="10">
        <v>1.7923916894982539</v>
      </c>
      <c r="BM421" s="52">
        <v>11</v>
      </c>
      <c r="BR421" s="10" t="s">
        <v>842</v>
      </c>
      <c r="BS421" s="10">
        <f>LOG(62)</f>
        <v>1.7923916894982539</v>
      </c>
      <c r="BY421" s="10">
        <f t="shared" si="24"/>
        <v>0</v>
      </c>
      <c r="CG421" t="s">
        <v>651</v>
      </c>
      <c r="CH421" t="s">
        <v>726</v>
      </c>
    </row>
    <row r="422" spans="1:86" x14ac:dyDescent="0.3">
      <c r="A422">
        <v>445</v>
      </c>
      <c r="B422" t="s">
        <v>360</v>
      </c>
      <c r="C422" t="s">
        <v>329</v>
      </c>
      <c r="D422" t="s">
        <v>772</v>
      </c>
      <c r="E422" t="s">
        <v>769</v>
      </c>
      <c r="F422" t="s">
        <v>577</v>
      </c>
      <c r="G422" t="s">
        <v>773</v>
      </c>
      <c r="I422" t="s">
        <v>770</v>
      </c>
      <c r="BG422" t="s">
        <v>312</v>
      </c>
      <c r="BH422" t="s">
        <v>691</v>
      </c>
      <c r="BJ422" s="10" t="s">
        <v>629</v>
      </c>
      <c r="BK422" s="10" t="s">
        <v>137</v>
      </c>
      <c r="BL422" s="10">
        <v>0.84509804001425692</v>
      </c>
      <c r="BM422" s="52">
        <v>11</v>
      </c>
      <c r="BR422" s="10" t="s">
        <v>842</v>
      </c>
      <c r="BS422" s="10">
        <f>LOG(7)</f>
        <v>0.84509804001425681</v>
      </c>
      <c r="BY422" s="10">
        <f t="shared" si="24"/>
        <v>0</v>
      </c>
      <c r="CG422" t="s">
        <v>651</v>
      </c>
      <c r="CH422" t="s">
        <v>726</v>
      </c>
    </row>
    <row r="423" spans="1:86" x14ac:dyDescent="0.3">
      <c r="A423">
        <v>446</v>
      </c>
      <c r="B423" t="s">
        <v>360</v>
      </c>
      <c r="C423" t="s">
        <v>329</v>
      </c>
      <c r="D423" t="s">
        <v>772</v>
      </c>
      <c r="E423" t="s">
        <v>769</v>
      </c>
      <c r="F423" t="s">
        <v>577</v>
      </c>
      <c r="G423" t="s">
        <v>773</v>
      </c>
      <c r="I423" t="s">
        <v>770</v>
      </c>
      <c r="BG423" t="s">
        <v>312</v>
      </c>
      <c r="BH423" t="s">
        <v>691</v>
      </c>
      <c r="BJ423" s="10" t="s">
        <v>629</v>
      </c>
      <c r="BK423" s="10" t="s">
        <v>137</v>
      </c>
      <c r="BL423" s="10">
        <v>0.47712125471966238</v>
      </c>
      <c r="BM423" s="52">
        <v>11</v>
      </c>
      <c r="BR423" s="10" t="s">
        <v>842</v>
      </c>
      <c r="BS423" s="10">
        <f>LOG(3)</f>
        <v>0.47712125471966244</v>
      </c>
      <c r="BY423" s="10">
        <f t="shared" si="24"/>
        <v>0</v>
      </c>
      <c r="CG423" t="s">
        <v>651</v>
      </c>
      <c r="CH423" t="s">
        <v>726</v>
      </c>
    </row>
    <row r="424" spans="1:86" x14ac:dyDescent="0.3">
      <c r="A424">
        <v>447</v>
      </c>
      <c r="B424" t="s">
        <v>360</v>
      </c>
      <c r="C424" t="s">
        <v>329</v>
      </c>
      <c r="D424" t="s">
        <v>772</v>
      </c>
      <c r="E424" t="s">
        <v>769</v>
      </c>
      <c r="F424" t="s">
        <v>577</v>
      </c>
      <c r="G424" t="s">
        <v>773</v>
      </c>
      <c r="I424" t="s">
        <v>770</v>
      </c>
      <c r="BG424" t="s">
        <v>312</v>
      </c>
      <c r="BH424" t="s">
        <v>691</v>
      </c>
      <c r="BJ424" s="10" t="s">
        <v>629</v>
      </c>
      <c r="BK424" s="10" t="s">
        <v>137</v>
      </c>
      <c r="BL424" s="10">
        <v>1</v>
      </c>
      <c r="BM424" s="52">
        <v>11</v>
      </c>
      <c r="BR424" s="10" t="s">
        <v>842</v>
      </c>
      <c r="BS424" s="10">
        <f>LOG(10)</f>
        <v>1</v>
      </c>
      <c r="BY424" s="10">
        <f t="shared" si="24"/>
        <v>0</v>
      </c>
      <c r="CG424" t="s">
        <v>651</v>
      </c>
      <c r="CH424" t="s">
        <v>726</v>
      </c>
    </row>
    <row r="425" spans="1:86" x14ac:dyDescent="0.3">
      <c r="A425">
        <v>448</v>
      </c>
      <c r="B425" t="s">
        <v>360</v>
      </c>
      <c r="C425" t="s">
        <v>329</v>
      </c>
      <c r="D425" t="s">
        <v>772</v>
      </c>
      <c r="E425" t="s">
        <v>769</v>
      </c>
      <c r="F425" t="s">
        <v>577</v>
      </c>
      <c r="G425" t="s">
        <v>773</v>
      </c>
      <c r="I425" t="s">
        <v>770</v>
      </c>
      <c r="BG425" t="s">
        <v>312</v>
      </c>
      <c r="BH425" t="s">
        <v>691</v>
      </c>
      <c r="BJ425" s="10" t="s">
        <v>629</v>
      </c>
      <c r="BK425" s="10" t="s">
        <v>137</v>
      </c>
      <c r="BL425" s="10">
        <v>0.30102999566398125</v>
      </c>
      <c r="BM425" s="52">
        <v>11</v>
      </c>
      <c r="BR425" s="10" t="s">
        <v>842</v>
      </c>
      <c r="BS425" s="10">
        <f>LOG(2)</f>
        <v>0.3010299956639812</v>
      </c>
      <c r="BY425" s="10">
        <f t="shared" si="24"/>
        <v>0</v>
      </c>
      <c r="CG425" t="s">
        <v>651</v>
      </c>
      <c r="CH425" t="s">
        <v>726</v>
      </c>
    </row>
    <row r="426" spans="1:86" x14ac:dyDescent="0.3">
      <c r="A426">
        <v>449</v>
      </c>
      <c r="B426" t="s">
        <v>360</v>
      </c>
      <c r="C426" t="s">
        <v>329</v>
      </c>
      <c r="D426" t="s">
        <v>772</v>
      </c>
      <c r="E426" t="s">
        <v>769</v>
      </c>
      <c r="F426" t="s">
        <v>577</v>
      </c>
      <c r="G426" t="s">
        <v>773</v>
      </c>
      <c r="I426" t="s">
        <v>770</v>
      </c>
      <c r="BG426" t="s">
        <v>312</v>
      </c>
      <c r="BH426" t="s">
        <v>691</v>
      </c>
      <c r="BJ426" s="10" t="s">
        <v>629</v>
      </c>
      <c r="BK426" s="10" t="s">
        <v>137</v>
      </c>
      <c r="BL426" s="10">
        <v>0.69897000433601875</v>
      </c>
      <c r="BM426" s="52">
        <v>11</v>
      </c>
      <c r="BR426" s="10" t="s">
        <v>842</v>
      </c>
      <c r="BS426" s="10">
        <f>LOG(5)</f>
        <v>0.69897000433601886</v>
      </c>
      <c r="BY426" s="10">
        <f t="shared" si="24"/>
        <v>0</v>
      </c>
      <c r="CG426" t="s">
        <v>651</v>
      </c>
      <c r="CH426" t="s">
        <v>726</v>
      </c>
    </row>
    <row r="427" spans="1:86" x14ac:dyDescent="0.3">
      <c r="A427">
        <v>453</v>
      </c>
      <c r="B427" t="s">
        <v>360</v>
      </c>
      <c r="C427" t="s">
        <v>329</v>
      </c>
      <c r="D427" t="s">
        <v>772</v>
      </c>
      <c r="E427" t="s">
        <v>769</v>
      </c>
      <c r="F427" t="s">
        <v>577</v>
      </c>
      <c r="G427" t="s">
        <v>773</v>
      </c>
      <c r="I427" t="s">
        <v>770</v>
      </c>
      <c r="BG427" t="s">
        <v>312</v>
      </c>
      <c r="BH427" t="s">
        <v>691</v>
      </c>
      <c r="BJ427" s="10" t="s">
        <v>629</v>
      </c>
      <c r="BK427" s="10" t="s">
        <v>137</v>
      </c>
      <c r="BL427" s="10">
        <v>0</v>
      </c>
      <c r="BM427" s="52">
        <v>11</v>
      </c>
      <c r="BR427" s="10" t="s">
        <v>842</v>
      </c>
      <c r="BS427" s="10">
        <f>LOG(1)</f>
        <v>0</v>
      </c>
      <c r="BY427" s="10">
        <f t="shared" si="24"/>
        <v>0</v>
      </c>
      <c r="CG427" t="s">
        <v>651</v>
      </c>
      <c r="CH427" t="s">
        <v>726</v>
      </c>
    </row>
    <row r="428" spans="1:86" x14ac:dyDescent="0.3">
      <c r="A428">
        <v>463</v>
      </c>
      <c r="B428" t="s">
        <v>360</v>
      </c>
      <c r="C428" t="s">
        <v>329</v>
      </c>
      <c r="D428" t="s">
        <v>777</v>
      </c>
      <c r="E428" t="s">
        <v>769</v>
      </c>
      <c r="F428" t="s">
        <v>577</v>
      </c>
      <c r="G428" t="s">
        <v>775</v>
      </c>
      <c r="I428" t="s">
        <v>770</v>
      </c>
      <c r="BG428" t="s">
        <v>312</v>
      </c>
      <c r="BH428" t="s">
        <v>691</v>
      </c>
      <c r="BJ428" s="10" t="s">
        <v>629</v>
      </c>
      <c r="BK428" s="10" t="s">
        <v>137</v>
      </c>
      <c r="BL428" s="10">
        <v>4.7558748556724915</v>
      </c>
      <c r="BM428" s="52">
        <v>4</v>
      </c>
      <c r="BS428" s="10">
        <f>LOG(20000)</f>
        <v>4.3010299956639813</v>
      </c>
      <c r="BY428" s="10">
        <f>LOG(1)</f>
        <v>0</v>
      </c>
      <c r="CG428" t="s">
        <v>651</v>
      </c>
      <c r="CH428" t="s">
        <v>726</v>
      </c>
    </row>
    <row r="429" spans="1:86" x14ac:dyDescent="0.3">
      <c r="A429">
        <v>464</v>
      </c>
      <c r="B429" t="s">
        <v>360</v>
      </c>
      <c r="C429" t="s">
        <v>329</v>
      </c>
      <c r="D429" t="s">
        <v>777</v>
      </c>
      <c r="E429" t="s">
        <v>769</v>
      </c>
      <c r="F429" t="s">
        <v>577</v>
      </c>
      <c r="G429" t="s">
        <v>775</v>
      </c>
      <c r="I429" t="s">
        <v>770</v>
      </c>
      <c r="BG429" t="s">
        <v>312</v>
      </c>
      <c r="BH429" t="s">
        <v>691</v>
      </c>
      <c r="BJ429" s="10" t="s">
        <v>629</v>
      </c>
      <c r="BK429" s="10" t="s">
        <v>137</v>
      </c>
      <c r="BL429" s="10">
        <v>3.4471580313422194</v>
      </c>
      <c r="BM429" s="52">
        <v>4</v>
      </c>
      <c r="BS429" s="10">
        <f>LOG(2200)</f>
        <v>3.3424226808222062</v>
      </c>
      <c r="BY429" s="10">
        <f>LOG(1)</f>
        <v>0</v>
      </c>
      <c r="CG429" t="s">
        <v>651</v>
      </c>
      <c r="CH429" t="s">
        <v>726</v>
      </c>
    </row>
    <row r="430" spans="1:86" x14ac:dyDescent="0.3">
      <c r="A430">
        <v>465</v>
      </c>
      <c r="B430" t="s">
        <v>360</v>
      </c>
      <c r="C430" t="s">
        <v>329</v>
      </c>
      <c r="D430" t="s">
        <v>777</v>
      </c>
      <c r="E430" t="s">
        <v>769</v>
      </c>
      <c r="F430" t="s">
        <v>577</v>
      </c>
      <c r="G430" t="s">
        <v>775</v>
      </c>
      <c r="I430" t="s">
        <v>770</v>
      </c>
      <c r="BG430" t="s">
        <v>312</v>
      </c>
      <c r="BH430" t="s">
        <v>691</v>
      </c>
      <c r="BJ430" s="10" t="s">
        <v>629</v>
      </c>
      <c r="BK430" s="10" t="s">
        <v>137</v>
      </c>
      <c r="BL430" s="10">
        <v>3.3979400086720375</v>
      </c>
      <c r="BM430" s="52">
        <v>4</v>
      </c>
      <c r="BS430" s="10">
        <f>LOG(1200)</f>
        <v>3.0791812460476247</v>
      </c>
      <c r="BY430" s="10">
        <f>LOG(1)</f>
        <v>0</v>
      </c>
      <c r="CG430" t="s">
        <v>651</v>
      </c>
      <c r="CH430" t="s">
        <v>726</v>
      </c>
    </row>
    <row r="431" spans="1:86" x14ac:dyDescent="0.3">
      <c r="A431">
        <v>466</v>
      </c>
      <c r="B431" t="s">
        <v>360</v>
      </c>
      <c r="C431" t="s">
        <v>329</v>
      </c>
      <c r="D431" t="s">
        <v>777</v>
      </c>
      <c r="E431" t="s">
        <v>769</v>
      </c>
      <c r="F431" t="s">
        <v>577</v>
      </c>
      <c r="G431" t="s">
        <v>775</v>
      </c>
      <c r="I431" t="s">
        <v>770</v>
      </c>
      <c r="BG431" t="s">
        <v>312</v>
      </c>
      <c r="BH431" t="s">
        <v>691</v>
      </c>
      <c r="BJ431" s="10" t="s">
        <v>629</v>
      </c>
      <c r="BK431" s="10" t="s">
        <v>137</v>
      </c>
      <c r="BL431" s="10">
        <v>4.3424226808222066</v>
      </c>
      <c r="BM431" s="52">
        <v>4</v>
      </c>
      <c r="BS431" s="10">
        <f>LOG(14000)</f>
        <v>4.1461280356782382</v>
      </c>
      <c r="BY431" s="10">
        <f>LOG(1)</f>
        <v>0</v>
      </c>
      <c r="CG431" t="s">
        <v>651</v>
      </c>
      <c r="CH431" t="s">
        <v>726</v>
      </c>
    </row>
    <row r="432" spans="1:86" x14ac:dyDescent="0.3">
      <c r="A432">
        <v>471</v>
      </c>
      <c r="B432" t="s">
        <v>360</v>
      </c>
      <c r="C432" t="s">
        <v>6</v>
      </c>
      <c r="D432" t="s">
        <v>778</v>
      </c>
      <c r="E432" t="s">
        <v>769</v>
      </c>
      <c r="F432" t="s">
        <v>577</v>
      </c>
      <c r="G432" t="s">
        <v>728</v>
      </c>
      <c r="I432" t="s">
        <v>770</v>
      </c>
      <c r="BG432" t="s">
        <v>312</v>
      </c>
      <c r="BH432" t="s">
        <v>691</v>
      </c>
      <c r="BJ432" s="10" t="s">
        <v>629</v>
      </c>
      <c r="BK432" s="10" t="s">
        <v>137</v>
      </c>
      <c r="BL432" s="10">
        <v>2.5642714304385628</v>
      </c>
      <c r="BM432" s="52">
        <v>4</v>
      </c>
      <c r="BS432" s="10">
        <f>LOG(2200)</f>
        <v>3.3424226808222062</v>
      </c>
      <c r="BY432" s="10">
        <f>LOG(6)</f>
        <v>0.77815125038364363</v>
      </c>
      <c r="CG432" t="s">
        <v>651</v>
      </c>
      <c r="CH432" t="s">
        <v>726</v>
      </c>
    </row>
    <row r="433" spans="1:86" x14ac:dyDescent="0.3">
      <c r="A433">
        <v>472</v>
      </c>
      <c r="B433" t="s">
        <v>360</v>
      </c>
      <c r="C433" t="s">
        <v>6</v>
      </c>
      <c r="D433" t="s">
        <v>778</v>
      </c>
      <c r="E433" t="s">
        <v>769</v>
      </c>
      <c r="F433" t="s">
        <v>577</v>
      </c>
      <c r="G433" t="s">
        <v>728</v>
      </c>
      <c r="I433" t="s">
        <v>770</v>
      </c>
      <c r="BG433" t="s">
        <v>312</v>
      </c>
      <c r="BH433" t="s">
        <v>691</v>
      </c>
      <c r="BJ433" s="10" t="s">
        <v>629</v>
      </c>
      <c r="BK433" s="10" t="s">
        <v>137</v>
      </c>
      <c r="BL433" s="10">
        <v>3.2632414347745815</v>
      </c>
      <c r="BM433" s="52">
        <v>4</v>
      </c>
      <c r="BS433" s="10">
        <f>LOG(11000)</f>
        <v>4.0413926851582254</v>
      </c>
      <c r="BY433" s="10">
        <f>LOG(6)</f>
        <v>0.77815125038364363</v>
      </c>
      <c r="CG433" t="s">
        <v>651</v>
      </c>
      <c r="CH433" t="s">
        <v>726</v>
      </c>
    </row>
    <row r="434" spans="1:86" x14ac:dyDescent="0.3">
      <c r="A434">
        <v>473</v>
      </c>
      <c r="B434" t="s">
        <v>360</v>
      </c>
      <c r="C434" t="s">
        <v>6</v>
      </c>
      <c r="D434" t="s">
        <v>778</v>
      </c>
      <c r="E434" t="s">
        <v>769</v>
      </c>
      <c r="F434" t="s">
        <v>577</v>
      </c>
      <c r="G434" t="s">
        <v>728</v>
      </c>
      <c r="I434" t="s">
        <v>770</v>
      </c>
      <c r="BG434" t="s">
        <v>312</v>
      </c>
      <c r="BH434" t="s">
        <v>691</v>
      </c>
      <c r="BJ434" s="10" t="s">
        <v>629</v>
      </c>
      <c r="BK434" s="10" t="s">
        <v>137</v>
      </c>
      <c r="BL434" s="10">
        <v>2.1165055690714376</v>
      </c>
      <c r="BM434" s="52">
        <v>4</v>
      </c>
      <c r="BS434" s="10">
        <f>LOG(3400)</f>
        <v>3.5314789170422549</v>
      </c>
      <c r="BY434" s="10">
        <f>LOG(26)</f>
        <v>1.414973347970818</v>
      </c>
      <c r="CG434" t="s">
        <v>651</v>
      </c>
      <c r="CH434" t="s">
        <v>726</v>
      </c>
    </row>
    <row r="435" spans="1:86" x14ac:dyDescent="0.3">
      <c r="A435">
        <v>474</v>
      </c>
      <c r="B435" t="s">
        <v>360</v>
      </c>
      <c r="C435" t="s">
        <v>6</v>
      </c>
      <c r="D435" t="s">
        <v>778</v>
      </c>
      <c r="E435" t="s">
        <v>769</v>
      </c>
      <c r="F435" t="s">
        <v>577</v>
      </c>
      <c r="G435" t="s">
        <v>728</v>
      </c>
      <c r="I435" t="s">
        <v>770</v>
      </c>
      <c r="BG435" t="s">
        <v>312</v>
      </c>
      <c r="BH435" t="s">
        <v>691</v>
      </c>
      <c r="BJ435" s="10" t="s">
        <v>629</v>
      </c>
      <c r="BK435" s="10" t="s">
        <v>137</v>
      </c>
      <c r="BL435" s="10">
        <v>2.106455330914287</v>
      </c>
      <c r="BM435" s="52">
        <v>4</v>
      </c>
      <c r="BS435" s="10">
        <f>LOG(2300)</f>
        <v>3.3617278360175931</v>
      </c>
      <c r="BY435" s="10">
        <f>LOG(18)</f>
        <v>1.255272505103306</v>
      </c>
      <c r="CG435" t="s">
        <v>651</v>
      </c>
      <c r="CH435" t="s">
        <v>726</v>
      </c>
    </row>
    <row r="436" spans="1:86" x14ac:dyDescent="0.3">
      <c r="A436">
        <v>475</v>
      </c>
      <c r="B436" t="s">
        <v>360</v>
      </c>
      <c r="C436" t="s">
        <v>330</v>
      </c>
      <c r="D436" t="s">
        <v>768</v>
      </c>
      <c r="E436" t="s">
        <v>769</v>
      </c>
      <c r="F436" t="s">
        <v>577</v>
      </c>
      <c r="I436" t="s">
        <v>770</v>
      </c>
      <c r="J436" t="s">
        <v>771</v>
      </c>
      <c r="K436">
        <v>0.4</v>
      </c>
      <c r="BG436" t="s">
        <v>312</v>
      </c>
      <c r="BH436" t="s">
        <v>779</v>
      </c>
      <c r="BJ436" s="10" t="s">
        <v>629</v>
      </c>
      <c r="BK436" s="10" t="s">
        <v>137</v>
      </c>
      <c r="BL436" s="10">
        <v>5.3521825181113627</v>
      </c>
      <c r="BM436" s="52">
        <v>11</v>
      </c>
      <c r="BS436" s="10">
        <f>LOG(36000000)</f>
        <v>7.5563025007672868</v>
      </c>
      <c r="BY436" s="10">
        <f>LOG(160)</f>
        <v>2.2041199826559246</v>
      </c>
      <c r="CG436" t="s">
        <v>651</v>
      </c>
      <c r="CH436" t="s">
        <v>726</v>
      </c>
    </row>
    <row r="437" spans="1:86" x14ac:dyDescent="0.3">
      <c r="A437">
        <v>476</v>
      </c>
      <c r="B437" t="s">
        <v>360</v>
      </c>
      <c r="C437" t="s">
        <v>330</v>
      </c>
      <c r="D437" t="s">
        <v>768</v>
      </c>
      <c r="E437" t="s">
        <v>769</v>
      </c>
      <c r="F437" t="s">
        <v>577</v>
      </c>
      <c r="I437" t="s">
        <v>770</v>
      </c>
      <c r="J437" t="s">
        <v>771</v>
      </c>
      <c r="K437">
        <v>0.4</v>
      </c>
      <c r="BG437" t="s">
        <v>312</v>
      </c>
      <c r="BH437" t="s">
        <v>779</v>
      </c>
      <c r="BJ437" s="10" t="s">
        <v>629</v>
      </c>
      <c r="BK437" s="10" t="s">
        <v>137</v>
      </c>
      <c r="BL437" s="10">
        <v>7.4913616938342731</v>
      </c>
      <c r="BM437" s="52">
        <v>11</v>
      </c>
      <c r="BS437" s="10">
        <f>LOG(31000000)</f>
        <v>7.4913616938342731</v>
      </c>
      <c r="BY437" s="10">
        <f>LOG(1)</f>
        <v>0</v>
      </c>
      <c r="CG437" t="s">
        <v>651</v>
      </c>
      <c r="CH437" t="s">
        <v>726</v>
      </c>
    </row>
    <row r="438" spans="1:86" x14ac:dyDescent="0.3">
      <c r="A438">
        <v>477</v>
      </c>
      <c r="B438" t="s">
        <v>360</v>
      </c>
      <c r="C438" t="s">
        <v>330</v>
      </c>
      <c r="D438" t="s">
        <v>768</v>
      </c>
      <c r="E438" t="s">
        <v>769</v>
      </c>
      <c r="F438" t="s">
        <v>577</v>
      </c>
      <c r="I438" t="s">
        <v>770</v>
      </c>
      <c r="J438" t="s">
        <v>771</v>
      </c>
      <c r="K438">
        <v>0.4</v>
      </c>
      <c r="BG438" t="s">
        <v>312</v>
      </c>
      <c r="BH438" t="s">
        <v>779</v>
      </c>
      <c r="BJ438" s="10" t="s">
        <v>629</v>
      </c>
      <c r="BK438" s="10" t="s">
        <v>137</v>
      </c>
      <c r="BL438" s="10">
        <v>6.0413926851582245</v>
      </c>
      <c r="BM438" s="52">
        <v>11</v>
      </c>
      <c r="BS438" s="10">
        <f>LOG(3300000)</f>
        <v>6.5185139398778871</v>
      </c>
      <c r="BY438" s="10">
        <f>LOG(3)</f>
        <v>0.47712125471966244</v>
      </c>
      <c r="CG438" t="s">
        <v>651</v>
      </c>
      <c r="CH438" t="s">
        <v>726</v>
      </c>
    </row>
    <row r="439" spans="1:86" x14ac:dyDescent="0.3">
      <c r="A439">
        <v>478</v>
      </c>
      <c r="B439" t="s">
        <v>360</v>
      </c>
      <c r="C439" t="s">
        <v>330</v>
      </c>
      <c r="D439" t="s">
        <v>768</v>
      </c>
      <c r="E439" t="s">
        <v>769</v>
      </c>
      <c r="F439" t="s">
        <v>577</v>
      </c>
      <c r="I439" t="s">
        <v>770</v>
      </c>
      <c r="J439" t="s">
        <v>771</v>
      </c>
      <c r="K439">
        <v>0.4</v>
      </c>
      <c r="BG439" t="s">
        <v>312</v>
      </c>
      <c r="BH439" t="s">
        <v>779</v>
      </c>
      <c r="BJ439" s="10" t="s">
        <v>629</v>
      </c>
      <c r="BK439" s="10" t="s">
        <v>137</v>
      </c>
      <c r="BL439" s="10">
        <v>4.8239087409443187</v>
      </c>
      <c r="BM439" s="52">
        <v>11</v>
      </c>
      <c r="BS439" s="10">
        <f>LOG(400000)</f>
        <v>5.6020599913279625</v>
      </c>
      <c r="BY439" s="10">
        <f>LOG(6)</f>
        <v>0.77815125038364363</v>
      </c>
      <c r="CG439" t="s">
        <v>651</v>
      </c>
      <c r="CH439" t="s">
        <v>726</v>
      </c>
    </row>
    <row r="440" spans="1:86" x14ac:dyDescent="0.3">
      <c r="A440">
        <v>479</v>
      </c>
      <c r="B440" t="s">
        <v>360</v>
      </c>
      <c r="C440" t="s">
        <v>330</v>
      </c>
      <c r="D440" t="s">
        <v>768</v>
      </c>
      <c r="E440" t="s">
        <v>769</v>
      </c>
      <c r="F440" t="s">
        <v>577</v>
      </c>
      <c r="I440" t="s">
        <v>770</v>
      </c>
      <c r="J440" t="s">
        <v>771</v>
      </c>
      <c r="K440">
        <v>0.4</v>
      </c>
      <c r="BG440" t="s">
        <v>312</v>
      </c>
      <c r="BH440" t="s">
        <v>779</v>
      </c>
      <c r="BJ440" s="10" t="s">
        <v>629</v>
      </c>
      <c r="BK440" s="10" t="s">
        <v>137</v>
      </c>
      <c r="BL440" s="10">
        <v>5.9420080530223132</v>
      </c>
      <c r="BM440" s="52">
        <v>11</v>
      </c>
      <c r="BS440" s="10">
        <f>LOG(3500000)</f>
        <v>6.5440680443502757</v>
      </c>
      <c r="BY440" s="10">
        <f>LOG(4)</f>
        <v>0.6020599913279624</v>
      </c>
      <c r="CG440" t="s">
        <v>651</v>
      </c>
      <c r="CH440" t="s">
        <v>726</v>
      </c>
    </row>
    <row r="441" spans="1:86" x14ac:dyDescent="0.3">
      <c r="A441">
        <v>480</v>
      </c>
      <c r="B441" t="s">
        <v>360</v>
      </c>
      <c r="C441" t="s">
        <v>330</v>
      </c>
      <c r="D441" t="s">
        <v>768</v>
      </c>
      <c r="E441" t="s">
        <v>769</v>
      </c>
      <c r="F441" t="s">
        <v>577</v>
      </c>
      <c r="I441" t="s">
        <v>770</v>
      </c>
      <c r="J441" t="s">
        <v>771</v>
      </c>
      <c r="K441">
        <v>0.4</v>
      </c>
      <c r="BG441" t="s">
        <v>312</v>
      </c>
      <c r="BH441" t="s">
        <v>779</v>
      </c>
      <c r="BJ441" s="10" t="s">
        <v>629</v>
      </c>
      <c r="BK441" s="10" t="s">
        <v>137</v>
      </c>
      <c r="BL441" s="10">
        <v>5.204119982655925</v>
      </c>
      <c r="BM441" s="52">
        <v>11</v>
      </c>
      <c r="BS441" s="10">
        <f>LOG(640000)</f>
        <v>5.8061799739838875</v>
      </c>
      <c r="BY441" s="10">
        <f>LOG(4)</f>
        <v>0.6020599913279624</v>
      </c>
      <c r="CG441" t="s">
        <v>651</v>
      </c>
      <c r="CH441" t="s">
        <v>726</v>
      </c>
    </row>
    <row r="442" spans="1:86" x14ac:dyDescent="0.3">
      <c r="A442">
        <v>481</v>
      </c>
      <c r="B442" t="s">
        <v>360</v>
      </c>
      <c r="C442" t="s">
        <v>330</v>
      </c>
      <c r="D442" t="s">
        <v>768</v>
      </c>
      <c r="E442" t="s">
        <v>769</v>
      </c>
      <c r="F442" t="s">
        <v>577</v>
      </c>
      <c r="I442" t="s">
        <v>770</v>
      </c>
      <c r="J442" t="s">
        <v>771</v>
      </c>
      <c r="K442">
        <v>0.4</v>
      </c>
      <c r="BG442" t="s">
        <v>312</v>
      </c>
      <c r="BH442" t="s">
        <v>779</v>
      </c>
      <c r="BJ442" s="10" t="s">
        <v>629</v>
      </c>
      <c r="BK442" s="10" t="s">
        <v>137</v>
      </c>
      <c r="BL442" s="10">
        <v>6.3222192947339195</v>
      </c>
      <c r="BM442" s="52">
        <v>11</v>
      </c>
      <c r="BR442" s="10" t="s">
        <v>842</v>
      </c>
      <c r="BS442" s="10">
        <f>LOG(2100000)</f>
        <v>6.3222192947339195</v>
      </c>
      <c r="BY442" s="10">
        <f t="shared" ref="BY442:BY447" si="25">LOG(1)</f>
        <v>0</v>
      </c>
      <c r="CG442" t="s">
        <v>651</v>
      </c>
      <c r="CH442" t="s">
        <v>726</v>
      </c>
    </row>
    <row r="443" spans="1:86" x14ac:dyDescent="0.3">
      <c r="A443">
        <v>482</v>
      </c>
      <c r="B443" t="s">
        <v>360</v>
      </c>
      <c r="C443" t="s">
        <v>330</v>
      </c>
      <c r="D443" t="s">
        <v>768</v>
      </c>
      <c r="E443" t="s">
        <v>769</v>
      </c>
      <c r="F443" t="s">
        <v>577</v>
      </c>
      <c r="I443" t="s">
        <v>770</v>
      </c>
      <c r="J443" t="s">
        <v>771</v>
      </c>
      <c r="K443">
        <v>0.4</v>
      </c>
      <c r="BG443" t="s">
        <v>312</v>
      </c>
      <c r="BH443" t="s">
        <v>779</v>
      </c>
      <c r="BJ443" s="10" t="s">
        <v>629</v>
      </c>
      <c r="BK443" s="10" t="s">
        <v>137</v>
      </c>
      <c r="BL443" s="10">
        <v>6.6127838567197355</v>
      </c>
      <c r="BM443" s="52">
        <v>11</v>
      </c>
      <c r="BR443" s="10" t="s">
        <v>842</v>
      </c>
      <c r="BS443" s="10">
        <f>LOG(4100000)</f>
        <v>6.6127838567197355</v>
      </c>
      <c r="BY443" s="10">
        <f t="shared" si="25"/>
        <v>0</v>
      </c>
      <c r="CG443" t="s">
        <v>651</v>
      </c>
      <c r="CH443" t="s">
        <v>726</v>
      </c>
    </row>
    <row r="444" spans="1:86" x14ac:dyDescent="0.3">
      <c r="A444">
        <v>483</v>
      </c>
      <c r="B444" t="s">
        <v>360</v>
      </c>
      <c r="C444" t="s">
        <v>330</v>
      </c>
      <c r="D444" t="s">
        <v>768</v>
      </c>
      <c r="E444" t="s">
        <v>769</v>
      </c>
      <c r="F444" t="s">
        <v>577</v>
      </c>
      <c r="I444" t="s">
        <v>770</v>
      </c>
      <c r="J444" t="s">
        <v>771</v>
      </c>
      <c r="K444">
        <v>0.4</v>
      </c>
      <c r="BG444" t="s">
        <v>312</v>
      </c>
      <c r="BH444" t="s">
        <v>779</v>
      </c>
      <c r="BJ444" s="10" t="s">
        <v>629</v>
      </c>
      <c r="BK444" s="10" t="s">
        <v>137</v>
      </c>
      <c r="BL444" s="10">
        <v>6.3222192947339195</v>
      </c>
      <c r="BM444" s="52">
        <v>11</v>
      </c>
      <c r="BR444" s="10" t="s">
        <v>842</v>
      </c>
      <c r="BS444" s="10">
        <f>LOG(2100000)</f>
        <v>6.3222192947339195</v>
      </c>
      <c r="BY444" s="10">
        <f t="shared" si="25"/>
        <v>0</v>
      </c>
      <c r="CG444" t="s">
        <v>651</v>
      </c>
      <c r="CH444" t="s">
        <v>726</v>
      </c>
    </row>
    <row r="445" spans="1:86" x14ac:dyDescent="0.3">
      <c r="A445">
        <v>484</v>
      </c>
      <c r="B445" t="s">
        <v>360</v>
      </c>
      <c r="C445" t="s">
        <v>330</v>
      </c>
      <c r="D445" t="s">
        <v>768</v>
      </c>
      <c r="E445" t="s">
        <v>769</v>
      </c>
      <c r="F445" t="s">
        <v>577</v>
      </c>
      <c r="I445" t="s">
        <v>770</v>
      </c>
      <c r="J445" t="s">
        <v>771</v>
      </c>
      <c r="K445">
        <v>0.4</v>
      </c>
      <c r="BG445" t="s">
        <v>312</v>
      </c>
      <c r="BH445" t="s">
        <v>779</v>
      </c>
      <c r="BJ445" s="10" t="s">
        <v>629</v>
      </c>
      <c r="BK445" s="10" t="s">
        <v>137</v>
      </c>
      <c r="BL445" s="10">
        <v>6.2552725051033065</v>
      </c>
      <c r="BM445" s="52">
        <v>11</v>
      </c>
      <c r="BS445" s="10">
        <f>LOG(1800000)</f>
        <v>6.2552725051033065</v>
      </c>
      <c r="BY445" s="10">
        <f t="shared" si="25"/>
        <v>0</v>
      </c>
      <c r="CG445" t="s">
        <v>651</v>
      </c>
      <c r="CH445" t="s">
        <v>726</v>
      </c>
    </row>
    <row r="446" spans="1:86" x14ac:dyDescent="0.3">
      <c r="A446">
        <v>485</v>
      </c>
      <c r="B446" t="s">
        <v>360</v>
      </c>
      <c r="C446" t="s">
        <v>330</v>
      </c>
      <c r="D446" t="s">
        <v>768</v>
      </c>
      <c r="E446" t="s">
        <v>769</v>
      </c>
      <c r="F446" t="s">
        <v>577</v>
      </c>
      <c r="I446" t="s">
        <v>770</v>
      </c>
      <c r="J446" t="s">
        <v>771</v>
      </c>
      <c r="K446">
        <v>0.4</v>
      </c>
      <c r="BG446" t="s">
        <v>312</v>
      </c>
      <c r="BH446" t="s">
        <v>779</v>
      </c>
      <c r="BJ446" s="10" t="s">
        <v>629</v>
      </c>
      <c r="BK446" s="10" t="s">
        <v>137</v>
      </c>
      <c r="BL446" s="10">
        <v>6.3010299956639813</v>
      </c>
      <c r="BM446" s="52">
        <v>11</v>
      </c>
      <c r="BR446" s="10" t="s">
        <v>842</v>
      </c>
      <c r="BS446" s="10">
        <f>LOG(2000000)</f>
        <v>6.3010299956639813</v>
      </c>
      <c r="BY446" s="10">
        <f t="shared" si="25"/>
        <v>0</v>
      </c>
      <c r="CG446" t="s">
        <v>651</v>
      </c>
      <c r="CH446" t="s">
        <v>726</v>
      </c>
    </row>
    <row r="447" spans="1:86" x14ac:dyDescent="0.3">
      <c r="A447">
        <v>486</v>
      </c>
      <c r="B447" t="s">
        <v>360</v>
      </c>
      <c r="C447" t="s">
        <v>329</v>
      </c>
      <c r="D447" t="s">
        <v>772</v>
      </c>
      <c r="E447" t="s">
        <v>769</v>
      </c>
      <c r="F447" t="s">
        <v>577</v>
      </c>
      <c r="G447" t="s">
        <v>773</v>
      </c>
      <c r="I447" t="s">
        <v>770</v>
      </c>
      <c r="BG447" t="s">
        <v>312</v>
      </c>
      <c r="BH447" t="s">
        <v>779</v>
      </c>
      <c r="BJ447" s="10" t="s">
        <v>629</v>
      </c>
      <c r="BK447" s="10" t="s">
        <v>137</v>
      </c>
      <c r="BL447" s="10">
        <v>2.2041199826559246</v>
      </c>
      <c r="BM447" s="52">
        <v>11</v>
      </c>
      <c r="BS447" s="10">
        <f>LOG(160)</f>
        <v>2.2041199826559246</v>
      </c>
      <c r="BY447" s="10">
        <f t="shared" si="25"/>
        <v>0</v>
      </c>
      <c r="CG447" t="s">
        <v>651</v>
      </c>
      <c r="CH447" t="s">
        <v>726</v>
      </c>
    </row>
    <row r="448" spans="1:86" x14ac:dyDescent="0.3">
      <c r="A448">
        <v>487</v>
      </c>
      <c r="B448" t="s">
        <v>360</v>
      </c>
      <c r="C448" t="s">
        <v>329</v>
      </c>
      <c r="D448" t="s">
        <v>772</v>
      </c>
      <c r="E448" t="s">
        <v>769</v>
      </c>
      <c r="F448" t="s">
        <v>577</v>
      </c>
      <c r="G448" t="s">
        <v>773</v>
      </c>
      <c r="I448" t="s">
        <v>770</v>
      </c>
      <c r="BG448" t="s">
        <v>312</v>
      </c>
      <c r="BH448" t="s">
        <v>779</v>
      </c>
      <c r="BJ448" s="10" t="s">
        <v>629</v>
      </c>
      <c r="BK448" s="10" t="s">
        <v>137</v>
      </c>
      <c r="BL448" s="10">
        <v>-0.30102999566398125</v>
      </c>
      <c r="BM448" s="52">
        <v>11</v>
      </c>
      <c r="BS448" s="10">
        <f>LOG(1)</f>
        <v>0</v>
      </c>
      <c r="BY448" s="10">
        <f>LOG(2)</f>
        <v>0.3010299956639812</v>
      </c>
      <c r="CG448" t="s">
        <v>651</v>
      </c>
      <c r="CH448" t="s">
        <v>726</v>
      </c>
    </row>
    <row r="449" spans="1:86" x14ac:dyDescent="0.3">
      <c r="A449">
        <v>488</v>
      </c>
      <c r="B449" t="s">
        <v>360</v>
      </c>
      <c r="C449" t="s">
        <v>329</v>
      </c>
      <c r="D449" t="s">
        <v>772</v>
      </c>
      <c r="E449" t="s">
        <v>769</v>
      </c>
      <c r="F449" t="s">
        <v>577</v>
      </c>
      <c r="G449" t="s">
        <v>773</v>
      </c>
      <c r="I449" t="s">
        <v>770</v>
      </c>
      <c r="BG449" t="s">
        <v>312</v>
      </c>
      <c r="BH449" t="s">
        <v>779</v>
      </c>
      <c r="BJ449" s="10" t="s">
        <v>629</v>
      </c>
      <c r="BK449" s="10" t="s">
        <v>137</v>
      </c>
      <c r="BL449" s="10">
        <v>0.47712125471966238</v>
      </c>
      <c r="BM449" s="52">
        <v>11</v>
      </c>
      <c r="BR449" s="10" t="s">
        <v>842</v>
      </c>
      <c r="BS449" s="10">
        <f>LOG(3)</f>
        <v>0.47712125471966244</v>
      </c>
      <c r="BY449" s="10">
        <f t="shared" ref="BY449:BY454" si="26">LOG(1)</f>
        <v>0</v>
      </c>
      <c r="CG449" t="s">
        <v>651</v>
      </c>
      <c r="CH449" t="s">
        <v>726</v>
      </c>
    </row>
    <row r="450" spans="1:86" x14ac:dyDescent="0.3">
      <c r="A450">
        <v>489</v>
      </c>
      <c r="B450" t="s">
        <v>360</v>
      </c>
      <c r="C450" t="s">
        <v>329</v>
      </c>
      <c r="D450" t="s">
        <v>772</v>
      </c>
      <c r="E450" t="s">
        <v>769</v>
      </c>
      <c r="F450" t="s">
        <v>577</v>
      </c>
      <c r="G450" t="s">
        <v>773</v>
      </c>
      <c r="I450" t="s">
        <v>770</v>
      </c>
      <c r="BG450" t="s">
        <v>312</v>
      </c>
      <c r="BH450" t="s">
        <v>779</v>
      </c>
      <c r="BJ450" s="10" t="s">
        <v>629</v>
      </c>
      <c r="BK450" s="10" t="s">
        <v>137</v>
      </c>
      <c r="BL450" s="10">
        <v>0.77815125038364363</v>
      </c>
      <c r="BM450" s="52">
        <v>11</v>
      </c>
      <c r="BR450" s="10" t="s">
        <v>842</v>
      </c>
      <c r="BS450" s="10">
        <f>LOG(6)</f>
        <v>0.77815125038364363</v>
      </c>
      <c r="BY450" s="10">
        <f t="shared" si="26"/>
        <v>0</v>
      </c>
      <c r="CG450" t="s">
        <v>651</v>
      </c>
      <c r="CH450" t="s">
        <v>726</v>
      </c>
    </row>
    <row r="451" spans="1:86" x14ac:dyDescent="0.3">
      <c r="A451">
        <v>490</v>
      </c>
      <c r="B451" t="s">
        <v>360</v>
      </c>
      <c r="C451" t="s">
        <v>329</v>
      </c>
      <c r="D451" t="s">
        <v>772</v>
      </c>
      <c r="E451" t="s">
        <v>769</v>
      </c>
      <c r="F451" t="s">
        <v>577</v>
      </c>
      <c r="G451" t="s">
        <v>773</v>
      </c>
      <c r="I451" t="s">
        <v>770</v>
      </c>
      <c r="BG451" t="s">
        <v>312</v>
      </c>
      <c r="BH451" t="s">
        <v>779</v>
      </c>
      <c r="BJ451" s="10" t="s">
        <v>629</v>
      </c>
      <c r="BK451" s="10" t="s">
        <v>137</v>
      </c>
      <c r="BL451" s="10">
        <v>0.60205999132796229</v>
      </c>
      <c r="BM451" s="52">
        <v>11</v>
      </c>
      <c r="BR451" s="10" t="s">
        <v>842</v>
      </c>
      <c r="BS451" s="10">
        <f>LOG(4)</f>
        <v>0.6020599913279624</v>
      </c>
      <c r="BY451" s="10">
        <f t="shared" si="26"/>
        <v>0</v>
      </c>
      <c r="CG451" t="s">
        <v>651</v>
      </c>
      <c r="CH451" t="s">
        <v>726</v>
      </c>
    </row>
    <row r="452" spans="1:86" x14ac:dyDescent="0.3">
      <c r="A452">
        <v>491</v>
      </c>
      <c r="B452" t="s">
        <v>360</v>
      </c>
      <c r="C452" t="s">
        <v>329</v>
      </c>
      <c r="D452" t="s">
        <v>772</v>
      </c>
      <c r="E452" t="s">
        <v>769</v>
      </c>
      <c r="F452" t="s">
        <v>577</v>
      </c>
      <c r="G452" t="s">
        <v>773</v>
      </c>
      <c r="I452" t="s">
        <v>770</v>
      </c>
      <c r="BG452" t="s">
        <v>312</v>
      </c>
      <c r="BH452" t="s">
        <v>779</v>
      </c>
      <c r="BJ452" s="10" t="s">
        <v>629</v>
      </c>
      <c r="BK452" s="10" t="s">
        <v>137</v>
      </c>
      <c r="BL452" s="10">
        <v>0.60205999132796229</v>
      </c>
      <c r="BM452" s="52">
        <v>11</v>
      </c>
      <c r="BS452" s="10">
        <f>LOG(4)</f>
        <v>0.6020599913279624</v>
      </c>
      <c r="BY452" s="10">
        <f t="shared" si="26"/>
        <v>0</v>
      </c>
      <c r="CG452" t="s">
        <v>651</v>
      </c>
      <c r="CH452" t="s">
        <v>726</v>
      </c>
    </row>
    <row r="453" spans="1:86" x14ac:dyDescent="0.3">
      <c r="A453">
        <v>495</v>
      </c>
      <c r="B453" t="s">
        <v>360</v>
      </c>
      <c r="C453" t="s">
        <v>329</v>
      </c>
      <c r="D453" t="s">
        <v>772</v>
      </c>
      <c r="E453" t="s">
        <v>769</v>
      </c>
      <c r="F453" t="s">
        <v>577</v>
      </c>
      <c r="G453" t="s">
        <v>773</v>
      </c>
      <c r="I453" t="s">
        <v>770</v>
      </c>
      <c r="BG453" t="s">
        <v>312</v>
      </c>
      <c r="BH453" t="s">
        <v>779</v>
      </c>
      <c r="BJ453" s="10" t="s">
        <v>629</v>
      </c>
      <c r="BK453" s="10" t="s">
        <v>137</v>
      </c>
      <c r="BL453" s="10">
        <v>0</v>
      </c>
      <c r="BM453" s="52">
        <v>11</v>
      </c>
      <c r="BS453" s="10">
        <f>LOG(1)</f>
        <v>0</v>
      </c>
      <c r="BY453" s="10">
        <f t="shared" si="26"/>
        <v>0</v>
      </c>
      <c r="CG453" t="s">
        <v>651</v>
      </c>
      <c r="CH453" t="s">
        <v>726</v>
      </c>
    </row>
    <row r="454" spans="1:86" x14ac:dyDescent="0.3">
      <c r="A454">
        <v>496</v>
      </c>
      <c r="B454" t="s">
        <v>360</v>
      </c>
      <c r="C454" t="s">
        <v>329</v>
      </c>
      <c r="D454" t="s">
        <v>772</v>
      </c>
      <c r="E454" t="s">
        <v>769</v>
      </c>
      <c r="F454" t="s">
        <v>577</v>
      </c>
      <c r="G454" t="s">
        <v>773</v>
      </c>
      <c r="I454" t="s">
        <v>770</v>
      </c>
      <c r="BG454" t="s">
        <v>312</v>
      </c>
      <c r="BH454" t="s">
        <v>779</v>
      </c>
      <c r="BJ454" s="10" t="s">
        <v>629</v>
      </c>
      <c r="BK454" s="10" t="s">
        <v>137</v>
      </c>
      <c r="BL454" s="10">
        <v>0</v>
      </c>
      <c r="BM454" s="52">
        <v>11</v>
      </c>
      <c r="BR454" s="10" t="s">
        <v>842</v>
      </c>
      <c r="BS454" s="10">
        <f>LOG(1)</f>
        <v>0</v>
      </c>
      <c r="BY454" s="10">
        <f t="shared" si="26"/>
        <v>0</v>
      </c>
      <c r="CG454" t="s">
        <v>651</v>
      </c>
      <c r="CH454" t="s">
        <v>726</v>
      </c>
    </row>
    <row r="455" spans="1:86" x14ac:dyDescent="0.3">
      <c r="A455">
        <v>505</v>
      </c>
      <c r="B455" t="s">
        <v>360</v>
      </c>
      <c r="C455" t="s">
        <v>329</v>
      </c>
      <c r="D455" t="s">
        <v>777</v>
      </c>
      <c r="E455" t="s">
        <v>769</v>
      </c>
      <c r="F455" t="s">
        <v>577</v>
      </c>
      <c r="G455" t="s">
        <v>775</v>
      </c>
      <c r="I455" t="s">
        <v>770</v>
      </c>
      <c r="BG455" t="s">
        <v>312</v>
      </c>
      <c r="BH455" t="s">
        <v>779</v>
      </c>
      <c r="BJ455" s="10" t="s">
        <v>629</v>
      </c>
      <c r="BK455" s="10" t="s">
        <v>137</v>
      </c>
      <c r="BL455" s="10">
        <v>3.9395192526186182</v>
      </c>
      <c r="BM455" s="52">
        <v>4</v>
      </c>
      <c r="BR455" s="10" t="s">
        <v>842</v>
      </c>
      <c r="BS455" s="10">
        <f>LOG(5200)</f>
        <v>3.716003343634799</v>
      </c>
      <c r="BY455" s="10">
        <f>LOG(1)</f>
        <v>0</v>
      </c>
      <c r="CG455" t="s">
        <v>651</v>
      </c>
      <c r="CH455" t="s">
        <v>726</v>
      </c>
    </row>
    <row r="456" spans="1:86" x14ac:dyDescent="0.3">
      <c r="A456">
        <v>506</v>
      </c>
      <c r="B456" t="s">
        <v>360</v>
      </c>
      <c r="C456" t="s">
        <v>329</v>
      </c>
      <c r="D456" t="s">
        <v>777</v>
      </c>
      <c r="E456" t="s">
        <v>769</v>
      </c>
      <c r="F456" t="s">
        <v>577</v>
      </c>
      <c r="G456" t="s">
        <v>775</v>
      </c>
      <c r="I456" t="s">
        <v>770</v>
      </c>
      <c r="BG456" t="s">
        <v>312</v>
      </c>
      <c r="BH456" t="s">
        <v>779</v>
      </c>
      <c r="BJ456" s="10" t="s">
        <v>629</v>
      </c>
      <c r="BK456" s="10" t="s">
        <v>137</v>
      </c>
      <c r="BL456" s="10">
        <v>3.1139433523068369</v>
      </c>
      <c r="BM456" s="52">
        <v>4</v>
      </c>
      <c r="BS456" s="10">
        <f>LOG(800)</f>
        <v>2.9030899869919438</v>
      </c>
      <c r="BY456" s="10">
        <f>LOG(1)</f>
        <v>0</v>
      </c>
      <c r="CG456" t="s">
        <v>651</v>
      </c>
      <c r="CH456" t="s">
        <v>726</v>
      </c>
    </row>
    <row r="457" spans="1:86" x14ac:dyDescent="0.3">
      <c r="A457">
        <v>507</v>
      </c>
      <c r="B457" t="s">
        <v>360</v>
      </c>
      <c r="C457" t="s">
        <v>329</v>
      </c>
      <c r="D457" t="s">
        <v>777</v>
      </c>
      <c r="E457" t="s">
        <v>769</v>
      </c>
      <c r="F457" t="s">
        <v>577</v>
      </c>
      <c r="G457" t="s">
        <v>775</v>
      </c>
      <c r="I457" t="s">
        <v>770</v>
      </c>
      <c r="BG457" t="s">
        <v>312</v>
      </c>
      <c r="BH457" t="s">
        <v>779</v>
      </c>
      <c r="BJ457" s="10" t="s">
        <v>629</v>
      </c>
      <c r="BK457" s="10" t="s">
        <v>137</v>
      </c>
      <c r="BL457" s="10">
        <v>3</v>
      </c>
      <c r="BM457" s="52">
        <v>4</v>
      </c>
      <c r="BS457" s="10">
        <f>LOG(350)</f>
        <v>2.5440680443502757</v>
      </c>
      <c r="BY457" s="10">
        <f>LOG(1)</f>
        <v>0</v>
      </c>
      <c r="CG457" t="s">
        <v>651</v>
      </c>
      <c r="CH457" t="s">
        <v>726</v>
      </c>
    </row>
    <row r="458" spans="1:86" x14ac:dyDescent="0.3">
      <c r="A458">
        <v>508</v>
      </c>
      <c r="B458" t="s">
        <v>360</v>
      </c>
      <c r="C458" t="s">
        <v>329</v>
      </c>
      <c r="D458" t="s">
        <v>777</v>
      </c>
      <c r="E458" t="s">
        <v>769</v>
      </c>
      <c r="F458" t="s">
        <v>577</v>
      </c>
      <c r="G458" t="s">
        <v>775</v>
      </c>
      <c r="I458" t="s">
        <v>770</v>
      </c>
      <c r="BG458" t="s">
        <v>312</v>
      </c>
      <c r="BH458" t="s">
        <v>779</v>
      </c>
      <c r="BJ458" s="10" t="s">
        <v>629</v>
      </c>
      <c r="BK458" s="10" t="s">
        <v>137</v>
      </c>
      <c r="BL458" s="10">
        <v>3.653212513775344</v>
      </c>
      <c r="BM458" s="52">
        <v>4</v>
      </c>
      <c r="BS458" s="10">
        <f>LOG(2000)</f>
        <v>3.3010299956639813</v>
      </c>
      <c r="BY458" s="10">
        <f>LOG(1)</f>
        <v>0</v>
      </c>
      <c r="CG458" t="s">
        <v>651</v>
      </c>
      <c r="CH458" t="s">
        <v>726</v>
      </c>
    </row>
    <row r="459" spans="1:86" x14ac:dyDescent="0.3">
      <c r="A459">
        <v>513</v>
      </c>
      <c r="B459" t="s">
        <v>360</v>
      </c>
      <c r="C459" t="s">
        <v>6</v>
      </c>
      <c r="D459" t="s">
        <v>778</v>
      </c>
      <c r="E459" t="s">
        <v>769</v>
      </c>
      <c r="F459" t="s">
        <v>577</v>
      </c>
      <c r="G459" t="s">
        <v>728</v>
      </c>
      <c r="I459" t="s">
        <v>770</v>
      </c>
      <c r="BG459" t="s">
        <v>312</v>
      </c>
      <c r="BH459" t="s">
        <v>779</v>
      </c>
      <c r="BJ459" s="10" t="s">
        <v>629</v>
      </c>
      <c r="BK459" s="10" t="s">
        <v>137</v>
      </c>
      <c r="BL459" s="10">
        <v>0.97979661391171291</v>
      </c>
      <c r="BM459" s="52">
        <v>4</v>
      </c>
      <c r="BS459" s="10">
        <f>LOG(210)</f>
        <v>2.3222192947339191</v>
      </c>
      <c r="BY459" s="10">
        <f>LOG(22)</f>
        <v>1.3424226808222062</v>
      </c>
      <c r="CG459" t="s">
        <v>651</v>
      </c>
      <c r="CH459" t="s">
        <v>726</v>
      </c>
    </row>
    <row r="460" spans="1:86" x14ac:dyDescent="0.3">
      <c r="A460">
        <v>514</v>
      </c>
      <c r="B460" t="s">
        <v>360</v>
      </c>
      <c r="C460" t="s">
        <v>6</v>
      </c>
      <c r="D460" t="s">
        <v>778</v>
      </c>
      <c r="E460" t="s">
        <v>769</v>
      </c>
      <c r="F460" t="s">
        <v>577</v>
      </c>
      <c r="G460" t="s">
        <v>728</v>
      </c>
      <c r="I460" t="s">
        <v>770</v>
      </c>
      <c r="BG460" t="s">
        <v>312</v>
      </c>
      <c r="BH460" t="s">
        <v>779</v>
      </c>
      <c r="BJ460" s="10" t="s">
        <v>629</v>
      </c>
      <c r="BK460" s="10" t="s">
        <v>137</v>
      </c>
      <c r="BL460" s="10">
        <v>1.2218487496163566</v>
      </c>
      <c r="BM460" s="52">
        <v>4</v>
      </c>
      <c r="BS460" s="10">
        <f>LOG(1000)</f>
        <v>3</v>
      </c>
      <c r="BY460" s="10">
        <f>LOG(60)</f>
        <v>1.7781512503836436</v>
      </c>
      <c r="CG460" t="s">
        <v>651</v>
      </c>
      <c r="CH460" t="s">
        <v>726</v>
      </c>
    </row>
    <row r="461" spans="1:86" x14ac:dyDescent="0.3">
      <c r="A461">
        <v>515</v>
      </c>
      <c r="B461" t="s">
        <v>360</v>
      </c>
      <c r="C461" t="s">
        <v>6</v>
      </c>
      <c r="D461" t="s">
        <v>778</v>
      </c>
      <c r="E461" t="s">
        <v>769</v>
      </c>
      <c r="F461" t="s">
        <v>577</v>
      </c>
      <c r="G461" t="s">
        <v>728</v>
      </c>
      <c r="I461" t="s">
        <v>770</v>
      </c>
      <c r="BG461" t="s">
        <v>312</v>
      </c>
      <c r="BH461" t="s">
        <v>779</v>
      </c>
      <c r="BJ461" s="10" t="s">
        <v>629</v>
      </c>
      <c r="BK461" s="10" t="s">
        <v>137</v>
      </c>
      <c r="BL461" s="10">
        <v>1.1383026981662816</v>
      </c>
      <c r="BM461" s="52">
        <v>4</v>
      </c>
      <c r="BS461" s="10">
        <f>LOG(220)</f>
        <v>2.3424226808222062</v>
      </c>
      <c r="BY461" s="10">
        <f>LOG(16)</f>
        <v>1.2041199826559248</v>
      </c>
      <c r="CG461" t="s">
        <v>651</v>
      </c>
      <c r="CH461" t="s">
        <v>726</v>
      </c>
    </row>
    <row r="462" spans="1:86" x14ac:dyDescent="0.3">
      <c r="A462">
        <v>516</v>
      </c>
      <c r="B462" t="s">
        <v>360</v>
      </c>
      <c r="C462" t="s">
        <v>6</v>
      </c>
      <c r="D462" t="s">
        <v>778</v>
      </c>
      <c r="E462" t="s">
        <v>769</v>
      </c>
      <c r="F462" t="s">
        <v>577</v>
      </c>
      <c r="G462" t="s">
        <v>728</v>
      </c>
      <c r="I462" t="s">
        <v>770</v>
      </c>
      <c r="BG462" t="s">
        <v>312</v>
      </c>
      <c r="BH462" t="s">
        <v>779</v>
      </c>
      <c r="BJ462" s="10" t="s">
        <v>629</v>
      </c>
      <c r="BK462" s="10" t="s">
        <v>137</v>
      </c>
      <c r="BL462" s="10">
        <v>1.5740312677277191</v>
      </c>
      <c r="BM462" s="52">
        <v>4</v>
      </c>
      <c r="BS462" s="10">
        <f>LOG(150)</f>
        <v>2.1760912590556813</v>
      </c>
      <c r="BY462" s="10">
        <f>LOG(4)</f>
        <v>0.6020599913279624</v>
      </c>
      <c r="CG462" t="s">
        <v>651</v>
      </c>
      <c r="CH462" t="s">
        <v>726</v>
      </c>
    </row>
    <row r="463" spans="1:86" x14ac:dyDescent="0.3">
      <c r="A463">
        <v>517</v>
      </c>
      <c r="B463" t="s">
        <v>360</v>
      </c>
      <c r="C463" t="s">
        <v>330</v>
      </c>
      <c r="D463" t="s">
        <v>768</v>
      </c>
      <c r="E463" t="s">
        <v>769</v>
      </c>
      <c r="F463" t="s">
        <v>577</v>
      </c>
      <c r="I463" t="s">
        <v>770</v>
      </c>
      <c r="J463" t="s">
        <v>771</v>
      </c>
      <c r="K463">
        <v>0.4</v>
      </c>
      <c r="BG463" t="s">
        <v>311</v>
      </c>
      <c r="BH463" t="s">
        <v>780</v>
      </c>
      <c r="BJ463" s="10" t="s">
        <v>632</v>
      </c>
      <c r="BK463" s="10" t="s">
        <v>137</v>
      </c>
      <c r="BL463" s="10">
        <v>5.0969100130080562</v>
      </c>
      <c r="BM463" s="52">
        <v>11</v>
      </c>
      <c r="BS463" s="10">
        <f>LOG(250000)</f>
        <v>5.3979400086720375</v>
      </c>
      <c r="BY463" s="10">
        <f>LOG(2)</f>
        <v>0.3010299956639812</v>
      </c>
      <c r="CG463" t="s">
        <v>651</v>
      </c>
      <c r="CH463" t="s">
        <v>726</v>
      </c>
    </row>
    <row r="464" spans="1:86" x14ac:dyDescent="0.3">
      <c r="A464">
        <v>518</v>
      </c>
      <c r="B464" t="s">
        <v>360</v>
      </c>
      <c r="C464" t="s">
        <v>330</v>
      </c>
      <c r="D464" t="s">
        <v>768</v>
      </c>
      <c r="E464" t="s">
        <v>769</v>
      </c>
      <c r="F464" t="s">
        <v>577</v>
      </c>
      <c r="I464" t="s">
        <v>770</v>
      </c>
      <c r="J464" t="s">
        <v>771</v>
      </c>
      <c r="K464">
        <v>0.4</v>
      </c>
      <c r="BG464" t="s">
        <v>311</v>
      </c>
      <c r="BH464" t="s">
        <v>780</v>
      </c>
      <c r="BJ464" s="10" t="s">
        <v>632</v>
      </c>
      <c r="BK464" s="10" t="s">
        <v>137</v>
      </c>
      <c r="BL464" s="10">
        <v>5.8129133566428557</v>
      </c>
      <c r="BM464" s="52">
        <v>11</v>
      </c>
      <c r="BS464" s="10">
        <f>LOG(1300000)</f>
        <v>6.1139433523068369</v>
      </c>
      <c r="BY464" s="10">
        <f>LOG(2)</f>
        <v>0.3010299956639812</v>
      </c>
      <c r="CG464" t="s">
        <v>651</v>
      </c>
      <c r="CH464" t="s">
        <v>726</v>
      </c>
    </row>
    <row r="465" spans="1:86" x14ac:dyDescent="0.3">
      <c r="A465">
        <v>519</v>
      </c>
      <c r="B465" t="s">
        <v>360</v>
      </c>
      <c r="C465" t="s">
        <v>330</v>
      </c>
      <c r="D465" t="s">
        <v>768</v>
      </c>
      <c r="E465" t="s">
        <v>769</v>
      </c>
      <c r="F465" t="s">
        <v>577</v>
      </c>
      <c r="I465" t="s">
        <v>770</v>
      </c>
      <c r="J465" t="s">
        <v>771</v>
      </c>
      <c r="K465">
        <v>0.4</v>
      </c>
      <c r="BG465" t="s">
        <v>311</v>
      </c>
      <c r="BH465" t="s">
        <v>780</v>
      </c>
      <c r="BJ465" s="10" t="s">
        <v>632</v>
      </c>
      <c r="BK465" s="10" t="s">
        <v>137</v>
      </c>
      <c r="BL465" s="10">
        <v>4.5797835966168101</v>
      </c>
      <c r="BM465" s="52">
        <v>11</v>
      </c>
      <c r="BR465" s="10" t="s">
        <v>842</v>
      </c>
      <c r="BS465" s="10">
        <f>LOG(38000)</f>
        <v>4.5797835966168101</v>
      </c>
      <c r="BY465" s="10">
        <f>LOG(1)</f>
        <v>0</v>
      </c>
      <c r="CG465" t="s">
        <v>651</v>
      </c>
      <c r="CH465" t="s">
        <v>726</v>
      </c>
    </row>
    <row r="466" spans="1:86" x14ac:dyDescent="0.3">
      <c r="A466">
        <v>520</v>
      </c>
      <c r="B466" t="s">
        <v>360</v>
      </c>
      <c r="C466" t="s">
        <v>330</v>
      </c>
      <c r="D466" t="s">
        <v>768</v>
      </c>
      <c r="E466" t="s">
        <v>769</v>
      </c>
      <c r="F466" t="s">
        <v>577</v>
      </c>
      <c r="I466" t="s">
        <v>770</v>
      </c>
      <c r="J466" t="s">
        <v>771</v>
      </c>
      <c r="K466">
        <v>0.4</v>
      </c>
      <c r="BG466" t="s">
        <v>311</v>
      </c>
      <c r="BH466" t="s">
        <v>780</v>
      </c>
      <c r="BJ466" s="10" t="s">
        <v>632</v>
      </c>
      <c r="BK466" s="10" t="s">
        <v>137</v>
      </c>
      <c r="BL466" s="10">
        <v>6</v>
      </c>
      <c r="BM466" s="52">
        <v>11</v>
      </c>
      <c r="BR466" s="10" t="s">
        <v>842</v>
      </c>
      <c r="BS466" s="10">
        <f>LOG(1000000)</f>
        <v>6</v>
      </c>
      <c r="BY466" s="10">
        <f>LOG(1)</f>
        <v>0</v>
      </c>
      <c r="CG466" t="s">
        <v>651</v>
      </c>
      <c r="CH466" t="s">
        <v>726</v>
      </c>
    </row>
    <row r="467" spans="1:86" x14ac:dyDescent="0.3">
      <c r="A467">
        <v>521</v>
      </c>
      <c r="B467" t="s">
        <v>360</v>
      </c>
      <c r="C467" t="s">
        <v>330</v>
      </c>
      <c r="D467" t="s">
        <v>768</v>
      </c>
      <c r="E467" t="s">
        <v>769</v>
      </c>
      <c r="F467" t="s">
        <v>577</v>
      </c>
      <c r="I467" t="s">
        <v>770</v>
      </c>
      <c r="J467" t="s">
        <v>771</v>
      </c>
      <c r="K467">
        <v>0.4</v>
      </c>
      <c r="BG467" t="s">
        <v>311</v>
      </c>
      <c r="BH467" t="s">
        <v>780</v>
      </c>
      <c r="BJ467" s="10" t="s">
        <v>632</v>
      </c>
      <c r="BK467" s="10" t="s">
        <v>137</v>
      </c>
      <c r="BL467" s="10">
        <v>5.1326255652745907</v>
      </c>
      <c r="BM467" s="52">
        <v>11</v>
      </c>
      <c r="BS467" s="10">
        <f>LOG(1900000)</f>
        <v>6.2787536009528289</v>
      </c>
      <c r="BY467" s="10">
        <f>LOG(14)</f>
        <v>1.146128035678238</v>
      </c>
      <c r="CG467" t="s">
        <v>651</v>
      </c>
      <c r="CH467" t="s">
        <v>726</v>
      </c>
    </row>
    <row r="468" spans="1:86" x14ac:dyDescent="0.3">
      <c r="A468">
        <v>522</v>
      </c>
      <c r="B468" t="s">
        <v>360</v>
      </c>
      <c r="C468" t="s">
        <v>330</v>
      </c>
      <c r="D468" t="s">
        <v>768</v>
      </c>
      <c r="E468" t="s">
        <v>769</v>
      </c>
      <c r="F468" t="s">
        <v>577</v>
      </c>
      <c r="I468" t="s">
        <v>770</v>
      </c>
      <c r="J468" t="s">
        <v>771</v>
      </c>
      <c r="K468">
        <v>0.4</v>
      </c>
      <c r="BG468" t="s">
        <v>311</v>
      </c>
      <c r="BH468" t="s">
        <v>780</v>
      </c>
      <c r="BJ468" s="10" t="s">
        <v>632</v>
      </c>
      <c r="BK468" s="10" t="s">
        <v>137</v>
      </c>
      <c r="BL468" s="10">
        <v>5.0791812460476251</v>
      </c>
      <c r="BM468" s="52">
        <v>11</v>
      </c>
      <c r="BR468" s="10" t="s">
        <v>842</v>
      </c>
      <c r="BS468" s="10">
        <f>LOG(120000)</f>
        <v>5.0791812460476251</v>
      </c>
      <c r="BY468" s="10">
        <f>LOG(1)</f>
        <v>0</v>
      </c>
      <c r="CG468" t="s">
        <v>651</v>
      </c>
      <c r="CH468" t="s">
        <v>726</v>
      </c>
    </row>
    <row r="469" spans="1:86" x14ac:dyDescent="0.3">
      <c r="A469">
        <v>523</v>
      </c>
      <c r="B469" t="s">
        <v>360</v>
      </c>
      <c r="C469" t="s">
        <v>330</v>
      </c>
      <c r="D469" t="s">
        <v>768</v>
      </c>
      <c r="E469" t="s">
        <v>769</v>
      </c>
      <c r="F469" t="s">
        <v>577</v>
      </c>
      <c r="I469" t="s">
        <v>770</v>
      </c>
      <c r="J469" t="s">
        <v>771</v>
      </c>
      <c r="K469">
        <v>0.4</v>
      </c>
      <c r="BG469" t="s">
        <v>311</v>
      </c>
      <c r="BH469" t="s">
        <v>780</v>
      </c>
      <c r="BJ469" s="10" t="s">
        <v>632</v>
      </c>
      <c r="BK469" s="10" t="s">
        <v>137</v>
      </c>
      <c r="BL469" s="10">
        <v>5.3979400086720375</v>
      </c>
      <c r="BM469" s="52">
        <v>11</v>
      </c>
      <c r="BR469" s="10" t="s">
        <v>842</v>
      </c>
      <c r="BS469" s="10">
        <f>LOG(250000)</f>
        <v>5.3979400086720375</v>
      </c>
      <c r="BY469" s="10">
        <f>LOG(1)</f>
        <v>0</v>
      </c>
      <c r="CG469" t="s">
        <v>651</v>
      </c>
      <c r="CH469" t="s">
        <v>726</v>
      </c>
    </row>
    <row r="470" spans="1:86" x14ac:dyDescent="0.3">
      <c r="A470">
        <v>524</v>
      </c>
      <c r="B470" t="s">
        <v>360</v>
      </c>
      <c r="C470" t="s">
        <v>330</v>
      </c>
      <c r="D470" t="s">
        <v>768</v>
      </c>
      <c r="E470" t="s">
        <v>769</v>
      </c>
      <c r="F470" t="s">
        <v>577</v>
      </c>
      <c r="I470" t="s">
        <v>770</v>
      </c>
      <c r="J470" t="s">
        <v>771</v>
      </c>
      <c r="K470">
        <v>0.4</v>
      </c>
      <c r="BG470" t="s">
        <v>311</v>
      </c>
      <c r="BH470" t="s">
        <v>780</v>
      </c>
      <c r="BJ470" s="10" t="s">
        <v>632</v>
      </c>
      <c r="BK470" s="10" t="s">
        <v>137</v>
      </c>
      <c r="BL470" s="10">
        <v>5.2787536009528289</v>
      </c>
      <c r="BM470" s="52">
        <v>11</v>
      </c>
      <c r="BR470" s="10" t="s">
        <v>842</v>
      </c>
      <c r="BS470" s="10">
        <f>LOG(190000)</f>
        <v>5.2787536009528289</v>
      </c>
      <c r="BY470" s="10">
        <f>LOG(1)</f>
        <v>0</v>
      </c>
      <c r="CG470" t="s">
        <v>651</v>
      </c>
      <c r="CH470" t="s">
        <v>726</v>
      </c>
    </row>
    <row r="471" spans="1:86" x14ac:dyDescent="0.3">
      <c r="A471">
        <v>525</v>
      </c>
      <c r="B471" t="s">
        <v>360</v>
      </c>
      <c r="C471" t="s">
        <v>330</v>
      </c>
      <c r="D471" t="s">
        <v>768</v>
      </c>
      <c r="E471" t="s">
        <v>769</v>
      </c>
      <c r="F471" t="s">
        <v>577</v>
      </c>
      <c r="I471" t="s">
        <v>770</v>
      </c>
      <c r="J471" t="s">
        <v>771</v>
      </c>
      <c r="K471">
        <v>0.4</v>
      </c>
      <c r="BG471" t="s">
        <v>311</v>
      </c>
      <c r="BH471" t="s">
        <v>780</v>
      </c>
      <c r="BJ471" s="10" t="s">
        <v>632</v>
      </c>
      <c r="BK471" s="10" t="s">
        <v>137</v>
      </c>
      <c r="BL471" s="10">
        <v>4.8293037728310244</v>
      </c>
      <c r="BM471" s="52">
        <v>11</v>
      </c>
      <c r="BS471" s="10">
        <f>LOG(270000)</f>
        <v>5.4313637641589869</v>
      </c>
      <c r="BY471" s="10">
        <f>LOG(4)</f>
        <v>0.6020599913279624</v>
      </c>
      <c r="CG471" t="s">
        <v>651</v>
      </c>
      <c r="CH471" t="s">
        <v>726</v>
      </c>
    </row>
    <row r="472" spans="1:86" x14ac:dyDescent="0.3">
      <c r="A472">
        <v>526</v>
      </c>
      <c r="B472" t="s">
        <v>360</v>
      </c>
      <c r="C472" t="s">
        <v>330</v>
      </c>
      <c r="D472" t="s">
        <v>768</v>
      </c>
      <c r="E472" t="s">
        <v>769</v>
      </c>
      <c r="F472" t="s">
        <v>577</v>
      </c>
      <c r="I472" t="s">
        <v>770</v>
      </c>
      <c r="J472" t="s">
        <v>771</v>
      </c>
      <c r="K472">
        <v>0.4</v>
      </c>
      <c r="BG472" t="s">
        <v>311</v>
      </c>
      <c r="BH472" t="s">
        <v>780</v>
      </c>
      <c r="BJ472" s="10" t="s">
        <v>632</v>
      </c>
      <c r="BK472" s="10" t="s">
        <v>137</v>
      </c>
      <c r="BL472" s="10">
        <v>5.5797835966168101</v>
      </c>
      <c r="BM472" s="52">
        <v>11</v>
      </c>
      <c r="BR472" s="10" t="s">
        <v>842</v>
      </c>
      <c r="BS472" s="10">
        <f>LOG(380000)</f>
        <v>5.5797835966168101</v>
      </c>
      <c r="BY472" s="10">
        <f>LOG(1)</f>
        <v>0</v>
      </c>
      <c r="CG472" t="s">
        <v>651</v>
      </c>
      <c r="CH472" t="s">
        <v>726</v>
      </c>
    </row>
    <row r="473" spans="1:86" x14ac:dyDescent="0.3">
      <c r="A473">
        <v>527</v>
      </c>
      <c r="B473" t="s">
        <v>360</v>
      </c>
      <c r="C473" t="s">
        <v>330</v>
      </c>
      <c r="D473" t="s">
        <v>768</v>
      </c>
      <c r="E473" t="s">
        <v>769</v>
      </c>
      <c r="F473" t="s">
        <v>577</v>
      </c>
      <c r="I473" t="s">
        <v>770</v>
      </c>
      <c r="J473" t="s">
        <v>771</v>
      </c>
      <c r="K473">
        <v>0.4</v>
      </c>
      <c r="BG473" t="s">
        <v>311</v>
      </c>
      <c r="BH473" t="s">
        <v>780</v>
      </c>
      <c r="BJ473" s="10" t="s">
        <v>632</v>
      </c>
      <c r="BK473" s="10" t="s">
        <v>137</v>
      </c>
      <c r="BL473" s="10">
        <v>5.0170333392987807</v>
      </c>
      <c r="BM473" s="52">
        <v>11</v>
      </c>
      <c r="BS473" s="10">
        <f>LOG(520000)</f>
        <v>5.7160033436347994</v>
      </c>
      <c r="BY473" s="10">
        <f>LOG(5)</f>
        <v>0.69897000433601886</v>
      </c>
      <c r="CG473" t="s">
        <v>651</v>
      </c>
      <c r="CH473" t="s">
        <v>726</v>
      </c>
    </row>
    <row r="474" spans="1:86" x14ac:dyDescent="0.3">
      <c r="A474">
        <v>528</v>
      </c>
      <c r="B474" t="s">
        <v>360</v>
      </c>
      <c r="C474" t="s">
        <v>329</v>
      </c>
      <c r="D474" t="s">
        <v>772</v>
      </c>
      <c r="E474" t="s">
        <v>769</v>
      </c>
      <c r="F474" t="s">
        <v>577</v>
      </c>
      <c r="G474" t="s">
        <v>773</v>
      </c>
      <c r="I474" t="s">
        <v>770</v>
      </c>
      <c r="BG474" t="s">
        <v>311</v>
      </c>
      <c r="BH474" t="s">
        <v>780</v>
      </c>
      <c r="BJ474" s="10" t="s">
        <v>632</v>
      </c>
      <c r="BK474" s="10" t="s">
        <v>137</v>
      </c>
      <c r="BL474" s="10">
        <v>0.30102999566398125</v>
      </c>
      <c r="BM474" s="52">
        <v>11</v>
      </c>
      <c r="BR474" s="10" t="s">
        <v>842</v>
      </c>
      <c r="BS474" s="10">
        <f>LOG(2)</f>
        <v>0.3010299956639812</v>
      </c>
      <c r="BY474" s="10">
        <f t="shared" ref="BY474:BY476" si="27">LOG(1)</f>
        <v>0</v>
      </c>
      <c r="CG474" t="s">
        <v>651</v>
      </c>
      <c r="CH474" t="s">
        <v>726</v>
      </c>
    </row>
    <row r="475" spans="1:86" x14ac:dyDescent="0.3">
      <c r="A475">
        <v>529</v>
      </c>
      <c r="B475" t="s">
        <v>360</v>
      </c>
      <c r="C475" t="s">
        <v>329</v>
      </c>
      <c r="D475" t="s">
        <v>772</v>
      </c>
      <c r="E475" t="s">
        <v>769</v>
      </c>
      <c r="F475" t="s">
        <v>577</v>
      </c>
      <c r="G475" t="s">
        <v>773</v>
      </c>
      <c r="I475" t="s">
        <v>770</v>
      </c>
      <c r="BG475" t="s">
        <v>311</v>
      </c>
      <c r="BH475" t="s">
        <v>780</v>
      </c>
      <c r="BJ475" s="10" t="s">
        <v>632</v>
      </c>
      <c r="BK475" s="10" t="s">
        <v>137</v>
      </c>
      <c r="BL475" s="10">
        <v>0.30102999566398125</v>
      </c>
      <c r="BM475" s="52">
        <v>11</v>
      </c>
      <c r="BR475" s="10" t="s">
        <v>842</v>
      </c>
      <c r="BS475" s="10">
        <f>LOG(2)</f>
        <v>0.3010299956639812</v>
      </c>
      <c r="BY475" s="10">
        <f t="shared" si="27"/>
        <v>0</v>
      </c>
      <c r="CG475" t="s">
        <v>651</v>
      </c>
      <c r="CH475" t="s">
        <v>726</v>
      </c>
    </row>
    <row r="476" spans="1:86" x14ac:dyDescent="0.3">
      <c r="A476">
        <v>532</v>
      </c>
      <c r="B476" t="s">
        <v>360</v>
      </c>
      <c r="C476" t="s">
        <v>329</v>
      </c>
      <c r="D476" t="s">
        <v>772</v>
      </c>
      <c r="E476" t="s">
        <v>769</v>
      </c>
      <c r="F476" t="s">
        <v>577</v>
      </c>
      <c r="G476" t="s">
        <v>773</v>
      </c>
      <c r="I476" t="s">
        <v>770</v>
      </c>
      <c r="BG476" t="s">
        <v>311</v>
      </c>
      <c r="BH476" t="s">
        <v>780</v>
      </c>
      <c r="BJ476" s="10" t="s">
        <v>632</v>
      </c>
      <c r="BK476" s="10" t="s">
        <v>137</v>
      </c>
      <c r="BL476" s="10">
        <v>1.1461280356782382</v>
      </c>
      <c r="BM476" s="52">
        <v>11</v>
      </c>
      <c r="BR476" s="10" t="s">
        <v>842</v>
      </c>
      <c r="BS476" s="10">
        <f>LOG(14)</f>
        <v>1.146128035678238</v>
      </c>
      <c r="BY476" s="10">
        <f t="shared" si="27"/>
        <v>0</v>
      </c>
      <c r="CG476" t="s">
        <v>651</v>
      </c>
      <c r="CH476" t="s">
        <v>726</v>
      </c>
    </row>
    <row r="477" spans="1:86" x14ac:dyDescent="0.3">
      <c r="A477">
        <v>534</v>
      </c>
      <c r="B477" t="s">
        <v>360</v>
      </c>
      <c r="C477" t="s">
        <v>329</v>
      </c>
      <c r="D477" t="s">
        <v>772</v>
      </c>
      <c r="E477" t="s">
        <v>769</v>
      </c>
      <c r="F477" t="s">
        <v>577</v>
      </c>
      <c r="G477" t="s">
        <v>773</v>
      </c>
      <c r="I477" t="s">
        <v>770</v>
      </c>
      <c r="BG477" t="s">
        <v>311</v>
      </c>
      <c r="BH477" t="s">
        <v>780</v>
      </c>
      <c r="BJ477" s="10" t="s">
        <v>632</v>
      </c>
      <c r="BK477" s="10" t="s">
        <v>137</v>
      </c>
      <c r="BL477" s="10">
        <v>-0.30102999566398125</v>
      </c>
      <c r="BM477" s="52">
        <v>11</v>
      </c>
      <c r="BR477" s="10" t="s">
        <v>842</v>
      </c>
      <c r="BS477" s="10">
        <f>LOG(1)</f>
        <v>0</v>
      </c>
      <c r="BY477" s="10">
        <f>LOG(2)</f>
        <v>0.3010299956639812</v>
      </c>
      <c r="CG477" t="s">
        <v>651</v>
      </c>
      <c r="CH477" t="s">
        <v>726</v>
      </c>
    </row>
    <row r="478" spans="1:86" x14ac:dyDescent="0.3">
      <c r="A478">
        <v>535</v>
      </c>
      <c r="B478" t="s">
        <v>360</v>
      </c>
      <c r="C478" t="s">
        <v>329</v>
      </c>
      <c r="D478" t="s">
        <v>772</v>
      </c>
      <c r="E478" t="s">
        <v>769</v>
      </c>
      <c r="F478" t="s">
        <v>577</v>
      </c>
      <c r="G478" t="s">
        <v>773</v>
      </c>
      <c r="I478" t="s">
        <v>770</v>
      </c>
      <c r="BG478" t="s">
        <v>311</v>
      </c>
      <c r="BH478" t="s">
        <v>780</v>
      </c>
      <c r="BJ478" s="10" t="s">
        <v>632</v>
      </c>
      <c r="BK478" s="10" t="s">
        <v>137</v>
      </c>
      <c r="BL478" s="10">
        <v>0</v>
      </c>
      <c r="BM478" s="52">
        <v>11</v>
      </c>
      <c r="BR478" s="10" t="s">
        <v>842</v>
      </c>
      <c r="BS478" s="10">
        <f>LOG(1)</f>
        <v>0</v>
      </c>
      <c r="BY478" s="10">
        <f t="shared" ref="BY478:BY485" si="28">LOG(1)</f>
        <v>0</v>
      </c>
      <c r="CG478" t="s">
        <v>651</v>
      </c>
      <c r="CH478" t="s">
        <v>726</v>
      </c>
    </row>
    <row r="479" spans="1:86" x14ac:dyDescent="0.3">
      <c r="A479">
        <v>536</v>
      </c>
      <c r="B479" t="s">
        <v>360</v>
      </c>
      <c r="C479" t="s">
        <v>329</v>
      </c>
      <c r="D479" t="s">
        <v>772</v>
      </c>
      <c r="E479" t="s">
        <v>769</v>
      </c>
      <c r="F479" t="s">
        <v>577</v>
      </c>
      <c r="G479" t="s">
        <v>773</v>
      </c>
      <c r="I479" t="s">
        <v>770</v>
      </c>
      <c r="BG479" t="s">
        <v>311</v>
      </c>
      <c r="BH479" t="s">
        <v>780</v>
      </c>
      <c r="BJ479" s="10" t="s">
        <v>632</v>
      </c>
      <c r="BK479" s="10" t="s">
        <v>137</v>
      </c>
      <c r="BL479" s="10">
        <v>0.60205999132796229</v>
      </c>
      <c r="BM479" s="52">
        <v>11</v>
      </c>
      <c r="BR479" s="10" t="s">
        <v>842</v>
      </c>
      <c r="BS479" s="10">
        <f>LOG(4)</f>
        <v>0.6020599913279624</v>
      </c>
      <c r="BY479" s="10">
        <f t="shared" si="28"/>
        <v>0</v>
      </c>
      <c r="CG479" t="s">
        <v>651</v>
      </c>
      <c r="CH479" t="s">
        <v>726</v>
      </c>
    </row>
    <row r="480" spans="1:86" x14ac:dyDescent="0.3">
      <c r="A480">
        <v>538</v>
      </c>
      <c r="B480" t="s">
        <v>360</v>
      </c>
      <c r="C480" t="s">
        <v>329</v>
      </c>
      <c r="D480" t="s">
        <v>772</v>
      </c>
      <c r="E480" t="s">
        <v>769</v>
      </c>
      <c r="F480" t="s">
        <v>577</v>
      </c>
      <c r="G480" t="s">
        <v>773</v>
      </c>
      <c r="I480" t="s">
        <v>770</v>
      </c>
      <c r="BG480" t="s">
        <v>311</v>
      </c>
      <c r="BH480" t="s">
        <v>780</v>
      </c>
      <c r="BJ480" s="10" t="s">
        <v>632</v>
      </c>
      <c r="BK480" s="10" t="s">
        <v>137</v>
      </c>
      <c r="BL480" s="10">
        <v>0.69897000433601875</v>
      </c>
      <c r="BM480" s="52">
        <v>11</v>
      </c>
      <c r="BS480" s="10">
        <f>LOG(5)</f>
        <v>0.69897000433601886</v>
      </c>
      <c r="BY480" s="10">
        <f t="shared" si="28"/>
        <v>0</v>
      </c>
      <c r="CG480" t="s">
        <v>651</v>
      </c>
      <c r="CH480" t="s">
        <v>726</v>
      </c>
    </row>
    <row r="481" spans="1:86" x14ac:dyDescent="0.3">
      <c r="A481">
        <v>547</v>
      </c>
      <c r="B481" t="s">
        <v>360</v>
      </c>
      <c r="C481" t="s">
        <v>329</v>
      </c>
      <c r="D481" t="s">
        <v>777</v>
      </c>
      <c r="E481" t="s">
        <v>769</v>
      </c>
      <c r="F481" t="s">
        <v>577</v>
      </c>
      <c r="G481" t="s">
        <v>775</v>
      </c>
      <c r="I481" t="s">
        <v>770</v>
      </c>
      <c r="BG481" t="s">
        <v>311</v>
      </c>
      <c r="BH481" t="s">
        <v>780</v>
      </c>
      <c r="BJ481" s="10" t="s">
        <v>632</v>
      </c>
      <c r="BK481" s="10" t="s">
        <v>137</v>
      </c>
      <c r="BL481" s="10">
        <v>0.84509804001425692</v>
      </c>
      <c r="BM481" s="52">
        <v>4</v>
      </c>
      <c r="BR481" s="10" t="s">
        <v>842</v>
      </c>
      <c r="BS481" s="10">
        <f>LOG(7)</f>
        <v>0.84509804001425681</v>
      </c>
      <c r="BY481" s="10">
        <f t="shared" si="28"/>
        <v>0</v>
      </c>
      <c r="CG481" t="s">
        <v>651</v>
      </c>
      <c r="CH481" t="s">
        <v>726</v>
      </c>
    </row>
    <row r="482" spans="1:86" x14ac:dyDescent="0.3">
      <c r="A482">
        <v>548</v>
      </c>
      <c r="B482" t="s">
        <v>360</v>
      </c>
      <c r="C482" t="s">
        <v>329</v>
      </c>
      <c r="D482" t="s">
        <v>777</v>
      </c>
      <c r="E482" t="s">
        <v>769</v>
      </c>
      <c r="F482" t="s">
        <v>577</v>
      </c>
      <c r="G482" t="s">
        <v>775</v>
      </c>
      <c r="I482" t="s">
        <v>770</v>
      </c>
      <c r="BG482" t="s">
        <v>311</v>
      </c>
      <c r="BH482" t="s">
        <v>780</v>
      </c>
      <c r="BJ482" s="10" t="s">
        <v>632</v>
      </c>
      <c r="BK482" s="10" t="s">
        <v>137</v>
      </c>
      <c r="BL482" s="10">
        <v>0.47712125471966238</v>
      </c>
      <c r="BM482" s="52">
        <v>4</v>
      </c>
      <c r="BR482" s="10" t="s">
        <v>842</v>
      </c>
      <c r="BS482" s="10">
        <f>LOG(5)</f>
        <v>0.69897000433601886</v>
      </c>
      <c r="BY482" s="10">
        <f t="shared" si="28"/>
        <v>0</v>
      </c>
      <c r="CG482" t="s">
        <v>651</v>
      </c>
      <c r="CH482" t="s">
        <v>726</v>
      </c>
    </row>
    <row r="483" spans="1:86" x14ac:dyDescent="0.3">
      <c r="A483">
        <v>549</v>
      </c>
      <c r="B483" t="s">
        <v>360</v>
      </c>
      <c r="C483" t="s">
        <v>329</v>
      </c>
      <c r="D483" t="s">
        <v>777</v>
      </c>
      <c r="E483" t="s">
        <v>769</v>
      </c>
      <c r="F483" t="s">
        <v>577</v>
      </c>
      <c r="G483" t="s">
        <v>775</v>
      </c>
      <c r="I483" t="s">
        <v>770</v>
      </c>
      <c r="BG483" t="s">
        <v>311</v>
      </c>
      <c r="BH483" t="s">
        <v>780</v>
      </c>
      <c r="BJ483" s="10" t="s">
        <v>632</v>
      </c>
      <c r="BK483" s="10" t="s">
        <v>137</v>
      </c>
      <c r="BL483" s="10">
        <v>1.4913616938342726</v>
      </c>
      <c r="BM483" s="52">
        <v>4</v>
      </c>
      <c r="BR483" s="10" t="s">
        <v>842</v>
      </c>
      <c r="BS483" s="10">
        <f>LOG(7)</f>
        <v>0.84509804001425681</v>
      </c>
      <c r="BY483" s="10">
        <f t="shared" si="28"/>
        <v>0</v>
      </c>
      <c r="CG483" t="s">
        <v>651</v>
      </c>
      <c r="CH483" t="s">
        <v>726</v>
      </c>
    </row>
    <row r="484" spans="1:86" x14ac:dyDescent="0.3">
      <c r="A484">
        <v>550</v>
      </c>
      <c r="B484" t="s">
        <v>360</v>
      </c>
      <c r="C484" t="s">
        <v>329</v>
      </c>
      <c r="D484" t="s">
        <v>777</v>
      </c>
      <c r="E484" t="s">
        <v>769</v>
      </c>
      <c r="F484" t="s">
        <v>577</v>
      </c>
      <c r="G484" t="s">
        <v>775</v>
      </c>
      <c r="I484" t="s">
        <v>770</v>
      </c>
      <c r="BG484" t="s">
        <v>311</v>
      </c>
      <c r="BH484" t="s">
        <v>780</v>
      </c>
      <c r="BJ484" s="10" t="s">
        <v>632</v>
      </c>
      <c r="BK484" s="10" t="s">
        <v>137</v>
      </c>
      <c r="BL484" s="10">
        <v>1.716003343634799</v>
      </c>
      <c r="BM484" s="52">
        <v>4</v>
      </c>
      <c r="BR484" s="10" t="s">
        <v>842</v>
      </c>
      <c r="BS484" s="10">
        <f>LOG(20)</f>
        <v>1.3010299956639813</v>
      </c>
      <c r="BY484" s="10">
        <f t="shared" si="28"/>
        <v>0</v>
      </c>
      <c r="CG484" t="s">
        <v>651</v>
      </c>
      <c r="CH484" t="s">
        <v>726</v>
      </c>
    </row>
    <row r="485" spans="1:86" x14ac:dyDescent="0.3">
      <c r="A485">
        <v>555</v>
      </c>
      <c r="B485" t="s">
        <v>360</v>
      </c>
      <c r="C485" t="s">
        <v>6</v>
      </c>
      <c r="D485" t="s">
        <v>778</v>
      </c>
      <c r="E485" t="s">
        <v>769</v>
      </c>
      <c r="F485" t="s">
        <v>577</v>
      </c>
      <c r="G485" t="s">
        <v>728</v>
      </c>
      <c r="I485" t="s">
        <v>770</v>
      </c>
      <c r="BG485" t="s">
        <v>311</v>
      </c>
      <c r="BH485" t="s">
        <v>780</v>
      </c>
      <c r="BJ485" s="10" t="s">
        <v>632</v>
      </c>
      <c r="BK485" s="10" t="s">
        <v>137</v>
      </c>
      <c r="BL485" s="10">
        <v>0.60205999132796229</v>
      </c>
      <c r="BM485" s="52">
        <v>4</v>
      </c>
      <c r="BR485" s="10" t="s">
        <v>842</v>
      </c>
      <c r="BS485" s="10">
        <f>LOG(4)</f>
        <v>0.6020599913279624</v>
      </c>
      <c r="BY485" s="10">
        <f t="shared" si="28"/>
        <v>0</v>
      </c>
      <c r="CG485" t="s">
        <v>651</v>
      </c>
      <c r="CH485" t="s">
        <v>726</v>
      </c>
    </row>
    <row r="486" spans="1:86" x14ac:dyDescent="0.3">
      <c r="A486">
        <v>556</v>
      </c>
      <c r="B486" t="s">
        <v>360</v>
      </c>
      <c r="C486" t="s">
        <v>6</v>
      </c>
      <c r="D486" t="s">
        <v>778</v>
      </c>
      <c r="E486" t="s">
        <v>769</v>
      </c>
      <c r="F486" t="s">
        <v>577</v>
      </c>
      <c r="G486" t="s">
        <v>728</v>
      </c>
      <c r="I486" t="s">
        <v>770</v>
      </c>
      <c r="BG486" t="s">
        <v>311</v>
      </c>
      <c r="BH486" t="s">
        <v>780</v>
      </c>
      <c r="BJ486" s="10" t="s">
        <v>632</v>
      </c>
      <c r="BK486" s="10" t="s">
        <v>137</v>
      </c>
      <c r="BL486" s="10">
        <v>0.81291335664285569</v>
      </c>
      <c r="BM486" s="52">
        <v>4</v>
      </c>
      <c r="BS486" s="10">
        <f>LOG(13)</f>
        <v>1.1139433523068367</v>
      </c>
      <c r="BY486" s="10">
        <f>LOG(2)</f>
        <v>0.3010299956639812</v>
      </c>
      <c r="CG486" t="s">
        <v>651</v>
      </c>
      <c r="CH486" t="s">
        <v>726</v>
      </c>
    </row>
    <row r="487" spans="1:86" x14ac:dyDescent="0.3">
      <c r="A487">
        <v>557</v>
      </c>
      <c r="B487" t="s">
        <v>360</v>
      </c>
      <c r="C487" t="s">
        <v>6</v>
      </c>
      <c r="D487" t="s">
        <v>778</v>
      </c>
      <c r="E487" t="s">
        <v>769</v>
      </c>
      <c r="F487" t="s">
        <v>577</v>
      </c>
      <c r="G487" t="s">
        <v>728</v>
      </c>
      <c r="I487" t="s">
        <v>770</v>
      </c>
      <c r="BG487" t="s">
        <v>311</v>
      </c>
      <c r="BH487" t="s">
        <v>780</v>
      </c>
      <c r="BJ487" s="10" t="s">
        <v>632</v>
      </c>
      <c r="BK487" s="10" t="s">
        <v>137</v>
      </c>
      <c r="BL487" s="10">
        <v>1.5185139398778875</v>
      </c>
      <c r="BM487" s="52">
        <v>4</v>
      </c>
      <c r="BR487" s="10" t="s">
        <v>842</v>
      </c>
      <c r="BS487" s="10">
        <f>LOG(33)</f>
        <v>1.5185139398778875</v>
      </c>
      <c r="BY487" s="10">
        <f>LOG(1)</f>
        <v>0</v>
      </c>
      <c r="CG487" t="s">
        <v>651</v>
      </c>
      <c r="CH487" t="s">
        <v>726</v>
      </c>
    </row>
    <row r="488" spans="1:86" x14ac:dyDescent="0.3">
      <c r="A488">
        <v>558</v>
      </c>
      <c r="B488" t="s">
        <v>360</v>
      </c>
      <c r="C488" t="s">
        <v>6</v>
      </c>
      <c r="D488" t="s">
        <v>778</v>
      </c>
      <c r="E488" t="s">
        <v>769</v>
      </c>
      <c r="F488" t="s">
        <v>577</v>
      </c>
      <c r="G488" t="s">
        <v>728</v>
      </c>
      <c r="I488" t="s">
        <v>770</v>
      </c>
      <c r="BG488" t="s">
        <v>311</v>
      </c>
      <c r="BH488" t="s">
        <v>780</v>
      </c>
      <c r="BJ488" s="10" t="s">
        <v>632</v>
      </c>
      <c r="BK488" s="10" t="s">
        <v>137</v>
      </c>
      <c r="BL488" s="10">
        <v>0.51097952198062968</v>
      </c>
      <c r="BM488" s="52">
        <v>4</v>
      </c>
      <c r="BS488" s="10">
        <f>LOG(120)</f>
        <v>2.0791812460476247</v>
      </c>
      <c r="BY488" s="10">
        <f>LOG(37)</f>
        <v>1.568201724066995</v>
      </c>
      <c r="CG488" t="s">
        <v>651</v>
      </c>
      <c r="CH488" t="s">
        <v>726</v>
      </c>
    </row>
    <row r="489" spans="1:86" x14ac:dyDescent="0.3">
      <c r="A489">
        <v>559</v>
      </c>
      <c r="B489" t="s">
        <v>360</v>
      </c>
      <c r="C489" t="s">
        <v>330</v>
      </c>
      <c r="D489" t="s">
        <v>768</v>
      </c>
      <c r="E489" t="s">
        <v>769</v>
      </c>
      <c r="F489" t="s">
        <v>577</v>
      </c>
      <c r="I489" t="s">
        <v>770</v>
      </c>
      <c r="J489" t="s">
        <v>771</v>
      </c>
      <c r="K489">
        <v>0.4</v>
      </c>
      <c r="BG489" t="s">
        <v>311</v>
      </c>
      <c r="BH489" t="s">
        <v>631</v>
      </c>
      <c r="BJ489" s="10" t="s">
        <v>632</v>
      </c>
      <c r="BK489" s="10" t="s">
        <v>137</v>
      </c>
      <c r="BL489" s="10">
        <v>3.3781630506253575</v>
      </c>
      <c r="BM489" s="52">
        <v>11</v>
      </c>
      <c r="BS489" s="10">
        <f>LOG(2200000)</f>
        <v>6.3424226808222066</v>
      </c>
      <c r="BY489" s="10">
        <f>LOG(921)</f>
        <v>2.9642596301968491</v>
      </c>
      <c r="CG489" t="s">
        <v>651</v>
      </c>
      <c r="CH489" t="s">
        <v>726</v>
      </c>
    </row>
    <row r="490" spans="1:86" x14ac:dyDescent="0.3">
      <c r="A490">
        <v>560</v>
      </c>
      <c r="B490" t="s">
        <v>360</v>
      </c>
      <c r="C490" t="s">
        <v>330</v>
      </c>
      <c r="D490" t="s">
        <v>768</v>
      </c>
      <c r="E490" t="s">
        <v>769</v>
      </c>
      <c r="F490" t="s">
        <v>577</v>
      </c>
      <c r="I490" t="s">
        <v>770</v>
      </c>
      <c r="J490" t="s">
        <v>771</v>
      </c>
      <c r="K490">
        <v>0.4</v>
      </c>
      <c r="BG490" t="s">
        <v>311</v>
      </c>
      <c r="BH490" t="s">
        <v>631</v>
      </c>
      <c r="BJ490" s="10" t="s">
        <v>632</v>
      </c>
      <c r="BK490" s="10" t="s">
        <v>137</v>
      </c>
      <c r="BL490" s="10">
        <v>3.7829501332654125</v>
      </c>
      <c r="BM490" s="52">
        <v>11</v>
      </c>
      <c r="BS490" s="10">
        <f>LOG(910000)</f>
        <v>5.9590413923210939</v>
      </c>
      <c r="BY490" s="10">
        <f>LOG(150)</f>
        <v>2.1760912590556813</v>
      </c>
      <c r="CG490" t="s">
        <v>651</v>
      </c>
      <c r="CH490" t="s">
        <v>726</v>
      </c>
    </row>
    <row r="491" spans="1:86" x14ac:dyDescent="0.3">
      <c r="A491">
        <v>561</v>
      </c>
      <c r="B491" t="s">
        <v>360</v>
      </c>
      <c r="C491" t="s">
        <v>330</v>
      </c>
      <c r="D491" t="s">
        <v>768</v>
      </c>
      <c r="E491" t="s">
        <v>769</v>
      </c>
      <c r="F491" t="s">
        <v>577</v>
      </c>
      <c r="I491" t="s">
        <v>770</v>
      </c>
      <c r="J491" t="s">
        <v>771</v>
      </c>
      <c r="K491">
        <v>0.4</v>
      </c>
      <c r="BG491" t="s">
        <v>311</v>
      </c>
      <c r="BH491" t="s">
        <v>631</v>
      </c>
      <c r="BJ491" s="10" t="s">
        <v>632</v>
      </c>
      <c r="BK491" s="10" t="s">
        <v>137</v>
      </c>
      <c r="BL491" s="10">
        <v>3.2388820889151368</v>
      </c>
      <c r="BM491" s="52">
        <v>11</v>
      </c>
      <c r="BS491" s="10">
        <f>LOG(26000)</f>
        <v>4.4149733479708182</v>
      </c>
      <c r="BY491" s="10">
        <f>LOG(15)</f>
        <v>1.1760912590556813</v>
      </c>
      <c r="CG491" t="s">
        <v>651</v>
      </c>
      <c r="CH491" t="s">
        <v>726</v>
      </c>
    </row>
    <row r="492" spans="1:86" x14ac:dyDescent="0.3">
      <c r="A492">
        <v>562</v>
      </c>
      <c r="B492" t="s">
        <v>360</v>
      </c>
      <c r="C492" t="s">
        <v>330</v>
      </c>
      <c r="D492" t="s">
        <v>768</v>
      </c>
      <c r="E492" t="s">
        <v>769</v>
      </c>
      <c r="F492" t="s">
        <v>577</v>
      </c>
      <c r="I492" t="s">
        <v>770</v>
      </c>
      <c r="J492" t="s">
        <v>771</v>
      </c>
      <c r="K492">
        <v>0.4</v>
      </c>
      <c r="BG492" t="s">
        <v>311</v>
      </c>
      <c r="BH492" t="s">
        <v>631</v>
      </c>
      <c r="BJ492" s="10" t="s">
        <v>632</v>
      </c>
      <c r="BK492" s="10" t="s">
        <v>137</v>
      </c>
      <c r="BL492" s="10">
        <v>3.7403626894942441</v>
      </c>
      <c r="BM492" s="52">
        <v>11</v>
      </c>
      <c r="BS492" s="10">
        <f>LOG(44000)</f>
        <v>4.6434526764861879</v>
      </c>
      <c r="BY492" s="10">
        <f>LOG(8)</f>
        <v>0.90308998699194354</v>
      </c>
      <c r="CG492" t="s">
        <v>651</v>
      </c>
      <c r="CH492" t="s">
        <v>726</v>
      </c>
    </row>
    <row r="493" spans="1:86" x14ac:dyDescent="0.3">
      <c r="A493">
        <v>563</v>
      </c>
      <c r="B493" t="s">
        <v>360</v>
      </c>
      <c r="C493" t="s">
        <v>330</v>
      </c>
      <c r="D493" t="s">
        <v>768</v>
      </c>
      <c r="E493" t="s">
        <v>769</v>
      </c>
      <c r="F493" t="s">
        <v>577</v>
      </c>
      <c r="I493" t="s">
        <v>770</v>
      </c>
      <c r="J493" t="s">
        <v>771</v>
      </c>
      <c r="K493">
        <v>0.4</v>
      </c>
      <c r="BG493" t="s">
        <v>311</v>
      </c>
      <c r="BH493" t="s">
        <v>631</v>
      </c>
      <c r="BJ493" s="10" t="s">
        <v>632</v>
      </c>
      <c r="BK493" s="10" t="s">
        <v>137</v>
      </c>
      <c r="BL493" s="10">
        <v>3.0669467896306135</v>
      </c>
      <c r="BM493" s="52">
        <v>11</v>
      </c>
      <c r="BS493" s="10">
        <f>LOG(210000)</f>
        <v>5.3222192947339195</v>
      </c>
      <c r="BY493" s="10">
        <f>LOG(180)</f>
        <v>2.255272505103306</v>
      </c>
      <c r="CG493" t="s">
        <v>651</v>
      </c>
      <c r="CH493" t="s">
        <v>726</v>
      </c>
    </row>
    <row r="494" spans="1:86" x14ac:dyDescent="0.3">
      <c r="A494">
        <v>564</v>
      </c>
      <c r="B494" t="s">
        <v>360</v>
      </c>
      <c r="C494" t="s">
        <v>330</v>
      </c>
      <c r="D494" t="s">
        <v>768</v>
      </c>
      <c r="E494" t="s">
        <v>769</v>
      </c>
      <c r="F494" t="s">
        <v>577</v>
      </c>
      <c r="I494" t="s">
        <v>770</v>
      </c>
      <c r="J494" t="s">
        <v>771</v>
      </c>
      <c r="K494">
        <v>0.4</v>
      </c>
      <c r="BG494" t="s">
        <v>311</v>
      </c>
      <c r="BH494" t="s">
        <v>631</v>
      </c>
      <c r="BJ494" s="10" t="s">
        <v>632</v>
      </c>
      <c r="BK494" s="10" t="s">
        <v>137</v>
      </c>
      <c r="BL494" s="10">
        <v>2.6709412807357755</v>
      </c>
      <c r="BM494" s="52">
        <v>11</v>
      </c>
      <c r="BS494" s="10">
        <f>LOG(150000)</f>
        <v>5.1760912590556813</v>
      </c>
      <c r="BY494" s="10">
        <f>LOG(320)</f>
        <v>2.5051499783199058</v>
      </c>
      <c r="CG494" t="s">
        <v>651</v>
      </c>
      <c r="CH494" t="s">
        <v>726</v>
      </c>
    </row>
    <row r="495" spans="1:86" x14ac:dyDescent="0.3">
      <c r="A495">
        <v>565</v>
      </c>
      <c r="B495" t="s">
        <v>360</v>
      </c>
      <c r="C495" t="s">
        <v>330</v>
      </c>
      <c r="D495" t="s">
        <v>768</v>
      </c>
      <c r="E495" t="s">
        <v>769</v>
      </c>
      <c r="F495" t="s">
        <v>577</v>
      </c>
      <c r="I495" t="s">
        <v>770</v>
      </c>
      <c r="J495" t="s">
        <v>771</v>
      </c>
      <c r="K495">
        <v>0.4</v>
      </c>
      <c r="BG495" t="s">
        <v>311</v>
      </c>
      <c r="BH495" t="s">
        <v>631</v>
      </c>
      <c r="BJ495" s="10" t="s">
        <v>632</v>
      </c>
      <c r="BK495" s="10" t="s">
        <v>137</v>
      </c>
      <c r="BL495" s="10">
        <v>3.7639108112690329</v>
      </c>
      <c r="BM495" s="52">
        <v>11</v>
      </c>
      <c r="BS495" s="10">
        <f>LOG(360000)</f>
        <v>5.5563025007672868</v>
      </c>
      <c r="BY495" s="10">
        <f>LOG(62)</f>
        <v>1.7923916894982539</v>
      </c>
      <c r="CG495" t="s">
        <v>651</v>
      </c>
      <c r="CH495" t="s">
        <v>726</v>
      </c>
    </row>
    <row r="496" spans="1:86" x14ac:dyDescent="0.3">
      <c r="A496">
        <v>566</v>
      </c>
      <c r="B496" t="s">
        <v>360</v>
      </c>
      <c r="C496" t="s">
        <v>330</v>
      </c>
      <c r="D496" t="s">
        <v>768</v>
      </c>
      <c r="E496" t="s">
        <v>769</v>
      </c>
      <c r="F496" t="s">
        <v>577</v>
      </c>
      <c r="I496" t="s">
        <v>770</v>
      </c>
      <c r="J496" t="s">
        <v>771</v>
      </c>
      <c r="K496">
        <v>0.4</v>
      </c>
      <c r="BG496" t="s">
        <v>311</v>
      </c>
      <c r="BH496" t="s">
        <v>631</v>
      </c>
      <c r="BJ496" s="10" t="s">
        <v>632</v>
      </c>
      <c r="BK496" s="10" t="s">
        <v>137</v>
      </c>
      <c r="BL496" s="10">
        <v>4.0413926851582254</v>
      </c>
      <c r="BM496" s="52">
        <v>11</v>
      </c>
      <c r="BS496" s="10">
        <f>LOG(1100000)</f>
        <v>6.0413926851582254</v>
      </c>
      <c r="BY496" s="10">
        <f>LOG(100)</f>
        <v>2</v>
      </c>
      <c r="CG496" t="s">
        <v>651</v>
      </c>
      <c r="CH496" t="s">
        <v>726</v>
      </c>
    </row>
    <row r="497" spans="1:86" x14ac:dyDescent="0.3">
      <c r="A497">
        <v>567</v>
      </c>
      <c r="B497" t="s">
        <v>360</v>
      </c>
      <c r="C497" t="s">
        <v>330</v>
      </c>
      <c r="D497" t="s">
        <v>768</v>
      </c>
      <c r="E497" t="s">
        <v>769</v>
      </c>
      <c r="F497" t="s">
        <v>577</v>
      </c>
      <c r="I497" t="s">
        <v>770</v>
      </c>
      <c r="J497" t="s">
        <v>771</v>
      </c>
      <c r="K497">
        <v>0.4</v>
      </c>
      <c r="BG497" t="s">
        <v>311</v>
      </c>
      <c r="BH497" t="s">
        <v>631</v>
      </c>
      <c r="BJ497" s="10" t="s">
        <v>632</v>
      </c>
      <c r="BK497" s="10" t="s">
        <v>137</v>
      </c>
      <c r="BL497" s="10">
        <v>3.0483046795745552</v>
      </c>
      <c r="BM497" s="52">
        <v>11</v>
      </c>
      <c r="BS497" s="10">
        <f>LOG(570000)</f>
        <v>5.7558748556724915</v>
      </c>
      <c r="BY497" s="10">
        <f>LOG(510)</f>
        <v>2.7075701760979363</v>
      </c>
      <c r="CG497" t="s">
        <v>651</v>
      </c>
      <c r="CH497" t="s">
        <v>726</v>
      </c>
    </row>
    <row r="498" spans="1:86" x14ac:dyDescent="0.3">
      <c r="A498">
        <v>568</v>
      </c>
      <c r="B498" t="s">
        <v>360</v>
      </c>
      <c r="C498" t="s">
        <v>330</v>
      </c>
      <c r="D498" t="s">
        <v>768</v>
      </c>
      <c r="E498" t="s">
        <v>769</v>
      </c>
      <c r="F498" t="s">
        <v>577</v>
      </c>
      <c r="I498" t="s">
        <v>770</v>
      </c>
      <c r="J498" t="s">
        <v>771</v>
      </c>
      <c r="K498">
        <v>0.4</v>
      </c>
      <c r="BG498" t="s">
        <v>311</v>
      </c>
      <c r="BH498" t="s">
        <v>631</v>
      </c>
      <c r="BJ498" s="10" t="s">
        <v>632</v>
      </c>
      <c r="BK498" s="10" t="s">
        <v>137</v>
      </c>
      <c r="BL498" s="10">
        <v>3.208275942427083</v>
      </c>
      <c r="BM498" s="52">
        <v>11</v>
      </c>
      <c r="BS498" s="10">
        <f>LOG(630000)</f>
        <v>5.7993405494535821</v>
      </c>
      <c r="BY498" s="10">
        <f>LOG(390)</f>
        <v>2.5910646070264991</v>
      </c>
      <c r="CG498" t="s">
        <v>651</v>
      </c>
      <c r="CH498" t="s">
        <v>726</v>
      </c>
    </row>
    <row r="499" spans="1:86" x14ac:dyDescent="0.3">
      <c r="A499">
        <v>569</v>
      </c>
      <c r="B499" t="s">
        <v>360</v>
      </c>
      <c r="C499" t="s">
        <v>330</v>
      </c>
      <c r="D499" t="s">
        <v>768</v>
      </c>
      <c r="E499" t="s">
        <v>769</v>
      </c>
      <c r="F499" t="s">
        <v>577</v>
      </c>
      <c r="I499" t="s">
        <v>770</v>
      </c>
      <c r="J499" t="s">
        <v>771</v>
      </c>
      <c r="K499">
        <v>0.4</v>
      </c>
      <c r="BG499" t="s">
        <v>311</v>
      </c>
      <c r="BH499" t="s">
        <v>631</v>
      </c>
      <c r="BJ499" s="10" t="s">
        <v>632</v>
      </c>
      <c r="BK499" s="10" t="s">
        <v>137</v>
      </c>
      <c r="BL499" s="10">
        <v>2.9829666607012197</v>
      </c>
      <c r="BM499" s="52">
        <v>11</v>
      </c>
      <c r="BS499" s="10">
        <f>LOG(500000)</f>
        <v>5.6989700043360187</v>
      </c>
      <c r="BY499" s="10">
        <f>LOG(520)</f>
        <v>2.716003343634799</v>
      </c>
      <c r="CG499" t="s">
        <v>651</v>
      </c>
      <c r="CH499" t="s">
        <v>726</v>
      </c>
    </row>
    <row r="500" spans="1:86" x14ac:dyDescent="0.3">
      <c r="A500">
        <v>570</v>
      </c>
      <c r="B500" t="s">
        <v>360</v>
      </c>
      <c r="C500" t="s">
        <v>329</v>
      </c>
      <c r="D500" t="s">
        <v>772</v>
      </c>
      <c r="E500" t="s">
        <v>769</v>
      </c>
      <c r="F500" t="s">
        <v>577</v>
      </c>
      <c r="G500" t="s">
        <v>773</v>
      </c>
      <c r="I500" t="s">
        <v>770</v>
      </c>
      <c r="BG500" t="s">
        <v>311</v>
      </c>
      <c r="BH500" t="s">
        <v>631</v>
      </c>
      <c r="BJ500" s="10" t="s">
        <v>632</v>
      </c>
      <c r="BK500" s="10" t="s">
        <v>137</v>
      </c>
      <c r="BL500" s="10">
        <v>2.9642596301968491</v>
      </c>
      <c r="BM500" s="52">
        <v>11</v>
      </c>
      <c r="BR500" s="10" t="s">
        <v>842</v>
      </c>
      <c r="BS500" s="10">
        <f>LOG(921)</f>
        <v>2.9642596301968491</v>
      </c>
      <c r="BY500" s="10">
        <f t="shared" ref="BY500:BY508" si="29">LOG(1)</f>
        <v>0</v>
      </c>
      <c r="CG500" t="s">
        <v>651</v>
      </c>
      <c r="CH500" t="s">
        <v>726</v>
      </c>
    </row>
    <row r="501" spans="1:86" x14ac:dyDescent="0.3">
      <c r="A501">
        <v>571</v>
      </c>
      <c r="B501" t="s">
        <v>360</v>
      </c>
      <c r="C501" t="s">
        <v>329</v>
      </c>
      <c r="D501" t="s">
        <v>772</v>
      </c>
      <c r="E501" t="s">
        <v>769</v>
      </c>
      <c r="F501" t="s">
        <v>577</v>
      </c>
      <c r="G501" t="s">
        <v>773</v>
      </c>
      <c r="I501" t="s">
        <v>770</v>
      </c>
      <c r="BG501" t="s">
        <v>311</v>
      </c>
      <c r="BH501" t="s">
        <v>631</v>
      </c>
      <c r="BJ501" s="10" t="s">
        <v>632</v>
      </c>
      <c r="BK501" s="10" t="s">
        <v>137</v>
      </c>
      <c r="BL501" s="10">
        <v>2.1760912590556813</v>
      </c>
      <c r="BM501" s="52">
        <v>11</v>
      </c>
      <c r="BR501" s="10" t="s">
        <v>842</v>
      </c>
      <c r="BS501" s="10">
        <f>LOG(150)</f>
        <v>2.1760912590556813</v>
      </c>
      <c r="BY501" s="10">
        <f t="shared" si="29"/>
        <v>0</v>
      </c>
      <c r="CG501" t="s">
        <v>651</v>
      </c>
      <c r="CH501" t="s">
        <v>726</v>
      </c>
    </row>
    <row r="502" spans="1:86" x14ac:dyDescent="0.3">
      <c r="A502">
        <v>572</v>
      </c>
      <c r="B502" t="s">
        <v>360</v>
      </c>
      <c r="C502" t="s">
        <v>329</v>
      </c>
      <c r="D502" t="s">
        <v>772</v>
      </c>
      <c r="E502" t="s">
        <v>769</v>
      </c>
      <c r="F502" t="s">
        <v>577</v>
      </c>
      <c r="G502" t="s">
        <v>773</v>
      </c>
      <c r="I502" t="s">
        <v>770</v>
      </c>
      <c r="BG502" t="s">
        <v>311</v>
      </c>
      <c r="BH502" t="s">
        <v>631</v>
      </c>
      <c r="BJ502" s="10" t="s">
        <v>632</v>
      </c>
      <c r="BK502" s="10" t="s">
        <v>137</v>
      </c>
      <c r="BL502" s="10">
        <v>1.1760912590556813</v>
      </c>
      <c r="BM502" s="52">
        <v>11</v>
      </c>
      <c r="BR502" s="10" t="s">
        <v>842</v>
      </c>
      <c r="BS502" s="10">
        <f>LOG(15)</f>
        <v>1.1760912590556813</v>
      </c>
      <c r="BY502" s="10">
        <f t="shared" si="29"/>
        <v>0</v>
      </c>
      <c r="CG502" t="s">
        <v>651</v>
      </c>
      <c r="CH502" t="s">
        <v>726</v>
      </c>
    </row>
    <row r="503" spans="1:86" x14ac:dyDescent="0.3">
      <c r="A503">
        <v>573</v>
      </c>
      <c r="B503" t="s">
        <v>360</v>
      </c>
      <c r="C503" t="s">
        <v>329</v>
      </c>
      <c r="D503" t="s">
        <v>772</v>
      </c>
      <c r="E503" t="s">
        <v>769</v>
      </c>
      <c r="F503" t="s">
        <v>577</v>
      </c>
      <c r="G503" t="s">
        <v>773</v>
      </c>
      <c r="I503" t="s">
        <v>770</v>
      </c>
      <c r="BG503" t="s">
        <v>311</v>
      </c>
      <c r="BH503" t="s">
        <v>631</v>
      </c>
      <c r="BJ503" s="10" t="s">
        <v>632</v>
      </c>
      <c r="BK503" s="10" t="s">
        <v>137</v>
      </c>
      <c r="BL503" s="10">
        <v>0.90308998699194354</v>
      </c>
      <c r="BM503" s="52">
        <v>11</v>
      </c>
      <c r="BR503" s="10" t="s">
        <v>842</v>
      </c>
      <c r="BS503" s="10">
        <f>LOG(8)</f>
        <v>0.90308998699194354</v>
      </c>
      <c r="BY503" s="10">
        <f t="shared" si="29"/>
        <v>0</v>
      </c>
      <c r="CG503" t="s">
        <v>651</v>
      </c>
      <c r="CH503" t="s">
        <v>726</v>
      </c>
    </row>
    <row r="504" spans="1:86" x14ac:dyDescent="0.3">
      <c r="A504">
        <v>574</v>
      </c>
      <c r="B504" t="s">
        <v>360</v>
      </c>
      <c r="C504" t="s">
        <v>329</v>
      </c>
      <c r="D504" t="s">
        <v>772</v>
      </c>
      <c r="E504" t="s">
        <v>769</v>
      </c>
      <c r="F504" t="s">
        <v>577</v>
      </c>
      <c r="G504" t="s">
        <v>773</v>
      </c>
      <c r="I504" t="s">
        <v>770</v>
      </c>
      <c r="BG504" t="s">
        <v>311</v>
      </c>
      <c r="BH504" t="s">
        <v>631</v>
      </c>
      <c r="BJ504" s="10" t="s">
        <v>632</v>
      </c>
      <c r="BK504" s="10" t="s">
        <v>137</v>
      </c>
      <c r="BL504" s="10">
        <v>2.255272505103306</v>
      </c>
      <c r="BM504" s="52">
        <v>11</v>
      </c>
      <c r="BR504" s="10" t="s">
        <v>842</v>
      </c>
      <c r="BS504" s="10">
        <f>LOG(180)</f>
        <v>2.255272505103306</v>
      </c>
      <c r="BY504" s="10">
        <f t="shared" si="29"/>
        <v>0</v>
      </c>
      <c r="CG504" t="s">
        <v>651</v>
      </c>
      <c r="CH504" t="s">
        <v>726</v>
      </c>
    </row>
    <row r="505" spans="1:86" x14ac:dyDescent="0.3">
      <c r="A505">
        <v>575</v>
      </c>
      <c r="B505" t="s">
        <v>360</v>
      </c>
      <c r="C505" t="s">
        <v>329</v>
      </c>
      <c r="D505" t="s">
        <v>772</v>
      </c>
      <c r="E505" t="s">
        <v>769</v>
      </c>
      <c r="F505" t="s">
        <v>577</v>
      </c>
      <c r="G505" t="s">
        <v>773</v>
      </c>
      <c r="I505" t="s">
        <v>770</v>
      </c>
      <c r="BG505" t="s">
        <v>311</v>
      </c>
      <c r="BH505" t="s">
        <v>631</v>
      </c>
      <c r="BJ505" s="10" t="s">
        <v>632</v>
      </c>
      <c r="BK505" s="10" t="s">
        <v>137</v>
      </c>
      <c r="BL505" s="10">
        <v>2.5051499783199058</v>
      </c>
      <c r="BM505" s="52">
        <v>11</v>
      </c>
      <c r="BR505" s="10" t="s">
        <v>842</v>
      </c>
      <c r="BS505" s="10">
        <f>LOG(320)</f>
        <v>2.5051499783199058</v>
      </c>
      <c r="BY505" s="10">
        <f t="shared" si="29"/>
        <v>0</v>
      </c>
      <c r="CG505" t="s">
        <v>651</v>
      </c>
      <c r="CH505" t="s">
        <v>726</v>
      </c>
    </row>
    <row r="506" spans="1:86" x14ac:dyDescent="0.3">
      <c r="A506">
        <v>576</v>
      </c>
      <c r="B506" t="s">
        <v>360</v>
      </c>
      <c r="C506" t="s">
        <v>329</v>
      </c>
      <c r="D506" t="s">
        <v>772</v>
      </c>
      <c r="E506" t="s">
        <v>769</v>
      </c>
      <c r="F506" t="s">
        <v>577</v>
      </c>
      <c r="G506" t="s">
        <v>773</v>
      </c>
      <c r="I506" t="s">
        <v>770</v>
      </c>
      <c r="BG506" t="s">
        <v>311</v>
      </c>
      <c r="BH506" t="s">
        <v>631</v>
      </c>
      <c r="BJ506" s="10" t="s">
        <v>632</v>
      </c>
      <c r="BK506" s="10" t="s">
        <v>137</v>
      </c>
      <c r="BL506" s="10">
        <v>1.7923916894982539</v>
      </c>
      <c r="BM506" s="52">
        <v>11</v>
      </c>
      <c r="BR506" s="10" t="s">
        <v>842</v>
      </c>
      <c r="BS506" s="10">
        <f>LOG(62)</f>
        <v>1.7923916894982539</v>
      </c>
      <c r="BY506" s="10">
        <f t="shared" si="29"/>
        <v>0</v>
      </c>
      <c r="CG506" t="s">
        <v>651</v>
      </c>
      <c r="CH506" t="s">
        <v>726</v>
      </c>
    </row>
    <row r="507" spans="1:86" x14ac:dyDescent="0.3">
      <c r="A507">
        <v>577</v>
      </c>
      <c r="B507" t="s">
        <v>360</v>
      </c>
      <c r="C507" t="s">
        <v>329</v>
      </c>
      <c r="D507" t="s">
        <v>772</v>
      </c>
      <c r="E507" t="s">
        <v>769</v>
      </c>
      <c r="F507" t="s">
        <v>577</v>
      </c>
      <c r="G507" t="s">
        <v>773</v>
      </c>
      <c r="I507" t="s">
        <v>770</v>
      </c>
      <c r="BG507" t="s">
        <v>311</v>
      </c>
      <c r="BH507" t="s">
        <v>631</v>
      </c>
      <c r="BJ507" s="10" t="s">
        <v>632</v>
      </c>
      <c r="BK507" s="10" t="s">
        <v>137</v>
      </c>
      <c r="BL507" s="10">
        <v>2</v>
      </c>
      <c r="BM507" s="52">
        <v>11</v>
      </c>
      <c r="BR507" s="10" t="s">
        <v>842</v>
      </c>
      <c r="BS507" s="10">
        <f>LOG(100)</f>
        <v>2</v>
      </c>
      <c r="BY507" s="10">
        <f t="shared" si="29"/>
        <v>0</v>
      </c>
      <c r="CG507" t="s">
        <v>651</v>
      </c>
      <c r="CH507" t="s">
        <v>726</v>
      </c>
    </row>
    <row r="508" spans="1:86" x14ac:dyDescent="0.3">
      <c r="A508">
        <v>578</v>
      </c>
      <c r="B508" t="s">
        <v>360</v>
      </c>
      <c r="C508" t="s">
        <v>329</v>
      </c>
      <c r="D508" t="s">
        <v>772</v>
      </c>
      <c r="E508" t="s">
        <v>769</v>
      </c>
      <c r="F508" t="s">
        <v>577</v>
      </c>
      <c r="G508" t="s">
        <v>773</v>
      </c>
      <c r="I508" t="s">
        <v>770</v>
      </c>
      <c r="BG508" t="s">
        <v>311</v>
      </c>
      <c r="BH508" t="s">
        <v>631</v>
      </c>
      <c r="BJ508" s="10" t="s">
        <v>632</v>
      </c>
      <c r="BK508" s="10" t="s">
        <v>137</v>
      </c>
      <c r="BL508" s="10">
        <v>2.7075701760979363</v>
      </c>
      <c r="BM508" s="52">
        <v>11</v>
      </c>
      <c r="BS508" s="10">
        <f>LOG(510)</f>
        <v>2.7075701760979363</v>
      </c>
      <c r="BY508" s="10">
        <f t="shared" si="29"/>
        <v>0</v>
      </c>
      <c r="CG508" t="s">
        <v>651</v>
      </c>
      <c r="CH508" t="s">
        <v>726</v>
      </c>
    </row>
    <row r="509" spans="1:86" x14ac:dyDescent="0.3">
      <c r="A509">
        <v>579</v>
      </c>
      <c r="B509" t="s">
        <v>360</v>
      </c>
      <c r="C509" t="s">
        <v>329</v>
      </c>
      <c r="D509" t="s">
        <v>772</v>
      </c>
      <c r="E509" t="s">
        <v>769</v>
      </c>
      <c r="F509" t="s">
        <v>577</v>
      </c>
      <c r="G509" t="s">
        <v>773</v>
      </c>
      <c r="I509" t="s">
        <v>770</v>
      </c>
      <c r="BG509" t="s">
        <v>311</v>
      </c>
      <c r="BH509" t="s">
        <v>631</v>
      </c>
      <c r="BJ509" s="10" t="s">
        <v>632</v>
      </c>
      <c r="BK509" s="10" t="s">
        <v>137</v>
      </c>
      <c r="BL509" s="10">
        <v>1.6879746200345556</v>
      </c>
      <c r="BM509" s="52">
        <v>11</v>
      </c>
      <c r="BS509" s="10">
        <f>LOG(390)</f>
        <v>2.5910646070264991</v>
      </c>
      <c r="BY509" s="10">
        <f>LOG(8)</f>
        <v>0.90308998699194354</v>
      </c>
      <c r="CG509" t="s">
        <v>651</v>
      </c>
      <c r="CH509" t="s">
        <v>726</v>
      </c>
    </row>
    <row r="510" spans="1:86" x14ac:dyDescent="0.3">
      <c r="A510">
        <v>580</v>
      </c>
      <c r="B510" t="s">
        <v>360</v>
      </c>
      <c r="C510" t="s">
        <v>329</v>
      </c>
      <c r="D510" t="s">
        <v>772</v>
      </c>
      <c r="E510" t="s">
        <v>769</v>
      </c>
      <c r="F510" t="s">
        <v>577</v>
      </c>
      <c r="G510" t="s">
        <v>773</v>
      </c>
      <c r="I510" t="s">
        <v>770</v>
      </c>
      <c r="BG510" t="s">
        <v>311</v>
      </c>
      <c r="BH510" t="s">
        <v>631</v>
      </c>
      <c r="BJ510" s="10" t="s">
        <v>632</v>
      </c>
      <c r="BK510" s="10" t="s">
        <v>137</v>
      </c>
      <c r="BL510" s="10">
        <v>2.2388820889151368</v>
      </c>
      <c r="BM510" s="52">
        <v>11</v>
      </c>
      <c r="BS510" s="10">
        <f>LOG(520)</f>
        <v>2.716003343634799</v>
      </c>
      <c r="BY510" s="10">
        <f>LOG(3)</f>
        <v>0.47712125471966244</v>
      </c>
      <c r="CG510" t="s">
        <v>651</v>
      </c>
      <c r="CH510" t="s">
        <v>726</v>
      </c>
    </row>
    <row r="511" spans="1:86" x14ac:dyDescent="0.3">
      <c r="A511">
        <v>589</v>
      </c>
      <c r="B511" t="s">
        <v>360</v>
      </c>
      <c r="C511" t="s">
        <v>329</v>
      </c>
      <c r="D511" t="s">
        <v>777</v>
      </c>
      <c r="E511" t="s">
        <v>769</v>
      </c>
      <c r="F511" t="s">
        <v>577</v>
      </c>
      <c r="G511" t="s">
        <v>775</v>
      </c>
      <c r="I511" t="s">
        <v>770</v>
      </c>
      <c r="BG511" t="s">
        <v>311</v>
      </c>
      <c r="BH511" t="s">
        <v>631</v>
      </c>
      <c r="BJ511" s="10" t="s">
        <v>632</v>
      </c>
      <c r="BK511" s="10" t="s">
        <v>137</v>
      </c>
      <c r="BL511" s="10">
        <v>3.204119982655925</v>
      </c>
      <c r="BM511" s="52">
        <v>4</v>
      </c>
      <c r="BR511" s="10" t="s">
        <v>842</v>
      </c>
      <c r="BS511" s="10">
        <f>LOG(940)</f>
        <v>2.9731278535996988</v>
      </c>
      <c r="BY511" s="10">
        <f>LOG(1)</f>
        <v>0</v>
      </c>
      <c r="CG511" t="s">
        <v>651</v>
      </c>
      <c r="CH511" t="s">
        <v>726</v>
      </c>
    </row>
    <row r="512" spans="1:86" x14ac:dyDescent="0.3">
      <c r="A512">
        <v>590</v>
      </c>
      <c r="B512" t="s">
        <v>360</v>
      </c>
      <c r="C512" t="s">
        <v>329</v>
      </c>
      <c r="D512" t="s">
        <v>777</v>
      </c>
      <c r="E512" t="s">
        <v>769</v>
      </c>
      <c r="F512" t="s">
        <v>577</v>
      </c>
      <c r="G512" t="s">
        <v>775</v>
      </c>
      <c r="I512" t="s">
        <v>770</v>
      </c>
      <c r="BG512" t="s">
        <v>311</v>
      </c>
      <c r="BH512" t="s">
        <v>631</v>
      </c>
      <c r="BJ512" s="10" t="s">
        <v>632</v>
      </c>
      <c r="BK512" s="10" t="s">
        <v>137</v>
      </c>
      <c r="BL512" s="10">
        <v>0.95424250943932498</v>
      </c>
      <c r="BM512" s="52">
        <v>4</v>
      </c>
      <c r="BR512" s="10" t="s">
        <v>842</v>
      </c>
      <c r="BS512" s="10">
        <f>LOG(28)</f>
        <v>1.4471580313422192</v>
      </c>
      <c r="BY512" s="10">
        <f>LOG(1)</f>
        <v>0</v>
      </c>
      <c r="CG512" t="s">
        <v>651</v>
      </c>
      <c r="CH512" t="s">
        <v>726</v>
      </c>
    </row>
    <row r="513" spans="1:86" x14ac:dyDescent="0.3">
      <c r="A513">
        <v>591</v>
      </c>
      <c r="B513" t="s">
        <v>360</v>
      </c>
      <c r="C513" t="s">
        <v>329</v>
      </c>
      <c r="D513" t="s">
        <v>777</v>
      </c>
      <c r="E513" t="s">
        <v>769</v>
      </c>
      <c r="F513" t="s">
        <v>577</v>
      </c>
      <c r="G513" t="s">
        <v>775</v>
      </c>
      <c r="I513" t="s">
        <v>770</v>
      </c>
      <c r="BG513" t="s">
        <v>311</v>
      </c>
      <c r="BH513" t="s">
        <v>631</v>
      </c>
      <c r="BJ513" s="10" t="s">
        <v>632</v>
      </c>
      <c r="BK513" s="10" t="s">
        <v>137</v>
      </c>
      <c r="BL513" s="10">
        <v>2.9867717342662448</v>
      </c>
      <c r="BM513" s="52">
        <v>4</v>
      </c>
      <c r="BR513" s="10" t="s">
        <v>842</v>
      </c>
      <c r="BS513" s="10">
        <f>LOG(600)</f>
        <v>2.7781512503836434</v>
      </c>
      <c r="BY513" s="10">
        <f>LOG(1)</f>
        <v>0</v>
      </c>
      <c r="CG513" t="s">
        <v>651</v>
      </c>
      <c r="CH513" t="s">
        <v>726</v>
      </c>
    </row>
    <row r="514" spans="1:86" x14ac:dyDescent="0.3">
      <c r="A514">
        <v>592</v>
      </c>
      <c r="B514" t="s">
        <v>360</v>
      </c>
      <c r="C514" t="s">
        <v>329</v>
      </c>
      <c r="D514" t="s">
        <v>777</v>
      </c>
      <c r="E514" t="s">
        <v>769</v>
      </c>
      <c r="F514" t="s">
        <v>577</v>
      </c>
      <c r="G514" t="s">
        <v>775</v>
      </c>
      <c r="I514" t="s">
        <v>770</v>
      </c>
      <c r="BG514" t="s">
        <v>311</v>
      </c>
      <c r="BH514" t="s">
        <v>631</v>
      </c>
      <c r="BJ514" s="10" t="s">
        <v>632</v>
      </c>
      <c r="BK514" s="10" t="s">
        <v>137</v>
      </c>
      <c r="BL514" s="10">
        <v>2.9731278535996988</v>
      </c>
      <c r="BM514" s="52">
        <v>4</v>
      </c>
      <c r="BR514" s="10" t="s">
        <v>842</v>
      </c>
      <c r="BS514" s="10">
        <f>LOG(560)</f>
        <v>2.7481880270062002</v>
      </c>
      <c r="BY514" s="10">
        <f>LOG(1)</f>
        <v>0</v>
      </c>
      <c r="CG514" t="s">
        <v>651</v>
      </c>
      <c r="CH514" t="s">
        <v>726</v>
      </c>
    </row>
    <row r="515" spans="1:86" x14ac:dyDescent="0.3">
      <c r="A515">
        <v>597</v>
      </c>
      <c r="B515" t="s">
        <v>360</v>
      </c>
      <c r="C515" t="s">
        <v>6</v>
      </c>
      <c r="D515" t="s">
        <v>778</v>
      </c>
      <c r="E515" t="s">
        <v>769</v>
      </c>
      <c r="F515" t="s">
        <v>577</v>
      </c>
      <c r="G515" t="s">
        <v>728</v>
      </c>
      <c r="I515" t="s">
        <v>770</v>
      </c>
      <c r="BG515" t="s">
        <v>311</v>
      </c>
      <c r="BH515" t="s">
        <v>631</v>
      </c>
      <c r="BJ515" s="10" t="s">
        <v>632</v>
      </c>
      <c r="BK515" s="10" t="s">
        <v>137</v>
      </c>
      <c r="BL515" s="10">
        <v>1.9208187539523753</v>
      </c>
      <c r="BM515" s="52">
        <v>4</v>
      </c>
      <c r="BS515" s="10">
        <f>LOG(2000)</f>
        <v>3.3010299956639813</v>
      </c>
      <c r="BY515" s="10">
        <f>LOG(24)</f>
        <v>1.3802112417116059</v>
      </c>
      <c r="CG515" t="s">
        <v>651</v>
      </c>
      <c r="CH515" t="s">
        <v>726</v>
      </c>
    </row>
    <row r="516" spans="1:86" x14ac:dyDescent="0.3">
      <c r="A516">
        <v>598</v>
      </c>
      <c r="B516" t="s">
        <v>360</v>
      </c>
      <c r="C516" t="s">
        <v>6</v>
      </c>
      <c r="D516" t="s">
        <v>778</v>
      </c>
      <c r="E516" t="s">
        <v>769</v>
      </c>
      <c r="F516" t="s">
        <v>577</v>
      </c>
      <c r="G516" t="s">
        <v>728</v>
      </c>
      <c r="I516" t="s">
        <v>770</v>
      </c>
      <c r="BG516" t="s">
        <v>311</v>
      </c>
      <c r="BH516" t="s">
        <v>631</v>
      </c>
      <c r="BJ516" s="10" t="s">
        <v>632</v>
      </c>
      <c r="BK516" s="10" t="s">
        <v>137</v>
      </c>
      <c r="BL516" s="10">
        <v>1.2180557605992171</v>
      </c>
      <c r="BM516" s="52">
        <v>4</v>
      </c>
      <c r="BS516" s="10">
        <f>LOG(380)</f>
        <v>2.5797835966168101</v>
      </c>
      <c r="BY516" s="10">
        <f>LOG(23)</f>
        <v>1.3617278360175928</v>
      </c>
      <c r="CG516" t="s">
        <v>651</v>
      </c>
      <c r="CH516" t="s">
        <v>726</v>
      </c>
    </row>
    <row r="517" spans="1:86" x14ac:dyDescent="0.3">
      <c r="A517">
        <v>599</v>
      </c>
      <c r="B517" t="s">
        <v>360</v>
      </c>
      <c r="C517" t="s">
        <v>6</v>
      </c>
      <c r="D517" t="s">
        <v>778</v>
      </c>
      <c r="E517" t="s">
        <v>769</v>
      </c>
      <c r="F517" t="s">
        <v>577</v>
      </c>
      <c r="G517" t="s">
        <v>728</v>
      </c>
      <c r="I517" t="s">
        <v>770</v>
      </c>
      <c r="BG517" t="s">
        <v>311</v>
      </c>
      <c r="BH517" t="s">
        <v>631</v>
      </c>
      <c r="BJ517" s="10" t="s">
        <v>632</v>
      </c>
      <c r="BK517" s="10" t="s">
        <v>137</v>
      </c>
      <c r="BL517" s="10">
        <v>2.0791812460476251</v>
      </c>
      <c r="BM517" s="52">
        <v>4</v>
      </c>
      <c r="BS517" s="10">
        <f>LOG(360)</f>
        <v>2.5563025007672873</v>
      </c>
      <c r="BY517" s="10">
        <f>LOG(3)</f>
        <v>0.47712125471966244</v>
      </c>
      <c r="CG517" t="s">
        <v>651</v>
      </c>
      <c r="CH517" t="s">
        <v>726</v>
      </c>
    </row>
    <row r="518" spans="1:86" x14ac:dyDescent="0.3">
      <c r="A518">
        <v>600</v>
      </c>
      <c r="B518" t="s">
        <v>360</v>
      </c>
      <c r="C518" t="s">
        <v>6</v>
      </c>
      <c r="D518" t="s">
        <v>778</v>
      </c>
      <c r="E518" t="s">
        <v>769</v>
      </c>
      <c r="F518" t="s">
        <v>577</v>
      </c>
      <c r="G518" t="s">
        <v>728</v>
      </c>
      <c r="I518" t="s">
        <v>770</v>
      </c>
      <c r="BG518" t="s">
        <v>311</v>
      </c>
      <c r="BH518" t="s">
        <v>631</v>
      </c>
      <c r="BJ518" s="10" t="s">
        <v>632</v>
      </c>
      <c r="BK518" s="10" t="s">
        <v>137</v>
      </c>
      <c r="BL518" s="10">
        <v>1.4311083719246924</v>
      </c>
      <c r="BM518" s="52">
        <v>4</v>
      </c>
      <c r="BS518" s="10">
        <f>LOG(1700)</f>
        <v>3.2304489213782741</v>
      </c>
      <c r="BY518" s="10">
        <f>LOG(63)</f>
        <v>1.7993405494535817</v>
      </c>
      <c r="CG518" t="s">
        <v>651</v>
      </c>
      <c r="CH518" t="s">
        <v>726</v>
      </c>
    </row>
    <row r="519" spans="1:86" x14ac:dyDescent="0.3">
      <c r="A519">
        <v>601</v>
      </c>
      <c r="B519" t="s">
        <v>360</v>
      </c>
      <c r="C519" t="s">
        <v>330</v>
      </c>
      <c r="D519" t="s">
        <v>768</v>
      </c>
      <c r="E519" t="s">
        <v>769</v>
      </c>
      <c r="F519" t="s">
        <v>577</v>
      </c>
      <c r="I519" t="s">
        <v>770</v>
      </c>
      <c r="J519" t="s">
        <v>771</v>
      </c>
      <c r="K519">
        <v>0.4</v>
      </c>
      <c r="BG519" t="s">
        <v>311</v>
      </c>
      <c r="BH519" t="s">
        <v>316</v>
      </c>
      <c r="BJ519" s="10" t="s">
        <v>781</v>
      </c>
      <c r="BK519" s="10" t="s">
        <v>137</v>
      </c>
      <c r="BL519" s="10">
        <v>2.4313637641589874</v>
      </c>
      <c r="BM519" s="52">
        <v>11</v>
      </c>
      <c r="BS519" s="10">
        <v>2.7323937598229699</v>
      </c>
      <c r="BY519" s="10">
        <v>0.30102999566398098</v>
      </c>
      <c r="CG519" t="s">
        <v>651</v>
      </c>
      <c r="CH519" t="s">
        <v>726</v>
      </c>
    </row>
    <row r="520" spans="1:86" x14ac:dyDescent="0.3">
      <c r="A520">
        <v>602</v>
      </c>
      <c r="B520" t="s">
        <v>360</v>
      </c>
      <c r="C520" t="s">
        <v>330</v>
      </c>
      <c r="D520" t="s">
        <v>768</v>
      </c>
      <c r="E520" t="s">
        <v>769</v>
      </c>
      <c r="F520" t="s">
        <v>577</v>
      </c>
      <c r="I520" t="s">
        <v>770</v>
      </c>
      <c r="J520" t="s">
        <v>771</v>
      </c>
      <c r="K520">
        <v>0.4</v>
      </c>
      <c r="BG520" t="s">
        <v>311</v>
      </c>
      <c r="BH520" t="s">
        <v>316</v>
      </c>
      <c r="BJ520" s="10" t="s">
        <v>781</v>
      </c>
      <c r="BK520" s="10" t="s">
        <v>137</v>
      </c>
      <c r="BL520" s="10">
        <v>2.8372727025023003</v>
      </c>
      <c r="BM520" s="52">
        <v>11</v>
      </c>
      <c r="BS520" s="10">
        <v>2.3424226808222062</v>
      </c>
      <c r="BY520" s="10">
        <v>-0.49485002168009401</v>
      </c>
      <c r="CF520" t="s">
        <v>782</v>
      </c>
      <c r="CG520" t="s">
        <v>651</v>
      </c>
      <c r="CH520" t="s">
        <v>726</v>
      </c>
    </row>
    <row r="521" spans="1:86" x14ac:dyDescent="0.3">
      <c r="A521">
        <v>603</v>
      </c>
      <c r="B521" t="s">
        <v>360</v>
      </c>
      <c r="C521" t="s">
        <v>330</v>
      </c>
      <c r="D521" t="s">
        <v>768</v>
      </c>
      <c r="E521" t="s">
        <v>769</v>
      </c>
      <c r="F521" t="s">
        <v>577</v>
      </c>
      <c r="I521" t="s">
        <v>770</v>
      </c>
      <c r="J521" t="s">
        <v>771</v>
      </c>
      <c r="K521">
        <v>0.4</v>
      </c>
      <c r="BG521" t="s">
        <v>311</v>
      </c>
      <c r="BH521" t="s">
        <v>316</v>
      </c>
      <c r="BJ521" s="10" t="s">
        <v>781</v>
      </c>
      <c r="BK521" s="10" t="s">
        <v>137</v>
      </c>
      <c r="BL521" s="10">
        <v>2.384004230728745</v>
      </c>
      <c r="BM521" s="52">
        <v>11</v>
      </c>
      <c r="BS521" s="10">
        <v>3.6627578316815739</v>
      </c>
      <c r="BY521" s="10">
        <v>1.2787536009528289</v>
      </c>
      <c r="CG521" t="s">
        <v>651</v>
      </c>
      <c r="CH521" t="s">
        <v>726</v>
      </c>
    </row>
    <row r="522" spans="1:86" x14ac:dyDescent="0.3">
      <c r="A522">
        <v>604</v>
      </c>
      <c r="B522" t="s">
        <v>360</v>
      </c>
      <c r="C522" t="s">
        <v>330</v>
      </c>
      <c r="D522" t="s">
        <v>768</v>
      </c>
      <c r="E522" t="s">
        <v>769</v>
      </c>
      <c r="F522" t="s">
        <v>577</v>
      </c>
      <c r="I522" t="s">
        <v>770</v>
      </c>
      <c r="J522" t="s">
        <v>771</v>
      </c>
      <c r="K522">
        <v>0.4</v>
      </c>
      <c r="BG522" t="s">
        <v>311</v>
      </c>
      <c r="BH522" t="s">
        <v>316</v>
      </c>
      <c r="BJ522" s="10" t="s">
        <v>781</v>
      </c>
      <c r="BK522" s="10" t="s">
        <v>137</v>
      </c>
      <c r="BL522" s="10">
        <v>4.4771212547196626</v>
      </c>
      <c r="BM522" s="52">
        <v>11</v>
      </c>
      <c r="BS522" s="10">
        <v>5.2552725051033065</v>
      </c>
      <c r="BY522" s="10">
        <v>0.77815125038364363</v>
      </c>
      <c r="CF522" t="s">
        <v>782</v>
      </c>
      <c r="CG522" t="s">
        <v>651</v>
      </c>
      <c r="CH522" t="s">
        <v>726</v>
      </c>
    </row>
    <row r="523" spans="1:86" x14ac:dyDescent="0.3">
      <c r="A523">
        <v>605</v>
      </c>
      <c r="B523" t="s">
        <v>360</v>
      </c>
      <c r="C523" t="s">
        <v>330</v>
      </c>
      <c r="D523" t="s">
        <v>768</v>
      </c>
      <c r="E523" t="s">
        <v>769</v>
      </c>
      <c r="F523" t="s">
        <v>577</v>
      </c>
      <c r="I523" t="s">
        <v>770</v>
      </c>
      <c r="J523" t="s">
        <v>771</v>
      </c>
      <c r="K523">
        <v>0.4</v>
      </c>
      <c r="BG523" t="s">
        <v>311</v>
      </c>
      <c r="BH523" t="s">
        <v>316</v>
      </c>
      <c r="BJ523" s="10" t="s">
        <v>781</v>
      </c>
      <c r="BK523" s="10" t="s">
        <v>137</v>
      </c>
      <c r="BL523" s="10">
        <v>4.8557561081963128</v>
      </c>
      <c r="BM523" s="52">
        <v>11</v>
      </c>
      <c r="BR523" s="10" t="s">
        <v>842</v>
      </c>
      <c r="BS523" s="10">
        <v>4.5185139398778871</v>
      </c>
      <c r="BY523" s="10">
        <v>-0.33724216831842591</v>
      </c>
      <c r="CG523" t="s">
        <v>651</v>
      </c>
      <c r="CH523" t="s">
        <v>726</v>
      </c>
    </row>
    <row r="524" spans="1:86" x14ac:dyDescent="0.3">
      <c r="A524">
        <v>606</v>
      </c>
      <c r="B524" t="s">
        <v>360</v>
      </c>
      <c r="C524" t="s">
        <v>330</v>
      </c>
      <c r="D524" t="s">
        <v>768</v>
      </c>
      <c r="E524" t="s">
        <v>769</v>
      </c>
      <c r="F524" t="s">
        <v>577</v>
      </c>
      <c r="I524" t="s">
        <v>770</v>
      </c>
      <c r="J524" t="s">
        <v>771</v>
      </c>
      <c r="K524">
        <v>0.4</v>
      </c>
      <c r="BG524" t="s">
        <v>311</v>
      </c>
      <c r="BH524" t="s">
        <v>316</v>
      </c>
      <c r="BJ524" s="10" t="s">
        <v>781</v>
      </c>
      <c r="BK524" s="10" t="s">
        <v>137</v>
      </c>
      <c r="BL524" s="10">
        <v>4.2486419262042929</v>
      </c>
      <c r="BM524" s="52">
        <v>11</v>
      </c>
      <c r="BS524" s="10">
        <v>4.5910646070264995</v>
      </c>
      <c r="BY524" s="10">
        <v>0.34242268082220628</v>
      </c>
      <c r="CG524" t="s">
        <v>651</v>
      </c>
      <c r="CH524" t="s">
        <v>726</v>
      </c>
    </row>
    <row r="525" spans="1:86" x14ac:dyDescent="0.3">
      <c r="A525">
        <v>607</v>
      </c>
      <c r="B525" t="s">
        <v>360</v>
      </c>
      <c r="C525" t="s">
        <v>330</v>
      </c>
      <c r="D525" t="s">
        <v>768</v>
      </c>
      <c r="E525" t="s">
        <v>769</v>
      </c>
      <c r="F525" t="s">
        <v>577</v>
      </c>
      <c r="I525" t="s">
        <v>770</v>
      </c>
      <c r="J525" t="s">
        <v>771</v>
      </c>
      <c r="K525">
        <v>0.4</v>
      </c>
      <c r="BG525" t="s">
        <v>311</v>
      </c>
      <c r="BH525" t="s">
        <v>316</v>
      </c>
      <c r="BJ525" s="10" t="s">
        <v>781</v>
      </c>
      <c r="BK525" s="10" t="s">
        <v>137</v>
      </c>
      <c r="BL525" s="10">
        <v>3.6703248228864886</v>
      </c>
      <c r="BM525" s="52">
        <v>11</v>
      </c>
      <c r="BR525" s="10" t="s">
        <v>842</v>
      </c>
      <c r="BS525" s="10">
        <v>3.3424226808222062</v>
      </c>
      <c r="BY525" s="10">
        <v>-0.32790214206428259</v>
      </c>
      <c r="CG525" t="s">
        <v>651</v>
      </c>
      <c r="CH525" t="s">
        <v>726</v>
      </c>
    </row>
    <row r="526" spans="1:86" x14ac:dyDescent="0.3">
      <c r="A526">
        <v>608</v>
      </c>
      <c r="B526" t="s">
        <v>360</v>
      </c>
      <c r="C526" t="s">
        <v>330</v>
      </c>
      <c r="D526" t="s">
        <v>768</v>
      </c>
      <c r="E526" t="s">
        <v>769</v>
      </c>
      <c r="F526" t="s">
        <v>577</v>
      </c>
      <c r="I526" t="s">
        <v>770</v>
      </c>
      <c r="J526" t="s">
        <v>771</v>
      </c>
      <c r="K526">
        <v>0.4</v>
      </c>
      <c r="BG526" t="s">
        <v>311</v>
      </c>
      <c r="BH526" t="s">
        <v>316</v>
      </c>
      <c r="BJ526" s="10" t="s">
        <v>781</v>
      </c>
      <c r="BK526" s="10" t="s">
        <v>137</v>
      </c>
      <c r="BL526" s="10">
        <v>3.445712790468038</v>
      </c>
      <c r="BM526" s="52">
        <v>11</v>
      </c>
      <c r="BR526" s="10" t="s">
        <v>842</v>
      </c>
      <c r="BS526" s="10">
        <v>3.0791812460476247</v>
      </c>
      <c r="BY526" s="10">
        <v>-0.36653154442041347</v>
      </c>
      <c r="CG526" t="s">
        <v>651</v>
      </c>
      <c r="CH526" t="s">
        <v>726</v>
      </c>
    </row>
    <row r="527" spans="1:86" x14ac:dyDescent="0.3">
      <c r="A527">
        <v>609</v>
      </c>
      <c r="B527" t="s">
        <v>360</v>
      </c>
      <c r="C527" t="s">
        <v>330</v>
      </c>
      <c r="D527" t="s">
        <v>768</v>
      </c>
      <c r="E527" t="s">
        <v>769</v>
      </c>
      <c r="F527" t="s">
        <v>577</v>
      </c>
      <c r="I527" t="s">
        <v>770</v>
      </c>
      <c r="J527" t="s">
        <v>771</v>
      </c>
      <c r="K527">
        <v>0.4</v>
      </c>
      <c r="BG527" t="s">
        <v>311</v>
      </c>
      <c r="BH527" t="s">
        <v>316</v>
      </c>
      <c r="BJ527" s="10" t="s">
        <v>781</v>
      </c>
      <c r="BK527" s="10" t="s">
        <v>137</v>
      </c>
      <c r="BL527" s="10">
        <v>4.6594614630523452</v>
      </c>
      <c r="BM527" s="52">
        <v>11</v>
      </c>
      <c r="BR527" s="10" t="s">
        <v>842</v>
      </c>
      <c r="BS527" s="10">
        <v>4.3222192947339195</v>
      </c>
      <c r="BY527" s="10">
        <v>-0.33724216831842591</v>
      </c>
      <c r="CG527" t="s">
        <v>651</v>
      </c>
      <c r="CH527" t="s">
        <v>726</v>
      </c>
    </row>
    <row r="528" spans="1:86" x14ac:dyDescent="0.3">
      <c r="A528">
        <v>610</v>
      </c>
      <c r="B528" t="s">
        <v>360</v>
      </c>
      <c r="C528" t="s">
        <v>330</v>
      </c>
      <c r="D528" t="s">
        <v>768</v>
      </c>
      <c r="E528" t="s">
        <v>769</v>
      </c>
      <c r="F528" t="s">
        <v>577</v>
      </c>
      <c r="I528" t="s">
        <v>770</v>
      </c>
      <c r="J528" t="s">
        <v>771</v>
      </c>
      <c r="K528">
        <v>0.4</v>
      </c>
      <c r="BG528" t="s">
        <v>311</v>
      </c>
      <c r="BH528" t="s">
        <v>316</v>
      </c>
      <c r="BJ528" s="10" t="s">
        <v>781</v>
      </c>
      <c r="BK528" s="10" t="s">
        <v>137</v>
      </c>
      <c r="BL528" s="10">
        <v>3.6989700043360187</v>
      </c>
      <c r="BM528" s="52">
        <v>11</v>
      </c>
      <c r="BR528" s="10" t="s">
        <v>842</v>
      </c>
      <c r="BS528" s="10">
        <v>3.3617278360175931</v>
      </c>
      <c r="BY528" s="10">
        <v>-0.33724216831842591</v>
      </c>
      <c r="CG528" t="s">
        <v>651</v>
      </c>
      <c r="CH528" t="s">
        <v>726</v>
      </c>
    </row>
    <row r="529" spans="1:86" x14ac:dyDescent="0.3">
      <c r="A529">
        <v>611</v>
      </c>
      <c r="B529" t="s">
        <v>360</v>
      </c>
      <c r="C529" t="s">
        <v>330</v>
      </c>
      <c r="D529" t="s">
        <v>768</v>
      </c>
      <c r="E529" t="s">
        <v>769</v>
      </c>
      <c r="F529" t="s">
        <v>577</v>
      </c>
      <c r="I529" t="s">
        <v>770</v>
      </c>
      <c r="J529" t="s">
        <v>771</v>
      </c>
      <c r="K529">
        <v>0.4</v>
      </c>
      <c r="BG529" t="s">
        <v>311</v>
      </c>
      <c r="BH529" t="s">
        <v>316</v>
      </c>
      <c r="BJ529" s="10" t="s">
        <v>781</v>
      </c>
      <c r="BK529" s="10" t="s">
        <v>137</v>
      </c>
      <c r="BL529" s="10">
        <v>3.6703248228864886</v>
      </c>
      <c r="BM529" s="52">
        <v>11</v>
      </c>
      <c r="BR529" s="10" t="s">
        <v>842</v>
      </c>
      <c r="BS529" s="10">
        <v>3.3424226808222062</v>
      </c>
      <c r="BY529" s="10">
        <v>-0.32790214206428259</v>
      </c>
      <c r="CG529" t="s">
        <v>651</v>
      </c>
      <c r="CH529" t="s">
        <v>726</v>
      </c>
    </row>
    <row r="530" spans="1:86" x14ac:dyDescent="0.3">
      <c r="A530">
        <v>612</v>
      </c>
      <c r="B530" t="s">
        <v>360</v>
      </c>
      <c r="C530" t="s">
        <v>329</v>
      </c>
      <c r="D530" t="s">
        <v>772</v>
      </c>
      <c r="E530" t="s">
        <v>769</v>
      </c>
      <c r="F530" t="s">
        <v>577</v>
      </c>
      <c r="G530" t="s">
        <v>773</v>
      </c>
      <c r="I530" t="s">
        <v>770</v>
      </c>
      <c r="BG530" t="s">
        <v>311</v>
      </c>
      <c r="BH530" t="s">
        <v>316</v>
      </c>
      <c r="BJ530" s="10" t="s">
        <v>781</v>
      </c>
      <c r="BK530" s="10" t="s">
        <v>137</v>
      </c>
      <c r="BL530" s="10">
        <v>9.6910013008056406E-2</v>
      </c>
      <c r="BM530" s="52">
        <v>11</v>
      </c>
      <c r="BS530" s="10">
        <v>0.3010299956639812</v>
      </c>
      <c r="BY530" s="10">
        <v>0.20411998265592479</v>
      </c>
      <c r="CG530" t="s">
        <v>651</v>
      </c>
      <c r="CH530" t="s">
        <v>726</v>
      </c>
    </row>
    <row r="531" spans="1:86" x14ac:dyDescent="0.3">
      <c r="A531">
        <v>613</v>
      </c>
      <c r="B531" t="s">
        <v>360</v>
      </c>
      <c r="C531" t="s">
        <v>329</v>
      </c>
      <c r="D531" t="s">
        <v>772</v>
      </c>
      <c r="E531" t="s">
        <v>769</v>
      </c>
      <c r="F531" t="s">
        <v>577</v>
      </c>
      <c r="G531" t="s">
        <v>773</v>
      </c>
      <c r="I531" t="s">
        <v>770</v>
      </c>
      <c r="BG531" t="s">
        <v>311</v>
      </c>
      <c r="BH531" t="s">
        <v>316</v>
      </c>
      <c r="BJ531" s="10" t="s">
        <v>781</v>
      </c>
      <c r="BK531" s="10" t="s">
        <v>137</v>
      </c>
      <c r="BL531" s="10">
        <v>-0.36991128507179405</v>
      </c>
      <c r="BM531" s="52">
        <v>11</v>
      </c>
      <c r="BS531" s="10">
        <v>-0.49485002168009401</v>
      </c>
      <c r="BY531" s="10">
        <v>-0.12493873660829995</v>
      </c>
      <c r="CF531" t="s">
        <v>783</v>
      </c>
      <c r="CG531" t="s">
        <v>651</v>
      </c>
      <c r="CH531" t="s">
        <v>726</v>
      </c>
    </row>
    <row r="532" spans="1:86" x14ac:dyDescent="0.3">
      <c r="A532">
        <v>614</v>
      </c>
      <c r="B532" t="s">
        <v>360</v>
      </c>
      <c r="C532" t="s">
        <v>329</v>
      </c>
      <c r="D532" t="s">
        <v>772</v>
      </c>
      <c r="E532" t="s">
        <v>769</v>
      </c>
      <c r="F532" t="s">
        <v>577</v>
      </c>
      <c r="G532" t="s">
        <v>773</v>
      </c>
      <c r="I532" t="s">
        <v>770</v>
      </c>
      <c r="BG532" t="s">
        <v>311</v>
      </c>
      <c r="BH532" t="s">
        <v>316</v>
      </c>
      <c r="BJ532" s="10" t="s">
        <v>781</v>
      </c>
      <c r="BK532" s="10" t="s">
        <v>137</v>
      </c>
      <c r="BL532" s="10">
        <v>1.5975123635772417</v>
      </c>
      <c r="BM532" s="52">
        <v>11</v>
      </c>
      <c r="BR532" s="10" t="s">
        <v>842</v>
      </c>
      <c r="BS532" s="10">
        <v>1.2787536009528289</v>
      </c>
      <c r="BY532" s="10">
        <v>-0.31875876262441277</v>
      </c>
      <c r="CG532" t="s">
        <v>651</v>
      </c>
      <c r="CH532" t="s">
        <v>726</v>
      </c>
    </row>
    <row r="533" spans="1:86" x14ac:dyDescent="0.3">
      <c r="A533">
        <v>615</v>
      </c>
      <c r="B533" t="s">
        <v>360</v>
      </c>
      <c r="C533" t="s">
        <v>329</v>
      </c>
      <c r="D533" t="s">
        <v>772</v>
      </c>
      <c r="E533" t="s">
        <v>769</v>
      </c>
      <c r="F533" t="s">
        <v>577</v>
      </c>
      <c r="G533" t="s">
        <v>773</v>
      </c>
      <c r="I533" t="s">
        <v>770</v>
      </c>
      <c r="BG533" t="s">
        <v>311</v>
      </c>
      <c r="BH533" t="s">
        <v>316</v>
      </c>
      <c r="BJ533" s="10" t="s">
        <v>781</v>
      </c>
      <c r="BK533" s="10" t="s">
        <v>137</v>
      </c>
      <c r="BL533" s="10">
        <v>1.1346985738974562</v>
      </c>
      <c r="BM533" s="52">
        <v>11</v>
      </c>
      <c r="BR533" s="10" t="s">
        <v>842</v>
      </c>
      <c r="BS533" s="10">
        <v>0.77815125038364363</v>
      </c>
      <c r="BY533" s="10">
        <v>-0.35654732351381258</v>
      </c>
      <c r="CF533" t="s">
        <v>783</v>
      </c>
      <c r="CG533" t="s">
        <v>651</v>
      </c>
      <c r="CH533" t="s">
        <v>726</v>
      </c>
    </row>
    <row r="534" spans="1:86" x14ac:dyDescent="0.3">
      <c r="A534">
        <v>617</v>
      </c>
      <c r="B534" t="s">
        <v>360</v>
      </c>
      <c r="C534" t="s">
        <v>329</v>
      </c>
      <c r="D534" t="s">
        <v>772</v>
      </c>
      <c r="E534" t="s">
        <v>769</v>
      </c>
      <c r="F534" t="s">
        <v>577</v>
      </c>
      <c r="G534" t="s">
        <v>773</v>
      </c>
      <c r="I534" t="s">
        <v>770</v>
      </c>
      <c r="BG534" t="s">
        <v>311</v>
      </c>
      <c r="BH534" t="s">
        <v>316</v>
      </c>
      <c r="BJ534" s="10" t="s">
        <v>781</v>
      </c>
      <c r="BK534" s="10" t="s">
        <v>137</v>
      </c>
      <c r="BL534" s="10">
        <v>0.11197375944393237</v>
      </c>
      <c r="BM534" s="52">
        <v>11</v>
      </c>
      <c r="BS534" s="10">
        <v>0.34242268082220628</v>
      </c>
      <c r="BY534" s="10">
        <v>0.23044892137827391</v>
      </c>
      <c r="CG534" t="s">
        <v>651</v>
      </c>
      <c r="CH534" t="s">
        <v>726</v>
      </c>
    </row>
    <row r="535" spans="1:86" x14ac:dyDescent="0.3">
      <c r="A535">
        <v>632</v>
      </c>
      <c r="B535" t="s">
        <v>360</v>
      </c>
      <c r="C535" t="s">
        <v>329</v>
      </c>
      <c r="D535" t="s">
        <v>777</v>
      </c>
      <c r="E535" t="s">
        <v>769</v>
      </c>
      <c r="F535" t="s">
        <v>577</v>
      </c>
      <c r="G535" t="s">
        <v>775</v>
      </c>
      <c r="I535" t="s">
        <v>770</v>
      </c>
      <c r="BG535" t="s">
        <v>311</v>
      </c>
      <c r="BH535" t="s">
        <v>316</v>
      </c>
      <c r="BJ535" s="10" t="s">
        <v>781</v>
      </c>
      <c r="BK535" s="10" t="s">
        <v>137</v>
      </c>
      <c r="BL535" s="10">
        <v>1.1106982974936894</v>
      </c>
      <c r="BM535" s="52">
        <v>4</v>
      </c>
      <c r="BS535" s="10">
        <v>0.79934054945358168</v>
      </c>
      <c r="BY535" s="10">
        <v>0.96848294855393513</v>
      </c>
      <c r="CG535" t="s">
        <v>651</v>
      </c>
      <c r="CH535" t="s">
        <v>726</v>
      </c>
    </row>
    <row r="536" spans="1:86" x14ac:dyDescent="0.3">
      <c r="A536">
        <v>634</v>
      </c>
      <c r="B536" t="s">
        <v>360</v>
      </c>
      <c r="C536" t="s">
        <v>329</v>
      </c>
      <c r="D536" t="s">
        <v>777</v>
      </c>
      <c r="E536" t="s">
        <v>769</v>
      </c>
      <c r="F536" t="s">
        <v>577</v>
      </c>
      <c r="G536" t="s">
        <v>775</v>
      </c>
      <c r="I536" t="s">
        <v>770</v>
      </c>
      <c r="BG536" t="s">
        <v>311</v>
      </c>
      <c r="BH536" t="s">
        <v>316</v>
      </c>
      <c r="BJ536" s="10" t="s">
        <v>781</v>
      </c>
      <c r="BK536" s="10" t="s">
        <v>137</v>
      </c>
      <c r="BL536" s="10">
        <v>0.24144430567973729</v>
      </c>
      <c r="BM536" s="52">
        <v>4</v>
      </c>
      <c r="BS536" s="10">
        <v>1.2304489213782739</v>
      </c>
      <c r="BY536" s="10">
        <v>1.5910646070264991</v>
      </c>
      <c r="CF536" t="s">
        <v>783</v>
      </c>
      <c r="CG536" t="s">
        <v>651</v>
      </c>
      <c r="CH536" t="s">
        <v>726</v>
      </c>
    </row>
    <row r="537" spans="1:86" x14ac:dyDescent="0.3">
      <c r="A537">
        <v>639</v>
      </c>
      <c r="B537" t="s">
        <v>360</v>
      </c>
      <c r="C537" t="s">
        <v>6</v>
      </c>
      <c r="D537" t="s">
        <v>778</v>
      </c>
      <c r="E537" t="s">
        <v>769</v>
      </c>
      <c r="F537" t="s">
        <v>577</v>
      </c>
      <c r="G537" t="s">
        <v>728</v>
      </c>
      <c r="I537" t="s">
        <v>770</v>
      </c>
      <c r="BG537" t="s">
        <v>311</v>
      </c>
      <c r="BH537" t="s">
        <v>316</v>
      </c>
      <c r="BJ537" s="10" t="s">
        <v>781</v>
      </c>
      <c r="BK537" s="10" t="s">
        <v>137</v>
      </c>
      <c r="BL537" s="10">
        <v>0.89354466908571317</v>
      </c>
      <c r="BM537" s="52">
        <v>4</v>
      </c>
      <c r="BR537" s="10" t="s">
        <v>842</v>
      </c>
      <c r="BS537" s="10">
        <v>0.55630250076728727</v>
      </c>
      <c r="BY537" s="10">
        <v>-0.33724216831842591</v>
      </c>
      <c r="CF537" t="s">
        <v>783</v>
      </c>
      <c r="CG537" t="s">
        <v>651</v>
      </c>
      <c r="CH537" t="s">
        <v>726</v>
      </c>
    </row>
    <row r="538" spans="1:86" x14ac:dyDescent="0.3">
      <c r="A538">
        <v>640</v>
      </c>
      <c r="B538" t="s">
        <v>360</v>
      </c>
      <c r="C538" t="s">
        <v>6</v>
      </c>
      <c r="D538" t="s">
        <v>778</v>
      </c>
      <c r="E538" t="s">
        <v>769</v>
      </c>
      <c r="F538" t="s">
        <v>577</v>
      </c>
      <c r="G538" t="s">
        <v>728</v>
      </c>
      <c r="I538" t="s">
        <v>770</v>
      </c>
      <c r="BG538" t="s">
        <v>311</v>
      </c>
      <c r="BH538" t="s">
        <v>316</v>
      </c>
      <c r="BJ538" s="10" t="s">
        <v>781</v>
      </c>
      <c r="BK538" s="10" t="s">
        <v>137</v>
      </c>
      <c r="BL538" s="10">
        <v>-0.4242689473943867</v>
      </c>
      <c r="BM538" s="52">
        <v>4</v>
      </c>
      <c r="BS538" s="10">
        <v>0.80617997398388719</v>
      </c>
      <c r="BY538" s="10">
        <v>1.2304489213782739</v>
      </c>
      <c r="CF538" t="s">
        <v>783</v>
      </c>
      <c r="CG538" t="s">
        <v>651</v>
      </c>
      <c r="CH538" t="s">
        <v>726</v>
      </c>
    </row>
    <row r="539" spans="1:86" x14ac:dyDescent="0.3">
      <c r="A539">
        <v>641</v>
      </c>
      <c r="B539" t="s">
        <v>360</v>
      </c>
      <c r="C539" t="s">
        <v>6</v>
      </c>
      <c r="D539" t="s">
        <v>778</v>
      </c>
      <c r="E539" t="s">
        <v>769</v>
      </c>
      <c r="F539" t="s">
        <v>577</v>
      </c>
      <c r="G539" t="s">
        <v>728</v>
      </c>
      <c r="I539" t="s">
        <v>770</v>
      </c>
      <c r="BG539" t="s">
        <v>311</v>
      </c>
      <c r="BH539" t="s">
        <v>316</v>
      </c>
      <c r="BJ539" s="10" t="s">
        <v>781</v>
      </c>
      <c r="BK539" s="10" t="s">
        <v>137</v>
      </c>
      <c r="BL539" s="10">
        <v>0.92941892571429263</v>
      </c>
      <c r="BM539" s="52">
        <v>4</v>
      </c>
      <c r="BR539" s="10" t="s">
        <v>842</v>
      </c>
      <c r="BS539" s="10">
        <v>0.23044892137827391</v>
      </c>
      <c r="BY539" s="10">
        <v>-0.69897000433601875</v>
      </c>
      <c r="CF539" t="s">
        <v>783</v>
      </c>
      <c r="CG539" t="s">
        <v>651</v>
      </c>
      <c r="CH539" t="s">
        <v>726</v>
      </c>
    </row>
    <row r="540" spans="1:86" x14ac:dyDescent="0.3">
      <c r="A540">
        <v>642</v>
      </c>
      <c r="B540" t="s">
        <v>360</v>
      </c>
      <c r="C540" t="s">
        <v>6</v>
      </c>
      <c r="D540" t="s">
        <v>778</v>
      </c>
      <c r="E540" t="s">
        <v>769</v>
      </c>
      <c r="F540" t="s">
        <v>577</v>
      </c>
      <c r="G540" t="s">
        <v>728</v>
      </c>
      <c r="I540" t="s">
        <v>770</v>
      </c>
      <c r="BG540" t="s">
        <v>311</v>
      </c>
      <c r="BH540" t="s">
        <v>316</v>
      </c>
      <c r="BJ540" s="10" t="s">
        <v>781</v>
      </c>
      <c r="BK540" s="10" t="s">
        <v>137</v>
      </c>
      <c r="BL540" s="10">
        <v>0.72699872793626241</v>
      </c>
      <c r="BM540" s="52">
        <v>4</v>
      </c>
      <c r="BS540" s="10">
        <v>1.2041199826559248</v>
      </c>
      <c r="BY540" s="10">
        <v>0.47712125471966244</v>
      </c>
      <c r="CF540" t="s">
        <v>783</v>
      </c>
      <c r="CG540" t="s">
        <v>651</v>
      </c>
      <c r="CH540" t="s">
        <v>726</v>
      </c>
    </row>
    <row r="541" spans="1:86" x14ac:dyDescent="0.3">
      <c r="A541">
        <v>643</v>
      </c>
      <c r="B541" t="s">
        <v>360</v>
      </c>
      <c r="C541" t="s">
        <v>330</v>
      </c>
      <c r="D541" t="s">
        <v>768</v>
      </c>
      <c r="E541" t="s">
        <v>769</v>
      </c>
      <c r="F541" t="s">
        <v>577</v>
      </c>
      <c r="I541" t="s">
        <v>770</v>
      </c>
      <c r="J541" t="s">
        <v>771</v>
      </c>
      <c r="K541">
        <v>0.4</v>
      </c>
      <c r="BG541" t="s">
        <v>311</v>
      </c>
      <c r="BH541" t="s">
        <v>675</v>
      </c>
      <c r="BJ541" s="10" t="s">
        <v>781</v>
      </c>
      <c r="BK541" s="10" t="s">
        <v>137</v>
      </c>
      <c r="BL541" s="10">
        <v>3.0543576623225928</v>
      </c>
      <c r="BM541" s="52">
        <v>11</v>
      </c>
      <c r="BR541" s="10" t="s">
        <v>842</v>
      </c>
      <c r="BS541" s="10">
        <v>3.2304489213782741</v>
      </c>
      <c r="BY541" s="10">
        <v>0.17609125905568124</v>
      </c>
      <c r="CG541" t="s">
        <v>651</v>
      </c>
      <c r="CH541" t="s">
        <v>726</v>
      </c>
    </row>
    <row r="542" spans="1:86" x14ac:dyDescent="0.3">
      <c r="A542">
        <v>644</v>
      </c>
      <c r="B542" t="s">
        <v>360</v>
      </c>
      <c r="C542" t="s">
        <v>330</v>
      </c>
      <c r="D542" t="s">
        <v>768</v>
      </c>
      <c r="E542" t="s">
        <v>769</v>
      </c>
      <c r="F542" t="s">
        <v>577</v>
      </c>
      <c r="I542" t="s">
        <v>770</v>
      </c>
      <c r="J542" t="s">
        <v>771</v>
      </c>
      <c r="K542">
        <v>0.4</v>
      </c>
      <c r="BG542" t="s">
        <v>311</v>
      </c>
      <c r="BH542" t="s">
        <v>675</v>
      </c>
      <c r="BJ542" s="10" t="s">
        <v>781</v>
      </c>
      <c r="BK542" s="10" t="s">
        <v>137</v>
      </c>
      <c r="BL542" s="10">
        <v>2.2041199826559246</v>
      </c>
      <c r="BM542" s="52">
        <v>11</v>
      </c>
      <c r="BR542" s="10" t="s">
        <v>842</v>
      </c>
      <c r="BS542" s="10">
        <v>2.3802112417116059</v>
      </c>
      <c r="BY542" s="10">
        <v>0.17609125905568124</v>
      </c>
      <c r="CG542" t="s">
        <v>651</v>
      </c>
      <c r="CH542" t="s">
        <v>726</v>
      </c>
    </row>
    <row r="543" spans="1:86" x14ac:dyDescent="0.3">
      <c r="A543">
        <v>646</v>
      </c>
      <c r="B543" t="s">
        <v>360</v>
      </c>
      <c r="C543" t="s">
        <v>330</v>
      </c>
      <c r="D543" t="s">
        <v>768</v>
      </c>
      <c r="E543" t="s">
        <v>769</v>
      </c>
      <c r="F543" t="s">
        <v>577</v>
      </c>
      <c r="I543" t="s">
        <v>770</v>
      </c>
      <c r="J543" t="s">
        <v>771</v>
      </c>
      <c r="K543">
        <v>0.4</v>
      </c>
      <c r="BG543" t="s">
        <v>311</v>
      </c>
      <c r="BH543" t="s">
        <v>675</v>
      </c>
      <c r="BJ543" s="10" t="s">
        <v>781</v>
      </c>
      <c r="BK543" s="10" t="s">
        <v>137</v>
      </c>
      <c r="BL543" s="10">
        <v>4.3253893415234259</v>
      </c>
      <c r="BM543" s="52">
        <v>11</v>
      </c>
      <c r="BR543" s="10" t="s">
        <v>842</v>
      </c>
      <c r="BS543" s="10">
        <v>4.7403626894942441</v>
      </c>
      <c r="BY543" s="10">
        <v>0.41497334797081797</v>
      </c>
      <c r="CG543" t="s">
        <v>651</v>
      </c>
      <c r="CH543" t="s">
        <v>726</v>
      </c>
    </row>
    <row r="544" spans="1:86" x14ac:dyDescent="0.3">
      <c r="A544">
        <v>648</v>
      </c>
      <c r="B544" t="s">
        <v>360</v>
      </c>
      <c r="C544" t="s">
        <v>330</v>
      </c>
      <c r="D544" t="s">
        <v>768</v>
      </c>
      <c r="E544" t="s">
        <v>769</v>
      </c>
      <c r="F544" t="s">
        <v>577</v>
      </c>
      <c r="I544" t="s">
        <v>770</v>
      </c>
      <c r="J544" t="s">
        <v>771</v>
      </c>
      <c r="K544">
        <v>0.4</v>
      </c>
      <c r="BG544" t="s">
        <v>311</v>
      </c>
      <c r="BH544" t="s">
        <v>675</v>
      </c>
      <c r="BJ544" s="10" t="s">
        <v>781</v>
      </c>
      <c r="BK544" s="10" t="s">
        <v>137</v>
      </c>
      <c r="BL544" s="10">
        <v>4.7381221282981674</v>
      </c>
      <c r="BM544" s="52">
        <v>11</v>
      </c>
      <c r="BS544" s="10">
        <v>5.4623979978989565</v>
      </c>
      <c r="BY544" s="10">
        <v>0.72427586960078905</v>
      </c>
      <c r="CG544" t="s">
        <v>651</v>
      </c>
      <c r="CH544" t="s">
        <v>726</v>
      </c>
    </row>
    <row r="545" spans="1:86" x14ac:dyDescent="0.3">
      <c r="A545">
        <v>649</v>
      </c>
      <c r="B545" t="s">
        <v>360</v>
      </c>
      <c r="C545" t="s">
        <v>330</v>
      </c>
      <c r="D545" t="s">
        <v>768</v>
      </c>
      <c r="E545" t="s">
        <v>769</v>
      </c>
      <c r="F545" t="s">
        <v>577</v>
      </c>
      <c r="I545" t="s">
        <v>770</v>
      </c>
      <c r="J545" t="s">
        <v>771</v>
      </c>
      <c r="K545">
        <v>0.4</v>
      </c>
      <c r="BG545" t="s">
        <v>311</v>
      </c>
      <c r="BH545" t="s">
        <v>675</v>
      </c>
      <c r="BJ545" s="10" t="s">
        <v>781</v>
      </c>
      <c r="BK545" s="10" t="s">
        <v>137</v>
      </c>
      <c r="BL545" s="10">
        <v>2.5463598411298602</v>
      </c>
      <c r="BM545" s="52">
        <v>11</v>
      </c>
      <c r="BR545" s="10" t="s">
        <v>842</v>
      </c>
      <c r="BS545" s="10">
        <v>2.9777236052888476</v>
      </c>
      <c r="BY545" s="10">
        <v>0.43136376415898736</v>
      </c>
      <c r="CG545" t="s">
        <v>651</v>
      </c>
      <c r="CH545" t="s">
        <v>726</v>
      </c>
    </row>
    <row r="546" spans="1:86" x14ac:dyDescent="0.3">
      <c r="A546">
        <v>650</v>
      </c>
      <c r="B546" t="s">
        <v>360</v>
      </c>
      <c r="C546" t="s">
        <v>330</v>
      </c>
      <c r="D546" t="s">
        <v>768</v>
      </c>
      <c r="E546" t="s">
        <v>769</v>
      </c>
      <c r="F546" t="s">
        <v>577</v>
      </c>
      <c r="I546" t="s">
        <v>770</v>
      </c>
      <c r="J546" t="s">
        <v>771</v>
      </c>
      <c r="K546">
        <v>0.4</v>
      </c>
      <c r="BG546" t="s">
        <v>311</v>
      </c>
      <c r="BH546" t="s">
        <v>675</v>
      </c>
      <c r="BJ546" s="10" t="s">
        <v>781</v>
      </c>
      <c r="BK546" s="10" t="s">
        <v>137</v>
      </c>
      <c r="BL546" s="10">
        <v>2.9637878273455556</v>
      </c>
      <c r="BM546" s="52">
        <v>11</v>
      </c>
      <c r="BR546" s="10" t="s">
        <v>842</v>
      </c>
      <c r="BS546" s="10">
        <v>3.3617278360175931</v>
      </c>
      <c r="BY546" s="10">
        <v>0.3979400086720376</v>
      </c>
      <c r="CG546" t="s">
        <v>651</v>
      </c>
      <c r="CH546" t="s">
        <v>726</v>
      </c>
    </row>
    <row r="547" spans="1:86" x14ac:dyDescent="0.3">
      <c r="A547">
        <v>651</v>
      </c>
      <c r="B547" t="s">
        <v>360</v>
      </c>
      <c r="C547" t="s">
        <v>330</v>
      </c>
      <c r="D547" t="s">
        <v>768</v>
      </c>
      <c r="E547" t="s">
        <v>769</v>
      </c>
      <c r="F547" t="s">
        <v>577</v>
      </c>
      <c r="I547" t="s">
        <v>770</v>
      </c>
      <c r="J547" t="s">
        <v>771</v>
      </c>
      <c r="K547">
        <v>0.4</v>
      </c>
      <c r="BG547" t="s">
        <v>311</v>
      </c>
      <c r="BH547" t="s">
        <v>675</v>
      </c>
      <c r="BJ547" s="10" t="s">
        <v>781</v>
      </c>
      <c r="BK547" s="10" t="s">
        <v>137</v>
      </c>
      <c r="BL547" s="10">
        <v>3.9999999999999996</v>
      </c>
      <c r="BM547" s="52">
        <v>11</v>
      </c>
      <c r="BR547" s="10" t="s">
        <v>842</v>
      </c>
      <c r="BS547" s="10">
        <v>4.4313637641589869</v>
      </c>
      <c r="BY547" s="10">
        <v>0.43136376415898736</v>
      </c>
      <c r="CG547" t="s">
        <v>651</v>
      </c>
      <c r="CH547" t="s">
        <v>726</v>
      </c>
    </row>
    <row r="548" spans="1:86" x14ac:dyDescent="0.3">
      <c r="A548">
        <v>652</v>
      </c>
      <c r="B548" t="s">
        <v>360</v>
      </c>
      <c r="C548" t="s">
        <v>330</v>
      </c>
      <c r="D548" t="s">
        <v>768</v>
      </c>
      <c r="E548" t="s">
        <v>769</v>
      </c>
      <c r="F548" t="s">
        <v>577</v>
      </c>
      <c r="I548" t="s">
        <v>770</v>
      </c>
      <c r="J548" t="s">
        <v>771</v>
      </c>
      <c r="K548">
        <v>0.4</v>
      </c>
      <c r="BG548" t="s">
        <v>311</v>
      </c>
      <c r="BH548" t="s">
        <v>675</v>
      </c>
      <c r="BJ548" s="10" t="s">
        <v>781</v>
      </c>
      <c r="BK548" s="10" t="s">
        <v>137</v>
      </c>
      <c r="BL548" s="10">
        <v>3.8239087409443191</v>
      </c>
      <c r="BM548" s="52">
        <v>11</v>
      </c>
      <c r="BR548" s="10" t="s">
        <v>842</v>
      </c>
      <c r="BS548" s="10">
        <v>4.2552725051033065</v>
      </c>
      <c r="BY548" s="10">
        <v>0.43136376415898736</v>
      </c>
      <c r="CG548" t="s">
        <v>651</v>
      </c>
      <c r="CH548" t="s">
        <v>726</v>
      </c>
    </row>
    <row r="549" spans="1:86" x14ac:dyDescent="0.3">
      <c r="A549">
        <v>653</v>
      </c>
      <c r="B549" t="s">
        <v>360</v>
      </c>
      <c r="C549" t="s">
        <v>330</v>
      </c>
      <c r="D549" t="s">
        <v>768</v>
      </c>
      <c r="E549" t="s">
        <v>769</v>
      </c>
      <c r="F549" t="s">
        <v>577</v>
      </c>
      <c r="I549" t="s">
        <v>770</v>
      </c>
      <c r="J549" t="s">
        <v>771</v>
      </c>
      <c r="K549">
        <v>0.4</v>
      </c>
      <c r="BG549" t="s">
        <v>311</v>
      </c>
      <c r="BH549" t="s">
        <v>675</v>
      </c>
      <c r="BJ549" s="10" t="s">
        <v>781</v>
      </c>
      <c r="BK549" s="10" t="s">
        <v>137</v>
      </c>
      <c r="BL549" s="10">
        <v>3.4011451485472488</v>
      </c>
      <c r="BM549" s="52">
        <v>11</v>
      </c>
      <c r="BR549" s="10" t="s">
        <v>842</v>
      </c>
      <c r="BS549" s="10">
        <v>3.8325089127062362</v>
      </c>
      <c r="BY549" s="10">
        <v>0.43136376415898736</v>
      </c>
      <c r="CG549" t="s">
        <v>651</v>
      </c>
      <c r="CH549" t="s">
        <v>726</v>
      </c>
    </row>
    <row r="550" spans="1:86" x14ac:dyDescent="0.3">
      <c r="A550">
        <v>659</v>
      </c>
      <c r="B550" t="s">
        <v>360</v>
      </c>
      <c r="C550" t="s">
        <v>329</v>
      </c>
      <c r="D550" t="s">
        <v>772</v>
      </c>
      <c r="E550" t="s">
        <v>769</v>
      </c>
      <c r="F550" t="s">
        <v>577</v>
      </c>
      <c r="G550" t="s">
        <v>773</v>
      </c>
      <c r="I550" t="s">
        <v>770</v>
      </c>
      <c r="BG550" t="s">
        <v>311</v>
      </c>
      <c r="BH550" t="s">
        <v>675</v>
      </c>
      <c r="BJ550" s="10" t="s">
        <v>781</v>
      </c>
      <c r="BK550" s="10" t="s">
        <v>137</v>
      </c>
      <c r="BL550" s="10">
        <v>0.26187787170183296</v>
      </c>
      <c r="BM550" s="52">
        <v>11</v>
      </c>
      <c r="BR550" s="10" t="s">
        <v>842</v>
      </c>
      <c r="BS550" s="10">
        <v>0.72427586960078905</v>
      </c>
      <c r="BY550" s="10">
        <v>0.46239799789895608</v>
      </c>
      <c r="CG550" t="s">
        <v>651</v>
      </c>
      <c r="CH550" t="s">
        <v>726</v>
      </c>
    </row>
    <row r="551" spans="1:86" x14ac:dyDescent="0.3">
      <c r="A551">
        <v>686</v>
      </c>
      <c r="B551" t="s">
        <v>360</v>
      </c>
      <c r="C551" t="s">
        <v>330</v>
      </c>
      <c r="D551" t="s">
        <v>768</v>
      </c>
      <c r="E551" t="s">
        <v>769</v>
      </c>
      <c r="F551" t="s">
        <v>577</v>
      </c>
      <c r="I551" t="s">
        <v>770</v>
      </c>
      <c r="J551" t="s">
        <v>771</v>
      </c>
      <c r="K551">
        <v>0.4</v>
      </c>
      <c r="BG551" t="s">
        <v>311</v>
      </c>
      <c r="BH551" t="s">
        <v>734</v>
      </c>
      <c r="BJ551" s="10" t="s">
        <v>781</v>
      </c>
      <c r="BK551" s="10" t="s">
        <v>137</v>
      </c>
      <c r="BL551" s="10">
        <v>1.5141048209728325</v>
      </c>
      <c r="BM551" s="52">
        <v>11</v>
      </c>
      <c r="BR551" s="10" t="s">
        <v>842</v>
      </c>
      <c r="BS551" s="10">
        <v>1.6901960800285136</v>
      </c>
      <c r="BY551" s="10">
        <v>0.17609125905568124</v>
      </c>
      <c r="CG551" t="s">
        <v>651</v>
      </c>
      <c r="CH551" t="s">
        <v>726</v>
      </c>
    </row>
    <row r="552" spans="1:86" x14ac:dyDescent="0.3">
      <c r="A552">
        <v>687</v>
      </c>
      <c r="B552" t="s">
        <v>360</v>
      </c>
      <c r="C552" t="s">
        <v>330</v>
      </c>
      <c r="D552" t="s">
        <v>768</v>
      </c>
      <c r="E552" t="s">
        <v>769</v>
      </c>
      <c r="F552" t="s">
        <v>577</v>
      </c>
      <c r="I552" t="s">
        <v>770</v>
      </c>
      <c r="J552" t="s">
        <v>771</v>
      </c>
      <c r="K552">
        <v>0.4</v>
      </c>
      <c r="BG552" t="s">
        <v>311</v>
      </c>
      <c r="BH552" t="s">
        <v>734</v>
      </c>
      <c r="BJ552" s="10" t="s">
        <v>781</v>
      </c>
      <c r="BK552" s="10" t="s">
        <v>137</v>
      </c>
      <c r="BL552" s="10">
        <v>3.3222192947339191</v>
      </c>
      <c r="BM552" s="52">
        <v>11</v>
      </c>
      <c r="BS552" s="10">
        <v>3.6232492903979003</v>
      </c>
      <c r="BY552" s="10">
        <v>0.3010299956639812</v>
      </c>
      <c r="CF552" t="s">
        <v>782</v>
      </c>
      <c r="CG552" t="s">
        <v>651</v>
      </c>
      <c r="CH552" t="s">
        <v>726</v>
      </c>
    </row>
    <row r="553" spans="1:86" x14ac:dyDescent="0.3">
      <c r="A553">
        <v>691</v>
      </c>
      <c r="B553" t="s">
        <v>360</v>
      </c>
      <c r="C553" t="s">
        <v>330</v>
      </c>
      <c r="D553" t="s">
        <v>768</v>
      </c>
      <c r="E553" t="s">
        <v>769</v>
      </c>
      <c r="F553" t="s">
        <v>577</v>
      </c>
      <c r="I553" t="s">
        <v>770</v>
      </c>
      <c r="J553" t="s">
        <v>771</v>
      </c>
      <c r="K553">
        <v>0.4</v>
      </c>
      <c r="BG553" t="s">
        <v>311</v>
      </c>
      <c r="BH553" t="s">
        <v>734</v>
      </c>
      <c r="BJ553" s="10" t="s">
        <v>781</v>
      </c>
      <c r="BK553" s="10" t="s">
        <v>137</v>
      </c>
      <c r="BL553" s="10">
        <v>2.1597008428675117</v>
      </c>
      <c r="BM553" s="52">
        <v>11</v>
      </c>
      <c r="BR553" s="10" t="s">
        <v>842</v>
      </c>
      <c r="BS553" s="10">
        <v>2.5910646070264991</v>
      </c>
      <c r="BY553" s="10">
        <v>0.43136376415898736</v>
      </c>
      <c r="CG553" t="s">
        <v>651</v>
      </c>
      <c r="CH553" t="s">
        <v>726</v>
      </c>
    </row>
    <row r="554" spans="1:86" x14ac:dyDescent="0.3">
      <c r="A554">
        <v>692</v>
      </c>
      <c r="B554" t="s">
        <v>360</v>
      </c>
      <c r="C554" t="s">
        <v>330</v>
      </c>
      <c r="D554" t="s">
        <v>768</v>
      </c>
      <c r="E554" t="s">
        <v>769</v>
      </c>
      <c r="F554" t="s">
        <v>577</v>
      </c>
      <c r="I554" t="s">
        <v>770</v>
      </c>
      <c r="J554" t="s">
        <v>771</v>
      </c>
      <c r="K554">
        <v>0.4</v>
      </c>
      <c r="BG554" t="s">
        <v>311</v>
      </c>
      <c r="BH554" t="s">
        <v>734</v>
      </c>
      <c r="BJ554" s="10" t="s">
        <v>781</v>
      </c>
      <c r="BK554" s="10" t="s">
        <v>137</v>
      </c>
      <c r="BL554" s="10">
        <v>3.0170333392987803</v>
      </c>
      <c r="BM554" s="52">
        <v>11</v>
      </c>
      <c r="BR554" s="10" t="s">
        <v>842</v>
      </c>
      <c r="BS554" s="10">
        <v>3.4149733479708178</v>
      </c>
      <c r="BY554" s="10">
        <v>0.3979400086720376</v>
      </c>
      <c r="CG554" t="s">
        <v>651</v>
      </c>
      <c r="CH554" t="s">
        <v>726</v>
      </c>
    </row>
    <row r="555" spans="1:86" x14ac:dyDescent="0.3">
      <c r="A555">
        <v>693</v>
      </c>
      <c r="B555" t="s">
        <v>360</v>
      </c>
      <c r="C555" t="s">
        <v>330</v>
      </c>
      <c r="D555" t="s">
        <v>768</v>
      </c>
      <c r="E555" t="s">
        <v>769</v>
      </c>
      <c r="F555" t="s">
        <v>577</v>
      </c>
      <c r="I555" t="s">
        <v>770</v>
      </c>
      <c r="J555" t="s">
        <v>771</v>
      </c>
      <c r="K555">
        <v>0.4</v>
      </c>
      <c r="BG555" t="s">
        <v>311</v>
      </c>
      <c r="BH555" t="s">
        <v>734</v>
      </c>
      <c r="BJ555" s="10" t="s">
        <v>781</v>
      </c>
      <c r="BK555" s="10" t="s">
        <v>137</v>
      </c>
      <c r="BL555" s="10">
        <v>3.0248235837250323</v>
      </c>
      <c r="BM555" s="52">
        <v>11</v>
      </c>
      <c r="BS555" s="10">
        <v>4.2552725051033065</v>
      </c>
      <c r="BY555" s="10">
        <v>1.2304489213782739</v>
      </c>
      <c r="CF555" t="s">
        <v>782</v>
      </c>
      <c r="CG555" t="s">
        <v>651</v>
      </c>
      <c r="CH555" t="s">
        <v>726</v>
      </c>
    </row>
    <row r="556" spans="1:86" x14ac:dyDescent="0.3">
      <c r="A556">
        <v>694</v>
      </c>
      <c r="B556" t="s">
        <v>360</v>
      </c>
      <c r="C556" t="s">
        <v>330</v>
      </c>
      <c r="D556" t="s">
        <v>768</v>
      </c>
      <c r="E556" t="s">
        <v>769</v>
      </c>
      <c r="F556" t="s">
        <v>577</v>
      </c>
      <c r="I556" t="s">
        <v>770</v>
      </c>
      <c r="J556" t="s">
        <v>771</v>
      </c>
      <c r="K556">
        <v>0.4</v>
      </c>
      <c r="BG556" t="s">
        <v>311</v>
      </c>
      <c r="BH556" t="s">
        <v>734</v>
      </c>
      <c r="BJ556" s="10" t="s">
        <v>781</v>
      </c>
      <c r="BK556" s="10" t="s">
        <v>137</v>
      </c>
      <c r="BL556" s="10">
        <v>3.1706962271689751</v>
      </c>
      <c r="BM556" s="52">
        <v>11</v>
      </c>
      <c r="BR556" s="10" t="s">
        <v>842</v>
      </c>
      <c r="BS556" s="10">
        <v>3.6020599913279625</v>
      </c>
      <c r="BY556" s="10">
        <v>0.43136376415898736</v>
      </c>
      <c r="CG556" t="s">
        <v>651</v>
      </c>
      <c r="CH556" t="s">
        <v>726</v>
      </c>
    </row>
    <row r="557" spans="1:86" x14ac:dyDescent="0.3">
      <c r="A557">
        <v>695</v>
      </c>
      <c r="B557" t="s">
        <v>360</v>
      </c>
      <c r="C557" t="s">
        <v>330</v>
      </c>
      <c r="D557" t="s">
        <v>768</v>
      </c>
      <c r="E557" t="s">
        <v>769</v>
      </c>
      <c r="F557" t="s">
        <v>577</v>
      </c>
      <c r="I557" t="s">
        <v>770</v>
      </c>
      <c r="J557" t="s">
        <v>771</v>
      </c>
      <c r="K557">
        <v>0.4</v>
      </c>
      <c r="BG557" t="s">
        <v>311</v>
      </c>
      <c r="BH557" t="s">
        <v>734</v>
      </c>
      <c r="BJ557" s="10" t="s">
        <v>781</v>
      </c>
      <c r="BK557" s="10" t="s">
        <v>137</v>
      </c>
      <c r="BL557" s="10">
        <v>2.9110589166632188</v>
      </c>
      <c r="BM557" s="52">
        <v>11</v>
      </c>
      <c r="BR557" s="10" t="s">
        <v>842</v>
      </c>
      <c r="BS557" s="10">
        <v>3.3424226808222062</v>
      </c>
      <c r="BY557" s="10">
        <v>0.43136376415898736</v>
      </c>
      <c r="CG557" t="s">
        <v>651</v>
      </c>
      <c r="CH557" t="s">
        <v>726</v>
      </c>
    </row>
    <row r="558" spans="1:86" x14ac:dyDescent="0.3">
      <c r="A558">
        <v>704</v>
      </c>
      <c r="B558" t="s">
        <v>360</v>
      </c>
      <c r="C558" t="s">
        <v>329</v>
      </c>
      <c r="D558" t="s">
        <v>772</v>
      </c>
      <c r="E558" t="s">
        <v>769</v>
      </c>
      <c r="F558" t="s">
        <v>577</v>
      </c>
      <c r="G558" t="s">
        <v>773</v>
      </c>
      <c r="I558" t="s">
        <v>770</v>
      </c>
      <c r="BG558" t="s">
        <v>311</v>
      </c>
      <c r="BH558" t="s">
        <v>734</v>
      </c>
      <c r="BJ558" s="10" t="s">
        <v>781</v>
      </c>
      <c r="BK558" s="10" t="s">
        <v>137</v>
      </c>
      <c r="BL558" s="10">
        <v>0.79908515721928652</v>
      </c>
      <c r="BM558" s="52">
        <v>11</v>
      </c>
      <c r="BR558" s="10" t="s">
        <v>842</v>
      </c>
      <c r="BS558" s="10">
        <v>1.2304489213782739</v>
      </c>
      <c r="BY558" s="10">
        <v>0.43136376415898736</v>
      </c>
      <c r="CG558" t="s">
        <v>651</v>
      </c>
      <c r="CH558" t="s">
        <v>726</v>
      </c>
    </row>
    <row r="559" spans="1:86" x14ac:dyDescent="0.3">
      <c r="A559">
        <v>725</v>
      </c>
      <c r="B559" t="s">
        <v>360</v>
      </c>
      <c r="C559" t="s">
        <v>6</v>
      </c>
      <c r="D559" t="s">
        <v>778</v>
      </c>
      <c r="E559" t="s">
        <v>769</v>
      </c>
      <c r="F559" t="s">
        <v>577</v>
      </c>
      <c r="G559" t="s">
        <v>728</v>
      </c>
      <c r="I559" t="s">
        <v>770</v>
      </c>
      <c r="BG559" t="s">
        <v>311</v>
      </c>
      <c r="BH559" t="s">
        <v>734</v>
      </c>
      <c r="BJ559" s="10" t="s">
        <v>781</v>
      </c>
      <c r="BK559" s="10" t="s">
        <v>137</v>
      </c>
      <c r="BL559" s="10">
        <v>0.74472749489669399</v>
      </c>
      <c r="BM559" s="52">
        <v>4</v>
      </c>
      <c r="BS559" s="10">
        <v>1</v>
      </c>
      <c r="BY559" s="10">
        <v>0.25527250510330607</v>
      </c>
      <c r="CF559" t="s">
        <v>782</v>
      </c>
      <c r="CG559" t="s">
        <v>651</v>
      </c>
      <c r="CH559" t="s">
        <v>726</v>
      </c>
    </row>
    <row r="560" spans="1:86" x14ac:dyDescent="0.3">
      <c r="A560">
        <v>727</v>
      </c>
      <c r="B560" t="s">
        <v>363</v>
      </c>
      <c r="C560" t="s">
        <v>359</v>
      </c>
      <c r="E560" t="s">
        <v>564</v>
      </c>
      <c r="F560" t="s">
        <v>565</v>
      </c>
      <c r="G560" t="s">
        <v>784</v>
      </c>
      <c r="I560" t="s">
        <v>564</v>
      </c>
      <c r="N560">
        <v>0.5</v>
      </c>
      <c r="P560">
        <v>10</v>
      </c>
      <c r="AG560">
        <v>6.6</v>
      </c>
      <c r="AJ560">
        <v>64</v>
      </c>
      <c r="AK560">
        <v>2.5</v>
      </c>
      <c r="AN560">
        <v>60.1</v>
      </c>
      <c r="BG560" t="s">
        <v>312</v>
      </c>
      <c r="BH560" t="s">
        <v>785</v>
      </c>
      <c r="BK560" s="10" t="s">
        <v>41</v>
      </c>
      <c r="BL560" s="17">
        <v>0.11</v>
      </c>
      <c r="BN560" s="17">
        <v>0.08</v>
      </c>
      <c r="CG560" t="s">
        <v>651</v>
      </c>
      <c r="CH560" t="s">
        <v>786</v>
      </c>
    </row>
    <row r="561" spans="1:86" x14ac:dyDescent="0.3">
      <c r="A561">
        <v>728</v>
      </c>
      <c r="B561" t="s">
        <v>363</v>
      </c>
      <c r="C561" t="s">
        <v>359</v>
      </c>
      <c r="E561" t="s">
        <v>564</v>
      </c>
      <c r="F561" t="s">
        <v>565</v>
      </c>
      <c r="G561" t="s">
        <v>784</v>
      </c>
      <c r="I561" t="s">
        <v>564</v>
      </c>
      <c r="N561">
        <v>1</v>
      </c>
      <c r="P561">
        <v>10</v>
      </c>
      <c r="AG561">
        <v>6.6</v>
      </c>
      <c r="AJ561">
        <v>64</v>
      </c>
      <c r="AK561">
        <v>2.5</v>
      </c>
      <c r="AN561">
        <v>60.1</v>
      </c>
      <c r="BG561" t="s">
        <v>312</v>
      </c>
      <c r="BH561" t="s">
        <v>785</v>
      </c>
      <c r="BK561" s="10" t="s">
        <v>41</v>
      </c>
      <c r="BL561" s="17">
        <v>0.97</v>
      </c>
      <c r="BN561" s="17">
        <v>0.17</v>
      </c>
      <c r="CG561" t="s">
        <v>651</v>
      </c>
      <c r="CH561" t="s">
        <v>786</v>
      </c>
    </row>
    <row r="562" spans="1:86" x14ac:dyDescent="0.3">
      <c r="A562">
        <v>729</v>
      </c>
      <c r="B562" t="s">
        <v>363</v>
      </c>
      <c r="C562" t="s">
        <v>359</v>
      </c>
      <c r="E562" t="s">
        <v>564</v>
      </c>
      <c r="F562" t="s">
        <v>565</v>
      </c>
      <c r="G562" t="s">
        <v>784</v>
      </c>
      <c r="I562" t="s">
        <v>564</v>
      </c>
      <c r="N562">
        <v>1.5</v>
      </c>
      <c r="P562">
        <v>10</v>
      </c>
      <c r="AG562">
        <v>6.6</v>
      </c>
      <c r="AJ562">
        <v>64</v>
      </c>
      <c r="AK562">
        <v>2.5</v>
      </c>
      <c r="AN562">
        <v>60.1</v>
      </c>
      <c r="BG562" t="s">
        <v>312</v>
      </c>
      <c r="BH562" t="s">
        <v>785</v>
      </c>
      <c r="BK562" s="10" t="s">
        <v>41</v>
      </c>
      <c r="BL562" s="17">
        <v>1.74</v>
      </c>
      <c r="BN562" s="17">
        <v>0.67</v>
      </c>
      <c r="CG562" t="s">
        <v>651</v>
      </c>
      <c r="CH562" t="s">
        <v>786</v>
      </c>
    </row>
    <row r="563" spans="1:86" x14ac:dyDescent="0.3">
      <c r="A563">
        <v>730</v>
      </c>
      <c r="B563" t="s">
        <v>363</v>
      </c>
      <c r="C563" t="s">
        <v>359</v>
      </c>
      <c r="E563" t="s">
        <v>564</v>
      </c>
      <c r="F563" t="s">
        <v>565</v>
      </c>
      <c r="G563" t="s">
        <v>784</v>
      </c>
      <c r="I563" t="s">
        <v>564</v>
      </c>
      <c r="N563">
        <v>3</v>
      </c>
      <c r="P563">
        <v>10</v>
      </c>
      <c r="AG563">
        <v>6.6</v>
      </c>
      <c r="AJ563">
        <v>64</v>
      </c>
      <c r="AK563">
        <v>2.5</v>
      </c>
      <c r="AN563">
        <v>60.1</v>
      </c>
      <c r="BG563" t="s">
        <v>312</v>
      </c>
      <c r="BH563" t="s">
        <v>785</v>
      </c>
      <c r="BK563" s="10" t="s">
        <v>41</v>
      </c>
      <c r="BL563" s="17">
        <v>3.12</v>
      </c>
      <c r="BN563" s="17">
        <v>0.23</v>
      </c>
      <c r="CG563" t="s">
        <v>651</v>
      </c>
      <c r="CH563" t="s">
        <v>786</v>
      </c>
    </row>
    <row r="564" spans="1:86" x14ac:dyDescent="0.3">
      <c r="A564">
        <v>731</v>
      </c>
      <c r="B564" t="s">
        <v>363</v>
      </c>
      <c r="C564" t="s">
        <v>359</v>
      </c>
      <c r="E564" t="s">
        <v>564</v>
      </c>
      <c r="F564" t="s">
        <v>565</v>
      </c>
      <c r="G564" t="s">
        <v>784</v>
      </c>
      <c r="I564" t="s">
        <v>564</v>
      </c>
      <c r="N564">
        <v>1</v>
      </c>
      <c r="P564">
        <v>10</v>
      </c>
      <c r="AG564">
        <v>6.5</v>
      </c>
      <c r="AJ564">
        <v>64</v>
      </c>
      <c r="AK564">
        <v>0.8</v>
      </c>
      <c r="AN564">
        <v>59.1</v>
      </c>
      <c r="BG564" t="s">
        <v>312</v>
      </c>
      <c r="BH564" t="s">
        <v>314</v>
      </c>
      <c r="BK564" s="10" t="s">
        <v>41</v>
      </c>
      <c r="BL564" s="17">
        <v>0.04</v>
      </c>
      <c r="BN564" s="17">
        <v>0.05</v>
      </c>
      <c r="CG564" t="s">
        <v>651</v>
      </c>
      <c r="CH564" t="s">
        <v>786</v>
      </c>
    </row>
    <row r="565" spans="1:86" x14ac:dyDescent="0.3">
      <c r="A565">
        <v>732</v>
      </c>
      <c r="B565" t="s">
        <v>363</v>
      </c>
      <c r="C565" t="s">
        <v>359</v>
      </c>
      <c r="E565" t="s">
        <v>564</v>
      </c>
      <c r="F565" t="s">
        <v>565</v>
      </c>
      <c r="G565" t="s">
        <v>784</v>
      </c>
      <c r="I565" t="s">
        <v>564</v>
      </c>
      <c r="N565">
        <v>2</v>
      </c>
      <c r="P565">
        <v>10</v>
      </c>
      <c r="AG565">
        <v>6.5</v>
      </c>
      <c r="AJ565">
        <v>64</v>
      </c>
      <c r="AK565">
        <v>0.8</v>
      </c>
      <c r="AN565">
        <v>59.1</v>
      </c>
      <c r="BG565" t="s">
        <v>312</v>
      </c>
      <c r="BH565" t="s">
        <v>314</v>
      </c>
      <c r="BK565" s="10" t="s">
        <v>41</v>
      </c>
      <c r="BL565" s="17">
        <v>0.56999999999999995</v>
      </c>
      <c r="BN565" s="17">
        <v>0.19</v>
      </c>
      <c r="CG565" t="s">
        <v>651</v>
      </c>
      <c r="CH565" t="s">
        <v>786</v>
      </c>
    </row>
    <row r="566" spans="1:86" x14ac:dyDescent="0.3">
      <c r="A566">
        <v>733</v>
      </c>
      <c r="B566" t="s">
        <v>363</v>
      </c>
      <c r="C566" t="s">
        <v>359</v>
      </c>
      <c r="E566" t="s">
        <v>564</v>
      </c>
      <c r="F566" t="s">
        <v>565</v>
      </c>
      <c r="G566" t="s">
        <v>784</v>
      </c>
      <c r="I566" t="s">
        <v>564</v>
      </c>
      <c r="N566">
        <v>3</v>
      </c>
      <c r="P566">
        <v>10</v>
      </c>
      <c r="AG566">
        <v>6.5</v>
      </c>
      <c r="AJ566">
        <v>64</v>
      </c>
      <c r="AK566">
        <v>0.8</v>
      </c>
      <c r="AN566">
        <v>59.1</v>
      </c>
      <c r="BG566" t="s">
        <v>312</v>
      </c>
      <c r="BH566" t="s">
        <v>314</v>
      </c>
      <c r="BK566" s="10" t="s">
        <v>41</v>
      </c>
      <c r="BL566" s="17">
        <v>2.81</v>
      </c>
      <c r="BN566" s="17">
        <v>0.37</v>
      </c>
      <c r="CG566" t="s">
        <v>651</v>
      </c>
      <c r="CH566" t="s">
        <v>786</v>
      </c>
    </row>
    <row r="567" spans="1:86" x14ac:dyDescent="0.3">
      <c r="A567">
        <v>734</v>
      </c>
      <c r="B567" t="s">
        <v>363</v>
      </c>
      <c r="C567" t="s">
        <v>359</v>
      </c>
      <c r="E567" t="s">
        <v>564</v>
      </c>
      <c r="F567" t="s">
        <v>565</v>
      </c>
      <c r="G567" t="s">
        <v>784</v>
      </c>
      <c r="I567" t="s">
        <v>564</v>
      </c>
      <c r="N567">
        <v>1</v>
      </c>
      <c r="P567">
        <v>10</v>
      </c>
      <c r="AG567">
        <v>6.7</v>
      </c>
      <c r="AJ567">
        <v>64</v>
      </c>
      <c r="AK567">
        <v>1.3</v>
      </c>
      <c r="AN567">
        <v>58.8</v>
      </c>
      <c r="BG567" t="s">
        <v>312</v>
      </c>
      <c r="BH567" t="s">
        <v>787</v>
      </c>
      <c r="BK567" s="10" t="s">
        <v>41</v>
      </c>
      <c r="BL567" s="17">
        <v>0.05</v>
      </c>
      <c r="BN567" s="17">
        <v>0.08</v>
      </c>
      <c r="CG567" t="s">
        <v>651</v>
      </c>
      <c r="CH567" t="s">
        <v>786</v>
      </c>
    </row>
    <row r="568" spans="1:86" x14ac:dyDescent="0.3">
      <c r="A568">
        <v>735</v>
      </c>
      <c r="B568" t="s">
        <v>363</v>
      </c>
      <c r="C568" t="s">
        <v>359</v>
      </c>
      <c r="E568" t="s">
        <v>564</v>
      </c>
      <c r="F568" t="s">
        <v>565</v>
      </c>
      <c r="G568" t="s">
        <v>784</v>
      </c>
      <c r="I568" t="s">
        <v>564</v>
      </c>
      <c r="N568">
        <v>2</v>
      </c>
      <c r="P568">
        <v>10</v>
      </c>
      <c r="AG568">
        <v>6.7</v>
      </c>
      <c r="AJ568">
        <v>64</v>
      </c>
      <c r="AK568">
        <v>1.3</v>
      </c>
      <c r="AN568">
        <v>58.8</v>
      </c>
      <c r="BG568" t="s">
        <v>312</v>
      </c>
      <c r="BH568" t="s">
        <v>787</v>
      </c>
      <c r="BK568" s="10" t="s">
        <v>41</v>
      </c>
      <c r="BL568" s="17">
        <v>0.38</v>
      </c>
      <c r="BN568" s="17">
        <v>0.19</v>
      </c>
      <c r="CG568" t="s">
        <v>651</v>
      </c>
      <c r="CH568" t="s">
        <v>786</v>
      </c>
    </row>
    <row r="569" spans="1:86" x14ac:dyDescent="0.3">
      <c r="A569">
        <v>736</v>
      </c>
      <c r="B569" t="s">
        <v>363</v>
      </c>
      <c r="C569" t="s">
        <v>359</v>
      </c>
      <c r="E569" t="s">
        <v>564</v>
      </c>
      <c r="F569" t="s">
        <v>565</v>
      </c>
      <c r="G569" t="s">
        <v>784</v>
      </c>
      <c r="I569" t="s">
        <v>564</v>
      </c>
      <c r="N569">
        <v>3</v>
      </c>
      <c r="P569">
        <v>10</v>
      </c>
      <c r="AG569">
        <v>6.7</v>
      </c>
      <c r="AJ569">
        <v>64</v>
      </c>
      <c r="AK569">
        <v>1.3</v>
      </c>
      <c r="AN569">
        <v>58.8</v>
      </c>
      <c r="BG569" t="s">
        <v>312</v>
      </c>
      <c r="BH569" t="s">
        <v>787</v>
      </c>
      <c r="BK569" s="10" t="s">
        <v>41</v>
      </c>
      <c r="BL569" s="17">
        <v>1.93</v>
      </c>
      <c r="BN569" s="17">
        <v>0.53</v>
      </c>
      <c r="CG569" t="s">
        <v>651</v>
      </c>
      <c r="CH569" t="s">
        <v>786</v>
      </c>
    </row>
    <row r="570" spans="1:86" x14ac:dyDescent="0.3">
      <c r="A570">
        <v>737</v>
      </c>
      <c r="B570" t="s">
        <v>363</v>
      </c>
      <c r="C570" t="s">
        <v>359</v>
      </c>
      <c r="E570" t="s">
        <v>564</v>
      </c>
      <c r="F570" t="s">
        <v>565</v>
      </c>
      <c r="G570" t="s">
        <v>784</v>
      </c>
      <c r="I570" t="s">
        <v>564</v>
      </c>
      <c r="N570">
        <v>3</v>
      </c>
      <c r="P570">
        <v>10</v>
      </c>
      <c r="AG570">
        <v>6.7</v>
      </c>
      <c r="AJ570">
        <v>64</v>
      </c>
      <c r="AK570">
        <v>0.1</v>
      </c>
      <c r="AN570">
        <v>69.3</v>
      </c>
      <c r="BG570" t="s">
        <v>311</v>
      </c>
      <c r="BH570" t="s">
        <v>315</v>
      </c>
      <c r="BK570" s="10" t="s">
        <v>41</v>
      </c>
      <c r="BL570" s="17">
        <v>0.21</v>
      </c>
      <c r="BN570" s="17">
        <v>0.1</v>
      </c>
      <c r="CG570" t="s">
        <v>651</v>
      </c>
      <c r="CH570" t="s">
        <v>786</v>
      </c>
    </row>
    <row r="571" spans="1:86" x14ac:dyDescent="0.3">
      <c r="A571">
        <v>738</v>
      </c>
      <c r="B571" t="s">
        <v>363</v>
      </c>
      <c r="C571" t="s">
        <v>359</v>
      </c>
      <c r="E571" t="s">
        <v>564</v>
      </c>
      <c r="F571" t="s">
        <v>565</v>
      </c>
      <c r="G571" t="s">
        <v>784</v>
      </c>
      <c r="I571" t="s">
        <v>564</v>
      </c>
      <c r="N571">
        <v>7</v>
      </c>
      <c r="P571">
        <v>10</v>
      </c>
      <c r="AG571">
        <v>6.7</v>
      </c>
      <c r="AJ571">
        <v>64</v>
      </c>
      <c r="AK571">
        <v>0.1</v>
      </c>
      <c r="AN571">
        <v>69.3</v>
      </c>
      <c r="BG571" t="s">
        <v>311</v>
      </c>
      <c r="BH571" t="s">
        <v>315</v>
      </c>
      <c r="BK571" s="10" t="s">
        <v>41</v>
      </c>
      <c r="BL571" s="17">
        <v>0.86</v>
      </c>
      <c r="BN571" s="17">
        <v>0.16</v>
      </c>
      <c r="CG571" t="s">
        <v>651</v>
      </c>
      <c r="CH571" t="s">
        <v>786</v>
      </c>
    </row>
    <row r="572" spans="1:86" x14ac:dyDescent="0.3">
      <c r="A572">
        <v>739</v>
      </c>
      <c r="B572" t="s">
        <v>363</v>
      </c>
      <c r="C572" t="s">
        <v>359</v>
      </c>
      <c r="E572" t="s">
        <v>564</v>
      </c>
      <c r="F572" t="s">
        <v>565</v>
      </c>
      <c r="G572" t="s">
        <v>784</v>
      </c>
      <c r="I572" t="s">
        <v>564</v>
      </c>
      <c r="N572">
        <v>15</v>
      </c>
      <c r="P572">
        <v>10</v>
      </c>
      <c r="AG572">
        <v>6.7</v>
      </c>
      <c r="AJ572">
        <v>64</v>
      </c>
      <c r="AK572">
        <v>0.1</v>
      </c>
      <c r="AN572">
        <v>69.3</v>
      </c>
      <c r="BG572" t="s">
        <v>311</v>
      </c>
      <c r="BH572" t="s">
        <v>315</v>
      </c>
      <c r="BK572" s="10" t="s">
        <v>41</v>
      </c>
      <c r="BL572" s="17">
        <v>1.28</v>
      </c>
      <c r="BN572" s="17">
        <v>0.33</v>
      </c>
      <c r="CG572" t="s">
        <v>651</v>
      </c>
      <c r="CH572" t="s">
        <v>786</v>
      </c>
    </row>
    <row r="573" spans="1:86" x14ac:dyDescent="0.3">
      <c r="A573">
        <v>740</v>
      </c>
      <c r="B573" t="s">
        <v>363</v>
      </c>
      <c r="C573" t="s">
        <v>337</v>
      </c>
      <c r="D573" t="s">
        <v>563</v>
      </c>
      <c r="E573" t="s">
        <v>564</v>
      </c>
      <c r="F573" t="s">
        <v>565</v>
      </c>
      <c r="G573" t="s">
        <v>784</v>
      </c>
      <c r="I573" t="s">
        <v>564</v>
      </c>
      <c r="N573">
        <v>0.5</v>
      </c>
      <c r="P573">
        <v>10</v>
      </c>
      <c r="S573">
        <v>8</v>
      </c>
      <c r="AG573">
        <v>6.6</v>
      </c>
      <c r="AJ573">
        <v>64</v>
      </c>
      <c r="AK573">
        <v>2.5</v>
      </c>
      <c r="AN573">
        <v>60.1</v>
      </c>
      <c r="BG573" t="s">
        <v>312</v>
      </c>
      <c r="BH573" t="s">
        <v>785</v>
      </c>
      <c r="BK573" s="10" t="s">
        <v>41</v>
      </c>
      <c r="BL573" s="17">
        <v>1.05</v>
      </c>
      <c r="BN573" s="17">
        <v>0.18</v>
      </c>
      <c r="CG573" t="s">
        <v>651</v>
      </c>
      <c r="CH573" t="s">
        <v>786</v>
      </c>
    </row>
    <row r="574" spans="1:86" x14ac:dyDescent="0.3">
      <c r="A574">
        <v>741</v>
      </c>
      <c r="B574" t="s">
        <v>363</v>
      </c>
      <c r="C574" t="s">
        <v>337</v>
      </c>
      <c r="D574" t="s">
        <v>563</v>
      </c>
      <c r="E574" t="s">
        <v>564</v>
      </c>
      <c r="F574" t="s">
        <v>565</v>
      </c>
      <c r="G574" t="s">
        <v>784</v>
      </c>
      <c r="I574" t="s">
        <v>564</v>
      </c>
      <c r="N574">
        <v>1</v>
      </c>
      <c r="P574">
        <v>10</v>
      </c>
      <c r="S574">
        <v>8</v>
      </c>
      <c r="AG574">
        <v>6.6</v>
      </c>
      <c r="AJ574">
        <v>64</v>
      </c>
      <c r="AK574">
        <v>2.5</v>
      </c>
      <c r="AN574">
        <v>60.1</v>
      </c>
      <c r="BG574" t="s">
        <v>312</v>
      </c>
      <c r="BH574" t="s">
        <v>785</v>
      </c>
      <c r="BK574" s="10" t="s">
        <v>41</v>
      </c>
      <c r="BL574" s="17">
        <v>2.3199999999999998</v>
      </c>
      <c r="BN574" s="17">
        <v>0.5</v>
      </c>
      <c r="CG574" t="s">
        <v>651</v>
      </c>
      <c r="CH574" t="s">
        <v>786</v>
      </c>
    </row>
    <row r="575" spans="1:86" x14ac:dyDescent="0.3">
      <c r="A575">
        <v>742</v>
      </c>
      <c r="B575" t="s">
        <v>363</v>
      </c>
      <c r="C575" t="s">
        <v>337</v>
      </c>
      <c r="D575" t="s">
        <v>563</v>
      </c>
      <c r="E575" t="s">
        <v>564</v>
      </c>
      <c r="F575" t="s">
        <v>565</v>
      </c>
      <c r="G575" t="s">
        <v>784</v>
      </c>
      <c r="I575" t="s">
        <v>564</v>
      </c>
      <c r="N575">
        <v>1.5</v>
      </c>
      <c r="P575">
        <v>10</v>
      </c>
      <c r="S575">
        <v>8</v>
      </c>
      <c r="AG575">
        <v>6.6</v>
      </c>
      <c r="AJ575">
        <v>64</v>
      </c>
      <c r="AK575">
        <v>2.5</v>
      </c>
      <c r="AN575">
        <v>60.1</v>
      </c>
      <c r="BG575" t="s">
        <v>312</v>
      </c>
      <c r="BH575" t="s">
        <v>785</v>
      </c>
      <c r="BK575" s="10" t="s">
        <v>41</v>
      </c>
      <c r="BL575" s="17">
        <v>4.5599999999999996</v>
      </c>
      <c r="BN575" s="17">
        <v>0.4</v>
      </c>
      <c r="CG575" t="s">
        <v>651</v>
      </c>
      <c r="CH575" t="s">
        <v>786</v>
      </c>
    </row>
    <row r="576" spans="1:86" x14ac:dyDescent="0.3">
      <c r="A576">
        <v>743</v>
      </c>
      <c r="B576" t="s">
        <v>363</v>
      </c>
      <c r="C576" t="s">
        <v>337</v>
      </c>
      <c r="D576" t="s">
        <v>563</v>
      </c>
      <c r="E576" t="s">
        <v>564</v>
      </c>
      <c r="F576" t="s">
        <v>565</v>
      </c>
      <c r="G576" t="s">
        <v>784</v>
      </c>
      <c r="I576" t="s">
        <v>564</v>
      </c>
      <c r="N576">
        <v>0.5</v>
      </c>
      <c r="P576">
        <v>10</v>
      </c>
      <c r="S576">
        <v>10</v>
      </c>
      <c r="AG576">
        <v>6.6</v>
      </c>
      <c r="AJ576">
        <v>64</v>
      </c>
      <c r="AK576">
        <v>2.5</v>
      </c>
      <c r="AN576">
        <v>60.1</v>
      </c>
      <c r="BG576" t="s">
        <v>312</v>
      </c>
      <c r="BH576" t="s">
        <v>785</v>
      </c>
      <c r="BK576" s="10" t="s">
        <v>41</v>
      </c>
      <c r="BL576" s="17">
        <v>1.99</v>
      </c>
      <c r="BN576" s="17">
        <v>0.27</v>
      </c>
      <c r="CG576" t="s">
        <v>651</v>
      </c>
      <c r="CH576" t="s">
        <v>786</v>
      </c>
    </row>
    <row r="577" spans="1:86" x14ac:dyDescent="0.3">
      <c r="A577">
        <v>744</v>
      </c>
      <c r="B577" t="s">
        <v>363</v>
      </c>
      <c r="C577" t="s">
        <v>337</v>
      </c>
      <c r="D577" t="s">
        <v>563</v>
      </c>
      <c r="E577" t="s">
        <v>564</v>
      </c>
      <c r="F577" t="s">
        <v>565</v>
      </c>
      <c r="G577" t="s">
        <v>784</v>
      </c>
      <c r="I577" t="s">
        <v>564</v>
      </c>
      <c r="N577">
        <v>1</v>
      </c>
      <c r="P577">
        <v>10</v>
      </c>
      <c r="S577">
        <v>10</v>
      </c>
      <c r="AG577">
        <v>6.6</v>
      </c>
      <c r="AJ577">
        <v>64</v>
      </c>
      <c r="AK577">
        <v>2.5</v>
      </c>
      <c r="AN577">
        <v>60.1</v>
      </c>
      <c r="BG577" t="s">
        <v>312</v>
      </c>
      <c r="BH577" t="s">
        <v>785</v>
      </c>
      <c r="BK577" s="10" t="s">
        <v>41</v>
      </c>
      <c r="BL577" s="17">
        <v>3</v>
      </c>
      <c r="BN577" s="17">
        <v>0.76</v>
      </c>
      <c r="CG577" t="s">
        <v>651</v>
      </c>
      <c r="CH577" t="s">
        <v>786</v>
      </c>
    </row>
    <row r="578" spans="1:86" x14ac:dyDescent="0.3">
      <c r="A578">
        <v>745</v>
      </c>
      <c r="B578" t="s">
        <v>363</v>
      </c>
      <c r="C578" t="s">
        <v>337</v>
      </c>
      <c r="D578" t="s">
        <v>563</v>
      </c>
      <c r="E578" t="s">
        <v>564</v>
      </c>
      <c r="F578" t="s">
        <v>565</v>
      </c>
      <c r="G578" t="s">
        <v>784</v>
      </c>
      <c r="I578" t="s">
        <v>564</v>
      </c>
      <c r="N578">
        <v>1.5</v>
      </c>
      <c r="P578">
        <v>10</v>
      </c>
      <c r="S578">
        <v>10</v>
      </c>
      <c r="AG578">
        <v>6.6</v>
      </c>
      <c r="AJ578">
        <v>64</v>
      </c>
      <c r="AK578">
        <v>2.5</v>
      </c>
      <c r="AN578">
        <v>60.1</v>
      </c>
      <c r="BG578" t="s">
        <v>312</v>
      </c>
      <c r="BH578" t="s">
        <v>785</v>
      </c>
      <c r="BK578" s="10" t="s">
        <v>41</v>
      </c>
      <c r="BL578" s="17">
        <v>4.4000000000000004</v>
      </c>
      <c r="BN578" s="17">
        <v>0.79</v>
      </c>
      <c r="CG578" t="s">
        <v>651</v>
      </c>
      <c r="CH578" t="s">
        <v>786</v>
      </c>
    </row>
    <row r="579" spans="1:86" x14ac:dyDescent="0.3">
      <c r="A579">
        <v>746</v>
      </c>
      <c r="B579" t="s">
        <v>363</v>
      </c>
      <c r="C579" t="s">
        <v>337</v>
      </c>
      <c r="D579" t="s">
        <v>563</v>
      </c>
      <c r="E579" t="s">
        <v>564</v>
      </c>
      <c r="F579" t="s">
        <v>565</v>
      </c>
      <c r="G579" t="s">
        <v>784</v>
      </c>
      <c r="I579" t="s">
        <v>564</v>
      </c>
      <c r="N579">
        <v>1</v>
      </c>
      <c r="P579">
        <v>10</v>
      </c>
      <c r="S579">
        <v>10</v>
      </c>
      <c r="AG579">
        <v>6.5</v>
      </c>
      <c r="AJ579">
        <v>64</v>
      </c>
      <c r="AK579">
        <v>0.8</v>
      </c>
      <c r="AN579">
        <v>59.1</v>
      </c>
      <c r="BG579" t="s">
        <v>312</v>
      </c>
      <c r="BH579" t="s">
        <v>314</v>
      </c>
      <c r="BK579" s="10" t="s">
        <v>41</v>
      </c>
      <c r="BL579" s="17">
        <v>1.02</v>
      </c>
      <c r="BN579" s="17">
        <v>0.39</v>
      </c>
      <c r="CG579" t="s">
        <v>651</v>
      </c>
      <c r="CH579" t="s">
        <v>786</v>
      </c>
    </row>
    <row r="580" spans="1:86" x14ac:dyDescent="0.3">
      <c r="A580">
        <v>747</v>
      </c>
      <c r="B580" t="s">
        <v>363</v>
      </c>
      <c r="C580" t="s">
        <v>337</v>
      </c>
      <c r="D580" t="s">
        <v>563</v>
      </c>
      <c r="E580" t="s">
        <v>564</v>
      </c>
      <c r="F580" t="s">
        <v>565</v>
      </c>
      <c r="G580" t="s">
        <v>784</v>
      </c>
      <c r="I580" t="s">
        <v>564</v>
      </c>
      <c r="N580">
        <v>2</v>
      </c>
      <c r="P580">
        <v>10</v>
      </c>
      <c r="S580">
        <v>10</v>
      </c>
      <c r="AG580">
        <v>6.5</v>
      </c>
      <c r="AJ580">
        <v>64</v>
      </c>
      <c r="AK580">
        <v>0.8</v>
      </c>
      <c r="AN580">
        <v>59.1</v>
      </c>
      <c r="BG580" t="s">
        <v>312</v>
      </c>
      <c r="BH580" t="s">
        <v>314</v>
      </c>
      <c r="BK580" s="10" t="s">
        <v>41</v>
      </c>
      <c r="BL580" s="17">
        <v>2.29</v>
      </c>
      <c r="BN580" s="17">
        <v>0.32</v>
      </c>
      <c r="CG580" t="s">
        <v>651</v>
      </c>
      <c r="CH580" t="s">
        <v>786</v>
      </c>
    </row>
    <row r="581" spans="1:86" x14ac:dyDescent="0.3">
      <c r="A581">
        <v>748</v>
      </c>
      <c r="B581" t="s">
        <v>363</v>
      </c>
      <c r="C581" t="s">
        <v>337</v>
      </c>
      <c r="D581" t="s">
        <v>563</v>
      </c>
      <c r="E581" t="s">
        <v>564</v>
      </c>
      <c r="F581" t="s">
        <v>565</v>
      </c>
      <c r="G581" t="s">
        <v>784</v>
      </c>
      <c r="I581" t="s">
        <v>564</v>
      </c>
      <c r="N581">
        <v>3</v>
      </c>
      <c r="P581">
        <v>10</v>
      </c>
      <c r="S581">
        <v>10</v>
      </c>
      <c r="AG581">
        <v>6.5</v>
      </c>
      <c r="AJ581">
        <v>64</v>
      </c>
      <c r="AK581">
        <v>0.8</v>
      </c>
      <c r="AN581">
        <v>59.1</v>
      </c>
      <c r="BG581" t="s">
        <v>312</v>
      </c>
      <c r="BH581" t="s">
        <v>314</v>
      </c>
      <c r="BK581" s="10" t="s">
        <v>41</v>
      </c>
      <c r="BL581" s="17">
        <v>5.56</v>
      </c>
      <c r="BN581" s="17">
        <v>0.59</v>
      </c>
      <c r="CG581" t="s">
        <v>651</v>
      </c>
      <c r="CH581" t="s">
        <v>786</v>
      </c>
    </row>
    <row r="582" spans="1:86" x14ac:dyDescent="0.3">
      <c r="A582">
        <v>749</v>
      </c>
      <c r="B582" t="s">
        <v>363</v>
      </c>
      <c r="C582" t="s">
        <v>337</v>
      </c>
      <c r="D582" t="s">
        <v>563</v>
      </c>
      <c r="E582" t="s">
        <v>564</v>
      </c>
      <c r="F582" t="s">
        <v>565</v>
      </c>
      <c r="G582" t="s">
        <v>784</v>
      </c>
      <c r="I582" t="s">
        <v>564</v>
      </c>
      <c r="N582">
        <v>1</v>
      </c>
      <c r="P582">
        <v>10</v>
      </c>
      <c r="S582">
        <v>14</v>
      </c>
      <c r="AG582">
        <v>6.5</v>
      </c>
      <c r="AJ582">
        <v>64</v>
      </c>
      <c r="AK582">
        <v>0.8</v>
      </c>
      <c r="AN582">
        <v>59.1</v>
      </c>
      <c r="BG582" t="s">
        <v>312</v>
      </c>
      <c r="BH582" t="s">
        <v>314</v>
      </c>
      <c r="BK582" s="10" t="s">
        <v>41</v>
      </c>
      <c r="BL582" s="17">
        <v>2.41</v>
      </c>
      <c r="BN582" s="17">
        <v>0.43</v>
      </c>
      <c r="CG582" t="s">
        <v>651</v>
      </c>
      <c r="CH582" t="s">
        <v>786</v>
      </c>
    </row>
    <row r="583" spans="1:86" x14ac:dyDescent="0.3">
      <c r="A583">
        <v>750</v>
      </c>
      <c r="B583" t="s">
        <v>363</v>
      </c>
      <c r="C583" t="s">
        <v>337</v>
      </c>
      <c r="D583" t="s">
        <v>563</v>
      </c>
      <c r="E583" t="s">
        <v>564</v>
      </c>
      <c r="F583" t="s">
        <v>565</v>
      </c>
      <c r="G583" t="s">
        <v>784</v>
      </c>
      <c r="I583" t="s">
        <v>564</v>
      </c>
      <c r="N583">
        <v>2</v>
      </c>
      <c r="P583">
        <v>10</v>
      </c>
      <c r="S583">
        <v>14</v>
      </c>
      <c r="AG583">
        <v>6.5</v>
      </c>
      <c r="AJ583">
        <v>64</v>
      </c>
      <c r="AK583">
        <v>0.8</v>
      </c>
      <c r="AN583">
        <v>59.1</v>
      </c>
      <c r="BG583" t="s">
        <v>312</v>
      </c>
      <c r="BH583" t="s">
        <v>314</v>
      </c>
      <c r="BK583" s="10" t="s">
        <v>41</v>
      </c>
      <c r="BL583" s="17">
        <v>4.66</v>
      </c>
      <c r="BN583" s="17">
        <v>0.28999999999999998</v>
      </c>
      <c r="CG583" t="s">
        <v>651</v>
      </c>
      <c r="CH583" t="s">
        <v>786</v>
      </c>
    </row>
    <row r="584" spans="1:86" x14ac:dyDescent="0.3">
      <c r="A584">
        <v>751</v>
      </c>
      <c r="B584" t="s">
        <v>363</v>
      </c>
      <c r="C584" t="s">
        <v>337</v>
      </c>
      <c r="D584" t="s">
        <v>563</v>
      </c>
      <c r="E584" t="s">
        <v>564</v>
      </c>
      <c r="F584" t="s">
        <v>565</v>
      </c>
      <c r="G584" t="s">
        <v>784</v>
      </c>
      <c r="I584" t="s">
        <v>564</v>
      </c>
      <c r="N584">
        <v>3</v>
      </c>
      <c r="P584">
        <v>10</v>
      </c>
      <c r="S584">
        <v>14</v>
      </c>
      <c r="AG584">
        <v>6.5</v>
      </c>
      <c r="AJ584">
        <v>64</v>
      </c>
      <c r="AK584">
        <v>0.8</v>
      </c>
      <c r="AN584">
        <v>59.1</v>
      </c>
      <c r="BG584" t="s">
        <v>312</v>
      </c>
      <c r="BH584" t="s">
        <v>314</v>
      </c>
      <c r="BK584" s="10" t="s">
        <v>41</v>
      </c>
      <c r="BL584" s="17">
        <v>5.97</v>
      </c>
      <c r="BN584" s="17">
        <v>0.34</v>
      </c>
      <c r="CG584" t="s">
        <v>651</v>
      </c>
      <c r="CH584" t="s">
        <v>786</v>
      </c>
    </row>
    <row r="585" spans="1:86" x14ac:dyDescent="0.3">
      <c r="A585">
        <v>752</v>
      </c>
      <c r="B585" t="s">
        <v>363</v>
      </c>
      <c r="C585" t="s">
        <v>337</v>
      </c>
      <c r="D585" t="s">
        <v>563</v>
      </c>
      <c r="E585" t="s">
        <v>564</v>
      </c>
      <c r="F585" t="s">
        <v>565</v>
      </c>
      <c r="G585" t="s">
        <v>784</v>
      </c>
      <c r="I585" t="s">
        <v>564</v>
      </c>
      <c r="N585">
        <v>1</v>
      </c>
      <c r="P585">
        <v>10</v>
      </c>
      <c r="S585">
        <v>6</v>
      </c>
      <c r="AG585">
        <v>6.7</v>
      </c>
      <c r="AJ585">
        <v>64</v>
      </c>
      <c r="AK585">
        <v>1.3</v>
      </c>
      <c r="AN585">
        <v>58.8</v>
      </c>
      <c r="BG585" t="s">
        <v>312</v>
      </c>
      <c r="BH585" t="s">
        <v>787</v>
      </c>
      <c r="BK585" s="10" t="s">
        <v>41</v>
      </c>
      <c r="BL585" s="17">
        <v>0.93</v>
      </c>
      <c r="BN585" s="17">
        <v>0.04</v>
      </c>
      <c r="CG585" t="s">
        <v>651</v>
      </c>
      <c r="CH585" t="s">
        <v>786</v>
      </c>
    </row>
    <row r="586" spans="1:86" x14ac:dyDescent="0.3">
      <c r="A586">
        <v>753</v>
      </c>
      <c r="B586" t="s">
        <v>363</v>
      </c>
      <c r="C586" t="s">
        <v>337</v>
      </c>
      <c r="D586" t="s">
        <v>563</v>
      </c>
      <c r="E586" t="s">
        <v>564</v>
      </c>
      <c r="F586" t="s">
        <v>565</v>
      </c>
      <c r="G586" t="s">
        <v>784</v>
      </c>
      <c r="I586" t="s">
        <v>564</v>
      </c>
      <c r="N586">
        <v>2</v>
      </c>
      <c r="P586">
        <v>10</v>
      </c>
      <c r="S586">
        <v>6</v>
      </c>
      <c r="AG586">
        <v>6.7</v>
      </c>
      <c r="AJ586">
        <v>64</v>
      </c>
      <c r="AK586">
        <v>1.3</v>
      </c>
      <c r="AN586">
        <v>58.8</v>
      </c>
      <c r="BG586" t="s">
        <v>312</v>
      </c>
      <c r="BH586" t="s">
        <v>787</v>
      </c>
      <c r="BK586" s="10" t="s">
        <v>41</v>
      </c>
      <c r="BL586" s="17">
        <v>1.8</v>
      </c>
      <c r="BN586" s="17">
        <v>0.21</v>
      </c>
      <c r="CG586" t="s">
        <v>651</v>
      </c>
      <c r="CH586" t="s">
        <v>786</v>
      </c>
    </row>
    <row r="587" spans="1:86" x14ac:dyDescent="0.3">
      <c r="A587">
        <v>754</v>
      </c>
      <c r="B587" t="s">
        <v>363</v>
      </c>
      <c r="C587" t="s">
        <v>337</v>
      </c>
      <c r="D587" t="s">
        <v>563</v>
      </c>
      <c r="E587" t="s">
        <v>564</v>
      </c>
      <c r="F587" t="s">
        <v>565</v>
      </c>
      <c r="G587" t="s">
        <v>784</v>
      </c>
      <c r="I587" t="s">
        <v>564</v>
      </c>
      <c r="N587">
        <v>3</v>
      </c>
      <c r="P587">
        <v>10</v>
      </c>
      <c r="S587">
        <v>6</v>
      </c>
      <c r="AG587">
        <v>6.7</v>
      </c>
      <c r="AJ587">
        <v>64</v>
      </c>
      <c r="AK587">
        <v>1.3</v>
      </c>
      <c r="AN587">
        <v>58.8</v>
      </c>
      <c r="BG587" t="s">
        <v>312</v>
      </c>
      <c r="BH587" t="s">
        <v>787</v>
      </c>
      <c r="BK587" s="10" t="s">
        <v>41</v>
      </c>
      <c r="BL587" s="17">
        <v>3.56</v>
      </c>
      <c r="BN587" s="17">
        <v>0.45</v>
      </c>
      <c r="CG587" t="s">
        <v>651</v>
      </c>
      <c r="CH587" t="s">
        <v>786</v>
      </c>
    </row>
    <row r="588" spans="1:86" x14ac:dyDescent="0.3">
      <c r="A588">
        <v>755</v>
      </c>
      <c r="B588" t="s">
        <v>363</v>
      </c>
      <c r="C588" t="s">
        <v>337</v>
      </c>
      <c r="D588" t="s">
        <v>563</v>
      </c>
      <c r="E588" t="s">
        <v>564</v>
      </c>
      <c r="F588" t="s">
        <v>565</v>
      </c>
      <c r="G588" t="s">
        <v>784</v>
      </c>
      <c r="I588" t="s">
        <v>564</v>
      </c>
      <c r="N588">
        <v>1</v>
      </c>
      <c r="P588">
        <v>10</v>
      </c>
      <c r="S588">
        <v>10</v>
      </c>
      <c r="AG588">
        <v>6.7</v>
      </c>
      <c r="AJ588">
        <v>64</v>
      </c>
      <c r="AK588">
        <v>1.3</v>
      </c>
      <c r="AN588">
        <v>58.8</v>
      </c>
      <c r="BG588" t="s">
        <v>312</v>
      </c>
      <c r="BH588" t="s">
        <v>787</v>
      </c>
      <c r="BK588" s="10" t="s">
        <v>41</v>
      </c>
      <c r="BL588" s="17">
        <v>2.56</v>
      </c>
      <c r="BN588" s="17">
        <v>0.09</v>
      </c>
      <c r="CG588" t="s">
        <v>651</v>
      </c>
      <c r="CH588" t="s">
        <v>786</v>
      </c>
    </row>
    <row r="589" spans="1:86" x14ac:dyDescent="0.3">
      <c r="A589">
        <v>756</v>
      </c>
      <c r="B589" t="s">
        <v>363</v>
      </c>
      <c r="C589" t="s">
        <v>337</v>
      </c>
      <c r="D589" t="s">
        <v>563</v>
      </c>
      <c r="E589" t="s">
        <v>564</v>
      </c>
      <c r="F589" t="s">
        <v>565</v>
      </c>
      <c r="G589" t="s">
        <v>784</v>
      </c>
      <c r="I589" t="s">
        <v>564</v>
      </c>
      <c r="N589">
        <v>2</v>
      </c>
      <c r="P589">
        <v>10</v>
      </c>
      <c r="S589">
        <v>10</v>
      </c>
      <c r="AG589">
        <v>6.7</v>
      </c>
      <c r="AJ589">
        <v>64</v>
      </c>
      <c r="AK589">
        <v>1.3</v>
      </c>
      <c r="AN589">
        <v>58.8</v>
      </c>
      <c r="BG589" t="s">
        <v>312</v>
      </c>
      <c r="BH589" t="s">
        <v>787</v>
      </c>
      <c r="BK589" s="10" t="s">
        <v>41</v>
      </c>
      <c r="BL589" s="17">
        <v>4.24</v>
      </c>
      <c r="BN589" s="17">
        <v>0.55000000000000004</v>
      </c>
      <c r="CG589" t="s">
        <v>651</v>
      </c>
      <c r="CH589" t="s">
        <v>786</v>
      </c>
    </row>
    <row r="590" spans="1:86" x14ac:dyDescent="0.3">
      <c r="A590">
        <v>757</v>
      </c>
      <c r="B590" t="s">
        <v>363</v>
      </c>
      <c r="C590" t="s">
        <v>337</v>
      </c>
      <c r="D590" t="s">
        <v>563</v>
      </c>
      <c r="E590" t="s">
        <v>564</v>
      </c>
      <c r="F590" t="s">
        <v>565</v>
      </c>
      <c r="G590" t="s">
        <v>784</v>
      </c>
      <c r="I590" t="s">
        <v>564</v>
      </c>
      <c r="N590">
        <v>3</v>
      </c>
      <c r="P590">
        <v>10</v>
      </c>
      <c r="S590">
        <v>10</v>
      </c>
      <c r="AG590">
        <v>6.7</v>
      </c>
      <c r="AJ590">
        <v>64</v>
      </c>
      <c r="AK590">
        <v>1.3</v>
      </c>
      <c r="AN590">
        <v>58.8</v>
      </c>
      <c r="BG590" t="s">
        <v>312</v>
      </c>
      <c r="BH590" t="s">
        <v>787</v>
      </c>
      <c r="BK590" s="10" t="s">
        <v>41</v>
      </c>
      <c r="BL590" s="17">
        <v>6.16</v>
      </c>
      <c r="BN590" s="17">
        <v>0.56000000000000005</v>
      </c>
      <c r="CG590" t="s">
        <v>651</v>
      </c>
      <c r="CH590" t="s">
        <v>786</v>
      </c>
    </row>
    <row r="591" spans="1:86" x14ac:dyDescent="0.3">
      <c r="A591">
        <v>758</v>
      </c>
      <c r="B591" t="s">
        <v>363</v>
      </c>
      <c r="C591" t="s">
        <v>337</v>
      </c>
      <c r="D591" t="s">
        <v>563</v>
      </c>
      <c r="E591" t="s">
        <v>564</v>
      </c>
      <c r="F591" t="s">
        <v>565</v>
      </c>
      <c r="G591" t="s">
        <v>784</v>
      </c>
      <c r="I591" t="s">
        <v>564</v>
      </c>
      <c r="N591">
        <v>3</v>
      </c>
      <c r="P591">
        <v>10</v>
      </c>
      <c r="S591">
        <v>22</v>
      </c>
      <c r="AG591">
        <v>6.7</v>
      </c>
      <c r="AJ591">
        <v>64</v>
      </c>
      <c r="AK591">
        <v>0.1</v>
      </c>
      <c r="AN591">
        <v>69.3</v>
      </c>
      <c r="BG591" t="s">
        <v>311</v>
      </c>
      <c r="BH591" t="s">
        <v>315</v>
      </c>
      <c r="BK591" s="10" t="s">
        <v>41</v>
      </c>
      <c r="BL591" s="17">
        <v>1.21</v>
      </c>
      <c r="BN591" s="17">
        <v>0.09</v>
      </c>
      <c r="CG591" t="s">
        <v>651</v>
      </c>
      <c r="CH591" t="s">
        <v>786</v>
      </c>
    </row>
    <row r="592" spans="1:86" x14ac:dyDescent="0.3">
      <c r="A592">
        <v>759</v>
      </c>
      <c r="B592" t="s">
        <v>363</v>
      </c>
      <c r="C592" t="s">
        <v>337</v>
      </c>
      <c r="D592" t="s">
        <v>563</v>
      </c>
      <c r="E592" t="s">
        <v>564</v>
      </c>
      <c r="F592" t="s">
        <v>565</v>
      </c>
      <c r="G592" t="s">
        <v>784</v>
      </c>
      <c r="I592" t="s">
        <v>564</v>
      </c>
      <c r="N592">
        <v>7</v>
      </c>
      <c r="P592">
        <v>10</v>
      </c>
      <c r="S592">
        <v>22</v>
      </c>
      <c r="AG592">
        <v>6.7</v>
      </c>
      <c r="AJ592">
        <v>64</v>
      </c>
      <c r="AK592">
        <v>0.1</v>
      </c>
      <c r="AN592">
        <v>69.3</v>
      </c>
      <c r="BG592" t="s">
        <v>311</v>
      </c>
      <c r="BH592" t="s">
        <v>315</v>
      </c>
      <c r="BK592" s="10" t="s">
        <v>41</v>
      </c>
      <c r="BL592" s="17">
        <v>1.72</v>
      </c>
      <c r="BN592" s="17">
        <v>0.06</v>
      </c>
      <c r="CG592" t="s">
        <v>651</v>
      </c>
      <c r="CH592" t="s">
        <v>786</v>
      </c>
    </row>
    <row r="593" spans="1:86" x14ac:dyDescent="0.3">
      <c r="A593">
        <v>760</v>
      </c>
      <c r="B593" t="s">
        <v>363</v>
      </c>
      <c r="C593" t="s">
        <v>337</v>
      </c>
      <c r="D593" t="s">
        <v>563</v>
      </c>
      <c r="E593" t="s">
        <v>564</v>
      </c>
      <c r="F593" t="s">
        <v>565</v>
      </c>
      <c r="G593" t="s">
        <v>784</v>
      </c>
      <c r="I593" t="s">
        <v>564</v>
      </c>
      <c r="N593">
        <v>15</v>
      </c>
      <c r="P593">
        <v>10</v>
      </c>
      <c r="S593">
        <v>22</v>
      </c>
      <c r="AG593">
        <v>6.7</v>
      </c>
      <c r="AJ593">
        <v>64</v>
      </c>
      <c r="AK593">
        <v>0.1</v>
      </c>
      <c r="AN593">
        <v>69.3</v>
      </c>
      <c r="BG593" t="s">
        <v>311</v>
      </c>
      <c r="BH593" t="s">
        <v>315</v>
      </c>
      <c r="BK593" s="10" t="s">
        <v>41</v>
      </c>
      <c r="BL593" s="17">
        <v>1.96</v>
      </c>
      <c r="BN593" s="17">
        <v>0.2</v>
      </c>
      <c r="CG593" t="s">
        <v>651</v>
      </c>
      <c r="CH593" t="s">
        <v>786</v>
      </c>
    </row>
    <row r="594" spans="1:86" x14ac:dyDescent="0.3">
      <c r="A594">
        <v>761</v>
      </c>
      <c r="B594" t="s">
        <v>363</v>
      </c>
      <c r="C594" t="s">
        <v>337</v>
      </c>
      <c r="D594" t="s">
        <v>563</v>
      </c>
      <c r="E594" t="s">
        <v>564</v>
      </c>
      <c r="F594" t="s">
        <v>565</v>
      </c>
      <c r="G594" t="s">
        <v>784</v>
      </c>
      <c r="I594" t="s">
        <v>564</v>
      </c>
      <c r="N594">
        <v>3</v>
      </c>
      <c r="P594">
        <v>10</v>
      </c>
      <c r="S594">
        <v>38</v>
      </c>
      <c r="AG594">
        <v>6.7</v>
      </c>
      <c r="AJ594">
        <v>64</v>
      </c>
      <c r="AK594">
        <v>0.1</v>
      </c>
      <c r="AN594">
        <v>69.3</v>
      </c>
      <c r="BG594" t="s">
        <v>311</v>
      </c>
      <c r="BH594" t="s">
        <v>315</v>
      </c>
      <c r="BK594" s="10" t="s">
        <v>41</v>
      </c>
      <c r="BL594" s="17">
        <v>1.81</v>
      </c>
      <c r="BN594" s="17">
        <v>0.14000000000000001</v>
      </c>
      <c r="CG594" t="s">
        <v>651</v>
      </c>
      <c r="CH594" t="s">
        <v>786</v>
      </c>
    </row>
    <row r="595" spans="1:86" x14ac:dyDescent="0.3">
      <c r="A595">
        <v>762</v>
      </c>
      <c r="B595" t="s">
        <v>363</v>
      </c>
      <c r="C595" t="s">
        <v>337</v>
      </c>
      <c r="D595" t="s">
        <v>563</v>
      </c>
      <c r="E595" t="s">
        <v>564</v>
      </c>
      <c r="F595" t="s">
        <v>565</v>
      </c>
      <c r="G595" t="s">
        <v>784</v>
      </c>
      <c r="I595" t="s">
        <v>564</v>
      </c>
      <c r="N595">
        <v>7</v>
      </c>
      <c r="P595">
        <v>10</v>
      </c>
      <c r="S595">
        <v>38</v>
      </c>
      <c r="AG595">
        <v>6.7</v>
      </c>
      <c r="AJ595">
        <v>64</v>
      </c>
      <c r="AK595">
        <v>0.1</v>
      </c>
      <c r="AN595">
        <v>69.3</v>
      </c>
      <c r="BG595" t="s">
        <v>311</v>
      </c>
      <c r="BH595" t="s">
        <v>315</v>
      </c>
      <c r="BK595" s="10" t="s">
        <v>41</v>
      </c>
      <c r="BL595" s="17">
        <v>2.37</v>
      </c>
      <c r="BN595" s="17">
        <v>0.18</v>
      </c>
      <c r="CG595" t="s">
        <v>651</v>
      </c>
      <c r="CH595" t="s">
        <v>786</v>
      </c>
    </row>
    <row r="596" spans="1:86" x14ac:dyDescent="0.3">
      <c r="A596">
        <v>763</v>
      </c>
      <c r="B596" t="s">
        <v>363</v>
      </c>
      <c r="C596" t="s">
        <v>337</v>
      </c>
      <c r="D596" t="s">
        <v>563</v>
      </c>
      <c r="E596" t="s">
        <v>564</v>
      </c>
      <c r="F596" t="s">
        <v>565</v>
      </c>
      <c r="G596" t="s">
        <v>784</v>
      </c>
      <c r="I596" t="s">
        <v>564</v>
      </c>
      <c r="N596">
        <v>15</v>
      </c>
      <c r="P596">
        <v>10</v>
      </c>
      <c r="S596">
        <v>38</v>
      </c>
      <c r="AG596">
        <v>6.7</v>
      </c>
      <c r="AJ596">
        <v>64</v>
      </c>
      <c r="AK596">
        <v>0.1</v>
      </c>
      <c r="AN596">
        <v>69.3</v>
      </c>
      <c r="BG596" t="s">
        <v>311</v>
      </c>
      <c r="BH596" t="s">
        <v>315</v>
      </c>
      <c r="BK596" s="10" t="s">
        <v>41</v>
      </c>
      <c r="BL596" s="17">
        <v>2.58</v>
      </c>
      <c r="BN596" s="17">
        <v>0.23</v>
      </c>
      <c r="CG596" t="s">
        <v>651</v>
      </c>
      <c r="CH596" t="s">
        <v>786</v>
      </c>
    </row>
    <row r="597" spans="1:86" x14ac:dyDescent="0.3">
      <c r="A597">
        <v>764</v>
      </c>
      <c r="B597" t="s">
        <v>363</v>
      </c>
      <c r="C597" t="s">
        <v>333</v>
      </c>
      <c r="D597" t="s">
        <v>563</v>
      </c>
      <c r="E597" t="s">
        <v>564</v>
      </c>
      <c r="F597" t="s">
        <v>565</v>
      </c>
      <c r="G597" t="s">
        <v>784</v>
      </c>
      <c r="I597" t="s">
        <v>564</v>
      </c>
      <c r="N597">
        <v>3</v>
      </c>
      <c r="P597">
        <v>10</v>
      </c>
      <c r="S597">
        <v>8</v>
      </c>
      <c r="AG597">
        <v>6.6</v>
      </c>
      <c r="AJ597">
        <v>64</v>
      </c>
      <c r="AK597">
        <v>2.5</v>
      </c>
      <c r="AN597">
        <v>60.1</v>
      </c>
      <c r="BG597" t="s">
        <v>312</v>
      </c>
      <c r="BH597" t="s">
        <v>785</v>
      </c>
      <c r="BK597" s="10" t="s">
        <v>41</v>
      </c>
      <c r="BL597" s="17">
        <v>0.43</v>
      </c>
      <c r="BN597" s="17">
        <v>0.1</v>
      </c>
      <c r="CG597" t="s">
        <v>651</v>
      </c>
      <c r="CH597" t="s">
        <v>786</v>
      </c>
    </row>
    <row r="598" spans="1:86" x14ac:dyDescent="0.3">
      <c r="A598">
        <v>765</v>
      </c>
      <c r="B598" t="s">
        <v>363</v>
      </c>
      <c r="C598" t="s">
        <v>333</v>
      </c>
      <c r="D598" t="s">
        <v>563</v>
      </c>
      <c r="E598" t="s">
        <v>564</v>
      </c>
      <c r="F598" t="s">
        <v>565</v>
      </c>
      <c r="G598" t="s">
        <v>784</v>
      </c>
      <c r="I598" t="s">
        <v>564</v>
      </c>
      <c r="N598">
        <v>30</v>
      </c>
      <c r="P598">
        <v>10</v>
      </c>
      <c r="S598">
        <v>8</v>
      </c>
      <c r="AG598">
        <v>6.6</v>
      </c>
      <c r="AJ598">
        <v>64</v>
      </c>
      <c r="AK598">
        <v>2.5</v>
      </c>
      <c r="AN598">
        <v>60.1</v>
      </c>
      <c r="BG598" t="s">
        <v>312</v>
      </c>
      <c r="BH598" t="s">
        <v>785</v>
      </c>
      <c r="BK598" s="10" t="s">
        <v>41</v>
      </c>
      <c r="BL598" s="17">
        <v>0.39</v>
      </c>
      <c r="BN598" s="17">
        <v>0.05</v>
      </c>
      <c r="CG598" t="s">
        <v>651</v>
      </c>
      <c r="CH598" t="s">
        <v>786</v>
      </c>
    </row>
    <row r="599" spans="1:86" x14ac:dyDescent="0.3">
      <c r="A599">
        <v>766</v>
      </c>
      <c r="B599" t="s">
        <v>363</v>
      </c>
      <c r="C599" t="s">
        <v>333</v>
      </c>
      <c r="D599" t="s">
        <v>563</v>
      </c>
      <c r="E599" t="s">
        <v>564</v>
      </c>
      <c r="F599" t="s">
        <v>565</v>
      </c>
      <c r="G599" t="s">
        <v>784</v>
      </c>
      <c r="I599" t="s">
        <v>564</v>
      </c>
      <c r="N599">
        <v>150</v>
      </c>
      <c r="P599">
        <v>10</v>
      </c>
      <c r="S599">
        <v>8</v>
      </c>
      <c r="AG599">
        <v>6.6</v>
      </c>
      <c r="AJ599">
        <v>64</v>
      </c>
      <c r="AK599">
        <v>2.5</v>
      </c>
      <c r="AN599">
        <v>60.1</v>
      </c>
      <c r="BG599" t="s">
        <v>312</v>
      </c>
      <c r="BH599" t="s">
        <v>785</v>
      </c>
      <c r="BK599" s="10" t="s">
        <v>41</v>
      </c>
      <c r="BL599" s="17">
        <v>0.35</v>
      </c>
      <c r="BN599" s="17">
        <v>0.05</v>
      </c>
      <c r="CG599" t="s">
        <v>651</v>
      </c>
      <c r="CH599" t="s">
        <v>786</v>
      </c>
    </row>
    <row r="600" spans="1:86" x14ac:dyDescent="0.3">
      <c r="A600">
        <v>767</v>
      </c>
      <c r="B600" t="s">
        <v>363</v>
      </c>
      <c r="C600" t="s">
        <v>333</v>
      </c>
      <c r="D600" t="s">
        <v>563</v>
      </c>
      <c r="E600" t="s">
        <v>564</v>
      </c>
      <c r="F600" t="s">
        <v>565</v>
      </c>
      <c r="G600" t="s">
        <v>784</v>
      </c>
      <c r="I600" t="s">
        <v>564</v>
      </c>
      <c r="N600">
        <v>3</v>
      </c>
      <c r="P600">
        <v>10</v>
      </c>
      <c r="S600">
        <v>10</v>
      </c>
      <c r="AG600">
        <v>6.6</v>
      </c>
      <c r="AJ600">
        <v>64</v>
      </c>
      <c r="AK600">
        <v>2.5</v>
      </c>
      <c r="AN600">
        <v>60.1</v>
      </c>
      <c r="BG600" t="s">
        <v>312</v>
      </c>
      <c r="BH600" t="s">
        <v>785</v>
      </c>
      <c r="BK600" s="10" t="s">
        <v>41</v>
      </c>
      <c r="BL600" s="17">
        <v>1</v>
      </c>
      <c r="BN600" s="17">
        <v>0.22</v>
      </c>
      <c r="CG600" t="s">
        <v>651</v>
      </c>
      <c r="CH600" t="s">
        <v>786</v>
      </c>
    </row>
    <row r="601" spans="1:86" x14ac:dyDescent="0.3">
      <c r="A601">
        <v>768</v>
      </c>
      <c r="B601" t="s">
        <v>363</v>
      </c>
      <c r="C601" t="s">
        <v>333</v>
      </c>
      <c r="D601" t="s">
        <v>563</v>
      </c>
      <c r="E601" t="s">
        <v>564</v>
      </c>
      <c r="F601" t="s">
        <v>565</v>
      </c>
      <c r="G601" t="s">
        <v>784</v>
      </c>
      <c r="I601" t="s">
        <v>564</v>
      </c>
      <c r="N601">
        <v>30</v>
      </c>
      <c r="P601">
        <v>10</v>
      </c>
      <c r="S601">
        <v>10</v>
      </c>
      <c r="AG601">
        <v>6.6</v>
      </c>
      <c r="AJ601">
        <v>64</v>
      </c>
      <c r="AK601">
        <v>2.5</v>
      </c>
      <c r="AN601">
        <v>60.1</v>
      </c>
      <c r="BG601" t="s">
        <v>312</v>
      </c>
      <c r="BH601" t="s">
        <v>785</v>
      </c>
      <c r="BK601" s="10" t="s">
        <v>41</v>
      </c>
      <c r="BL601" s="17">
        <v>1.1200000000000001</v>
      </c>
      <c r="BN601" s="17">
        <v>0.06</v>
      </c>
      <c r="CG601" t="s">
        <v>651</v>
      </c>
      <c r="CH601" t="s">
        <v>786</v>
      </c>
    </row>
    <row r="602" spans="1:86" x14ac:dyDescent="0.3">
      <c r="A602">
        <v>769</v>
      </c>
      <c r="B602" t="s">
        <v>363</v>
      </c>
      <c r="C602" t="s">
        <v>333</v>
      </c>
      <c r="D602" t="s">
        <v>563</v>
      </c>
      <c r="E602" t="s">
        <v>564</v>
      </c>
      <c r="F602" t="s">
        <v>565</v>
      </c>
      <c r="G602" t="s">
        <v>784</v>
      </c>
      <c r="I602" t="s">
        <v>564</v>
      </c>
      <c r="N602">
        <v>150</v>
      </c>
      <c r="P602">
        <v>10</v>
      </c>
      <c r="S602">
        <v>10</v>
      </c>
      <c r="AG602">
        <v>6.6</v>
      </c>
      <c r="AJ602">
        <v>64</v>
      </c>
      <c r="AK602">
        <v>2.5</v>
      </c>
      <c r="AN602">
        <v>60.1</v>
      </c>
      <c r="BG602" t="s">
        <v>312</v>
      </c>
      <c r="BH602" t="s">
        <v>785</v>
      </c>
      <c r="BK602" s="10" t="s">
        <v>41</v>
      </c>
      <c r="BL602" s="17">
        <v>1.18</v>
      </c>
      <c r="BN602" s="17">
        <v>0.15</v>
      </c>
      <c r="CG602" t="s">
        <v>651</v>
      </c>
      <c r="CH602" t="s">
        <v>786</v>
      </c>
    </row>
    <row r="603" spans="1:86" x14ac:dyDescent="0.3">
      <c r="A603">
        <v>770</v>
      </c>
      <c r="B603" t="s">
        <v>363</v>
      </c>
      <c r="C603" t="s">
        <v>333</v>
      </c>
      <c r="D603" t="s">
        <v>563</v>
      </c>
      <c r="E603" t="s">
        <v>564</v>
      </c>
      <c r="F603" t="s">
        <v>565</v>
      </c>
      <c r="G603" t="s">
        <v>784</v>
      </c>
      <c r="I603" t="s">
        <v>564</v>
      </c>
      <c r="N603">
        <v>3</v>
      </c>
      <c r="P603">
        <v>10</v>
      </c>
      <c r="S603">
        <v>22</v>
      </c>
      <c r="AG603">
        <v>6.7</v>
      </c>
      <c r="AJ603">
        <v>64</v>
      </c>
      <c r="AK603">
        <v>0.1</v>
      </c>
      <c r="AN603">
        <v>69.3</v>
      </c>
      <c r="BG603" t="s">
        <v>311</v>
      </c>
      <c r="BH603" t="s">
        <v>315</v>
      </c>
      <c r="BK603" s="10" t="s">
        <v>41</v>
      </c>
      <c r="BL603" s="17">
        <v>0.91</v>
      </c>
      <c r="BN603" s="17">
        <v>0.12</v>
      </c>
      <c r="CG603" t="s">
        <v>651</v>
      </c>
      <c r="CH603" t="s">
        <v>786</v>
      </c>
    </row>
    <row r="604" spans="1:86" x14ac:dyDescent="0.3">
      <c r="A604">
        <v>771</v>
      </c>
      <c r="B604" t="s">
        <v>363</v>
      </c>
      <c r="C604" t="s">
        <v>333</v>
      </c>
      <c r="D604" t="s">
        <v>563</v>
      </c>
      <c r="E604" t="s">
        <v>564</v>
      </c>
      <c r="F604" t="s">
        <v>565</v>
      </c>
      <c r="G604" t="s">
        <v>784</v>
      </c>
      <c r="I604" t="s">
        <v>564</v>
      </c>
      <c r="N604">
        <v>30</v>
      </c>
      <c r="P604">
        <v>10</v>
      </c>
      <c r="S604">
        <v>22</v>
      </c>
      <c r="AG604">
        <v>6.7</v>
      </c>
      <c r="AJ604">
        <v>64</v>
      </c>
      <c r="AK604">
        <v>0.1</v>
      </c>
      <c r="AN604">
        <v>69.3</v>
      </c>
      <c r="BG604" t="s">
        <v>311</v>
      </c>
      <c r="BH604" t="s">
        <v>315</v>
      </c>
      <c r="BK604" s="10" t="s">
        <v>41</v>
      </c>
      <c r="BL604" s="17">
        <v>0.87</v>
      </c>
      <c r="BN604" s="17">
        <v>7.0000000000000007E-2</v>
      </c>
      <c r="CG604" t="s">
        <v>651</v>
      </c>
      <c r="CH604" t="s">
        <v>786</v>
      </c>
    </row>
    <row r="605" spans="1:86" x14ac:dyDescent="0.3">
      <c r="A605">
        <v>772</v>
      </c>
      <c r="B605" t="s">
        <v>363</v>
      </c>
      <c r="C605" t="s">
        <v>333</v>
      </c>
      <c r="D605" t="s">
        <v>563</v>
      </c>
      <c r="E605" t="s">
        <v>564</v>
      </c>
      <c r="F605" t="s">
        <v>565</v>
      </c>
      <c r="G605" t="s">
        <v>784</v>
      </c>
      <c r="I605" t="s">
        <v>564</v>
      </c>
      <c r="N605">
        <v>150</v>
      </c>
      <c r="P605">
        <v>10</v>
      </c>
      <c r="S605">
        <v>22</v>
      </c>
      <c r="AG605">
        <v>6.7</v>
      </c>
      <c r="AJ605">
        <v>64</v>
      </c>
      <c r="AK605">
        <v>0.1</v>
      </c>
      <c r="AN605">
        <v>69.3</v>
      </c>
      <c r="BG605" t="s">
        <v>311</v>
      </c>
      <c r="BH605" t="s">
        <v>315</v>
      </c>
      <c r="BK605" s="10" t="s">
        <v>41</v>
      </c>
      <c r="BL605" s="17">
        <v>1.1599999999999999</v>
      </c>
      <c r="BN605" s="17">
        <v>0.08</v>
      </c>
      <c r="CG605" t="s">
        <v>651</v>
      </c>
      <c r="CH605" t="s">
        <v>786</v>
      </c>
    </row>
    <row r="606" spans="1:86" x14ac:dyDescent="0.3">
      <c r="A606">
        <v>773</v>
      </c>
      <c r="B606" t="s">
        <v>363</v>
      </c>
      <c r="C606" t="s">
        <v>333</v>
      </c>
      <c r="D606" t="s">
        <v>563</v>
      </c>
      <c r="E606" t="s">
        <v>564</v>
      </c>
      <c r="F606" t="s">
        <v>565</v>
      </c>
      <c r="G606" t="s">
        <v>784</v>
      </c>
      <c r="I606" t="s">
        <v>564</v>
      </c>
      <c r="N606">
        <v>3</v>
      </c>
      <c r="P606">
        <v>10</v>
      </c>
      <c r="S606">
        <v>38</v>
      </c>
      <c r="AG606">
        <v>6.7</v>
      </c>
      <c r="AJ606">
        <v>64</v>
      </c>
      <c r="AK606">
        <v>0.1</v>
      </c>
      <c r="AN606">
        <v>69.3</v>
      </c>
      <c r="BG606" t="s">
        <v>311</v>
      </c>
      <c r="BH606" t="s">
        <v>315</v>
      </c>
      <c r="BK606" s="10" t="s">
        <v>41</v>
      </c>
      <c r="BL606" s="17">
        <v>1.43</v>
      </c>
      <c r="BN606" s="17">
        <v>0.19</v>
      </c>
      <c r="CG606" t="s">
        <v>651</v>
      </c>
      <c r="CH606" t="s">
        <v>786</v>
      </c>
    </row>
    <row r="607" spans="1:86" x14ac:dyDescent="0.3">
      <c r="A607">
        <v>774</v>
      </c>
      <c r="B607" t="s">
        <v>363</v>
      </c>
      <c r="C607" t="s">
        <v>333</v>
      </c>
      <c r="D607" t="s">
        <v>563</v>
      </c>
      <c r="E607" t="s">
        <v>564</v>
      </c>
      <c r="F607" t="s">
        <v>565</v>
      </c>
      <c r="G607" t="s">
        <v>784</v>
      </c>
      <c r="I607" t="s">
        <v>564</v>
      </c>
      <c r="N607">
        <v>30</v>
      </c>
      <c r="P607">
        <v>10</v>
      </c>
      <c r="S607">
        <v>38</v>
      </c>
      <c r="AG607">
        <v>6.7</v>
      </c>
      <c r="AJ607">
        <v>64</v>
      </c>
      <c r="AK607">
        <v>0.1</v>
      </c>
      <c r="AN607">
        <v>69.3</v>
      </c>
      <c r="BG607" t="s">
        <v>311</v>
      </c>
      <c r="BH607" t="s">
        <v>315</v>
      </c>
      <c r="BK607" s="10" t="s">
        <v>41</v>
      </c>
      <c r="BL607" s="17">
        <v>1.51</v>
      </c>
      <c r="BN607" s="17">
        <v>7.0000000000000007E-2</v>
      </c>
      <c r="CG607" t="s">
        <v>651</v>
      </c>
      <c r="CH607" t="s">
        <v>786</v>
      </c>
    </row>
    <row r="608" spans="1:86" x14ac:dyDescent="0.3">
      <c r="A608">
        <v>775</v>
      </c>
      <c r="B608" t="s">
        <v>363</v>
      </c>
      <c r="C608" t="s">
        <v>333</v>
      </c>
      <c r="D608" t="s">
        <v>563</v>
      </c>
      <c r="E608" t="s">
        <v>564</v>
      </c>
      <c r="F608" t="s">
        <v>565</v>
      </c>
      <c r="G608" t="s">
        <v>784</v>
      </c>
      <c r="I608" t="s">
        <v>564</v>
      </c>
      <c r="N608">
        <v>150</v>
      </c>
      <c r="P608">
        <v>10</v>
      </c>
      <c r="S608">
        <v>38</v>
      </c>
      <c r="AG608">
        <v>6.7</v>
      </c>
      <c r="AJ608">
        <v>64</v>
      </c>
      <c r="AK608">
        <v>0.1</v>
      </c>
      <c r="AN608">
        <v>69.3</v>
      </c>
      <c r="BG608" t="s">
        <v>311</v>
      </c>
      <c r="BH608" t="s">
        <v>315</v>
      </c>
      <c r="BK608" s="10" t="s">
        <v>41</v>
      </c>
      <c r="BL608" s="17">
        <v>1.74</v>
      </c>
      <c r="BN608" s="17">
        <v>0.09</v>
      </c>
      <c r="CG608" t="s">
        <v>651</v>
      </c>
      <c r="CH608" t="s">
        <v>786</v>
      </c>
    </row>
    <row r="609" spans="1:86" x14ac:dyDescent="0.3">
      <c r="A609">
        <v>776</v>
      </c>
      <c r="B609" t="s">
        <v>363</v>
      </c>
      <c r="C609" t="s">
        <v>6</v>
      </c>
      <c r="E609" t="s">
        <v>564</v>
      </c>
      <c r="F609" t="s">
        <v>565</v>
      </c>
      <c r="G609" t="s">
        <v>784</v>
      </c>
      <c r="I609" t="s">
        <v>564</v>
      </c>
      <c r="N609">
        <v>12</v>
      </c>
      <c r="P609">
        <v>10</v>
      </c>
      <c r="Q609">
        <f>LRV[[#This Row],[ch_dose]]*LRV[[#This Row],[ch_time]]</f>
        <v>120</v>
      </c>
      <c r="R609" s="4" t="s">
        <v>1201</v>
      </c>
      <c r="AG609">
        <v>6.6</v>
      </c>
      <c r="AJ609">
        <v>64</v>
      </c>
      <c r="AK609">
        <v>2.5</v>
      </c>
      <c r="AN609">
        <v>60.1</v>
      </c>
      <c r="BG609" t="s">
        <v>312</v>
      </c>
      <c r="BH609" t="s">
        <v>785</v>
      </c>
      <c r="BK609" s="10" t="s">
        <v>41</v>
      </c>
      <c r="BL609" s="17">
        <v>2.69</v>
      </c>
      <c r="BN609" s="17">
        <v>0.52</v>
      </c>
      <c r="CG609" t="s">
        <v>651</v>
      </c>
      <c r="CH609" t="s">
        <v>786</v>
      </c>
    </row>
    <row r="610" spans="1:86" x14ac:dyDescent="0.3">
      <c r="A610">
        <v>777</v>
      </c>
      <c r="B610" t="s">
        <v>363</v>
      </c>
      <c r="C610" t="s">
        <v>6</v>
      </c>
      <c r="E610" t="s">
        <v>564</v>
      </c>
      <c r="F610" t="s">
        <v>565</v>
      </c>
      <c r="G610" t="s">
        <v>784</v>
      </c>
      <c r="I610" t="s">
        <v>564</v>
      </c>
      <c r="N610">
        <v>18</v>
      </c>
      <c r="P610">
        <v>10</v>
      </c>
      <c r="Q610">
        <f>LRV[[#This Row],[ch_dose]]*LRV[[#This Row],[ch_time]]</f>
        <v>180</v>
      </c>
      <c r="R610" s="4" t="s">
        <v>1201</v>
      </c>
      <c r="AG610">
        <v>6.5</v>
      </c>
      <c r="AJ610">
        <v>64</v>
      </c>
      <c r="AK610">
        <v>0.8</v>
      </c>
      <c r="AN610">
        <v>59.1</v>
      </c>
      <c r="BG610" t="s">
        <v>312</v>
      </c>
      <c r="BH610" t="s">
        <v>314</v>
      </c>
      <c r="BK610" s="10" t="s">
        <v>41</v>
      </c>
      <c r="BL610" s="17">
        <v>0.28000000000000003</v>
      </c>
      <c r="BN610" s="17">
        <v>0.11</v>
      </c>
      <c r="CG610" t="s">
        <v>651</v>
      </c>
      <c r="CH610" t="s">
        <v>786</v>
      </c>
    </row>
    <row r="611" spans="1:86" x14ac:dyDescent="0.3">
      <c r="A611">
        <v>778</v>
      </c>
      <c r="B611" t="s">
        <v>363</v>
      </c>
      <c r="C611" t="s">
        <v>6</v>
      </c>
      <c r="E611" t="s">
        <v>564</v>
      </c>
      <c r="F611" t="s">
        <v>565</v>
      </c>
      <c r="G611" t="s">
        <v>784</v>
      </c>
      <c r="I611" t="s">
        <v>564</v>
      </c>
      <c r="N611">
        <v>18</v>
      </c>
      <c r="P611">
        <v>10</v>
      </c>
      <c r="Q611">
        <f>LRV[[#This Row],[ch_dose]]*LRV[[#This Row],[ch_time]]</f>
        <v>180</v>
      </c>
      <c r="R611" s="4" t="s">
        <v>1201</v>
      </c>
      <c r="AG611">
        <v>6.7</v>
      </c>
      <c r="AJ611">
        <v>64</v>
      </c>
      <c r="AK611">
        <v>1.3</v>
      </c>
      <c r="AN611">
        <v>58.8</v>
      </c>
      <c r="BG611" t="s">
        <v>312</v>
      </c>
      <c r="BH611" t="s">
        <v>787</v>
      </c>
      <c r="BK611" s="10" t="s">
        <v>41</v>
      </c>
      <c r="BL611" s="17">
        <v>0.44</v>
      </c>
      <c r="BN611" s="17">
        <v>0.08</v>
      </c>
      <c r="CG611" t="s">
        <v>651</v>
      </c>
      <c r="CH611" t="s">
        <v>786</v>
      </c>
    </row>
    <row r="612" spans="1:86" x14ac:dyDescent="0.3">
      <c r="A612">
        <v>779</v>
      </c>
      <c r="B612" t="s">
        <v>363</v>
      </c>
      <c r="C612" t="s">
        <v>6</v>
      </c>
      <c r="E612" t="s">
        <v>564</v>
      </c>
      <c r="F612" t="s">
        <v>565</v>
      </c>
      <c r="G612" t="s">
        <v>784</v>
      </c>
      <c r="I612" t="s">
        <v>564</v>
      </c>
      <c r="N612">
        <v>18</v>
      </c>
      <c r="P612">
        <v>10</v>
      </c>
      <c r="AG612">
        <v>6.7</v>
      </c>
      <c r="AJ612">
        <v>64</v>
      </c>
      <c r="AK612">
        <v>0.1</v>
      </c>
      <c r="AN612">
        <v>69.3</v>
      </c>
      <c r="BG612" t="s">
        <v>311</v>
      </c>
      <c r="BH612" t="s">
        <v>315</v>
      </c>
      <c r="BK612" s="10" t="s">
        <v>41</v>
      </c>
      <c r="BL612" s="17">
        <v>1.03</v>
      </c>
      <c r="BN612" s="17">
        <v>0.05</v>
      </c>
      <c r="CG612" t="s">
        <v>651</v>
      </c>
      <c r="CH612" t="s">
        <v>786</v>
      </c>
    </row>
    <row r="613" spans="1:86" x14ac:dyDescent="0.3">
      <c r="A613">
        <v>780</v>
      </c>
      <c r="B613" t="s">
        <v>363</v>
      </c>
      <c r="C613" t="s">
        <v>329</v>
      </c>
      <c r="D613" t="s">
        <v>563</v>
      </c>
      <c r="E613" t="s">
        <v>564</v>
      </c>
      <c r="F613" t="s">
        <v>565</v>
      </c>
      <c r="G613" t="s">
        <v>784</v>
      </c>
      <c r="I613" t="s">
        <v>564</v>
      </c>
      <c r="S613">
        <v>8</v>
      </c>
      <c r="AG613">
        <v>6.6</v>
      </c>
      <c r="AJ613">
        <v>64</v>
      </c>
      <c r="AK613">
        <v>2.5</v>
      </c>
      <c r="AN613">
        <v>60.1</v>
      </c>
      <c r="BG613" t="s">
        <v>312</v>
      </c>
      <c r="BH613" t="s">
        <v>785</v>
      </c>
      <c r="BK613" s="10" t="s">
        <v>41</v>
      </c>
      <c r="BL613" s="17">
        <v>0.61</v>
      </c>
      <c r="BN613" s="17">
        <v>0.2</v>
      </c>
      <c r="CG613" t="s">
        <v>651</v>
      </c>
      <c r="CH613" t="s">
        <v>786</v>
      </c>
    </row>
    <row r="614" spans="1:86" x14ac:dyDescent="0.3">
      <c r="A614">
        <v>781</v>
      </c>
      <c r="B614" t="s">
        <v>363</v>
      </c>
      <c r="C614" t="s">
        <v>329</v>
      </c>
      <c r="D614" t="s">
        <v>563</v>
      </c>
      <c r="E614" t="s">
        <v>564</v>
      </c>
      <c r="F614" t="s">
        <v>565</v>
      </c>
      <c r="G614" t="s">
        <v>784</v>
      </c>
      <c r="I614" t="s">
        <v>564</v>
      </c>
      <c r="S614">
        <v>10</v>
      </c>
      <c r="AG614">
        <v>6.6</v>
      </c>
      <c r="AJ614">
        <v>64</v>
      </c>
      <c r="AK614">
        <v>2.5</v>
      </c>
      <c r="AN614">
        <v>60.1</v>
      </c>
      <c r="BG614" t="s">
        <v>312</v>
      </c>
      <c r="BH614" t="s">
        <v>785</v>
      </c>
      <c r="BK614" s="10" t="s">
        <v>41</v>
      </c>
      <c r="BL614" s="17">
        <v>1.2</v>
      </c>
      <c r="BN614" s="17">
        <v>0.18</v>
      </c>
      <c r="CG614" t="s">
        <v>651</v>
      </c>
      <c r="CH614" t="s">
        <v>786</v>
      </c>
    </row>
    <row r="615" spans="1:86" x14ac:dyDescent="0.3">
      <c r="A615">
        <v>782</v>
      </c>
      <c r="B615" t="s">
        <v>363</v>
      </c>
      <c r="C615" t="s">
        <v>329</v>
      </c>
      <c r="D615" t="s">
        <v>563</v>
      </c>
      <c r="E615" t="s">
        <v>564</v>
      </c>
      <c r="F615" t="s">
        <v>565</v>
      </c>
      <c r="G615" t="s">
        <v>784</v>
      </c>
      <c r="I615" t="s">
        <v>564</v>
      </c>
      <c r="S615">
        <v>10</v>
      </c>
      <c r="AG615">
        <v>6.5</v>
      </c>
      <c r="AJ615">
        <v>64</v>
      </c>
      <c r="AK615">
        <v>0.8</v>
      </c>
      <c r="AN615">
        <v>59.1</v>
      </c>
      <c r="BG615" t="s">
        <v>312</v>
      </c>
      <c r="BH615" t="s">
        <v>314</v>
      </c>
      <c r="BK615" s="10" t="s">
        <v>41</v>
      </c>
      <c r="BL615" s="17">
        <v>0.55000000000000004</v>
      </c>
      <c r="BN615" s="17">
        <v>0.11</v>
      </c>
      <c r="CG615" t="s">
        <v>651</v>
      </c>
      <c r="CH615" t="s">
        <v>786</v>
      </c>
    </row>
    <row r="616" spans="1:86" x14ac:dyDescent="0.3">
      <c r="A616">
        <v>783</v>
      </c>
      <c r="B616" t="s">
        <v>363</v>
      </c>
      <c r="C616" t="s">
        <v>329</v>
      </c>
      <c r="D616" t="s">
        <v>563</v>
      </c>
      <c r="E616" t="s">
        <v>564</v>
      </c>
      <c r="F616" t="s">
        <v>565</v>
      </c>
      <c r="G616" t="s">
        <v>784</v>
      </c>
      <c r="I616" t="s">
        <v>564</v>
      </c>
      <c r="S616">
        <v>14</v>
      </c>
      <c r="AG616">
        <v>6.5</v>
      </c>
      <c r="AJ616">
        <v>64</v>
      </c>
      <c r="AK616">
        <v>0.8</v>
      </c>
      <c r="AN616">
        <v>59.1</v>
      </c>
      <c r="BG616" t="s">
        <v>312</v>
      </c>
      <c r="BH616" t="s">
        <v>314</v>
      </c>
      <c r="BK616" s="10" t="s">
        <v>41</v>
      </c>
      <c r="BL616" s="17">
        <v>1.44</v>
      </c>
      <c r="BN616" s="17">
        <v>0.12</v>
      </c>
      <c r="CG616" t="s">
        <v>651</v>
      </c>
      <c r="CH616" t="s">
        <v>786</v>
      </c>
    </row>
    <row r="617" spans="1:86" x14ac:dyDescent="0.3">
      <c r="A617">
        <v>784</v>
      </c>
      <c r="B617" t="s">
        <v>363</v>
      </c>
      <c r="C617" t="s">
        <v>329</v>
      </c>
      <c r="D617" t="s">
        <v>563</v>
      </c>
      <c r="E617" t="s">
        <v>564</v>
      </c>
      <c r="F617" t="s">
        <v>565</v>
      </c>
      <c r="G617" t="s">
        <v>784</v>
      </c>
      <c r="I617" t="s">
        <v>564</v>
      </c>
      <c r="S617">
        <v>6</v>
      </c>
      <c r="AG617">
        <v>6.7</v>
      </c>
      <c r="AJ617">
        <v>64</v>
      </c>
      <c r="AK617">
        <v>1.3</v>
      </c>
      <c r="AN617">
        <v>58.8</v>
      </c>
      <c r="BG617" t="s">
        <v>312</v>
      </c>
      <c r="BH617" t="s">
        <v>787</v>
      </c>
      <c r="BK617" s="10" t="s">
        <v>41</v>
      </c>
      <c r="BL617" s="17">
        <v>0.87</v>
      </c>
      <c r="BN617" s="17">
        <v>0.12</v>
      </c>
      <c r="CG617" t="s">
        <v>651</v>
      </c>
      <c r="CH617" t="s">
        <v>786</v>
      </c>
    </row>
    <row r="618" spans="1:86" x14ac:dyDescent="0.3">
      <c r="A618">
        <v>785</v>
      </c>
      <c r="B618" t="s">
        <v>363</v>
      </c>
      <c r="C618" t="s">
        <v>329</v>
      </c>
      <c r="D618" t="s">
        <v>563</v>
      </c>
      <c r="E618" t="s">
        <v>564</v>
      </c>
      <c r="F618" t="s">
        <v>565</v>
      </c>
      <c r="G618" t="s">
        <v>784</v>
      </c>
      <c r="I618" t="s">
        <v>564</v>
      </c>
      <c r="S618">
        <v>10</v>
      </c>
      <c r="AG618">
        <v>6.7</v>
      </c>
      <c r="AJ618">
        <v>64</v>
      </c>
      <c r="AK618">
        <v>1.3</v>
      </c>
      <c r="AN618">
        <v>58.8</v>
      </c>
      <c r="BG618" t="s">
        <v>312</v>
      </c>
      <c r="BH618" t="s">
        <v>787</v>
      </c>
      <c r="BK618" s="10" t="s">
        <v>41</v>
      </c>
      <c r="BL618" s="17">
        <v>2.61</v>
      </c>
      <c r="BN618" s="17">
        <v>0.35</v>
      </c>
      <c r="CG618" t="s">
        <v>651</v>
      </c>
      <c r="CH618" t="s">
        <v>786</v>
      </c>
    </row>
    <row r="619" spans="1:86" x14ac:dyDescent="0.3">
      <c r="A619">
        <v>786</v>
      </c>
      <c r="B619" t="s">
        <v>363</v>
      </c>
      <c r="C619" t="s">
        <v>329</v>
      </c>
      <c r="D619" t="s">
        <v>563</v>
      </c>
      <c r="E619" t="s">
        <v>564</v>
      </c>
      <c r="F619" t="s">
        <v>565</v>
      </c>
      <c r="G619" t="s">
        <v>784</v>
      </c>
      <c r="I619" t="s">
        <v>564</v>
      </c>
      <c r="S619">
        <v>22</v>
      </c>
      <c r="AG619">
        <v>6.7</v>
      </c>
      <c r="AJ619">
        <v>64</v>
      </c>
      <c r="AK619">
        <v>0.1</v>
      </c>
      <c r="AN619">
        <v>69.3</v>
      </c>
      <c r="BG619" t="s">
        <v>311</v>
      </c>
      <c r="BH619" t="s">
        <v>315</v>
      </c>
      <c r="BK619" s="10" t="s">
        <v>41</v>
      </c>
      <c r="BL619" s="17">
        <v>0.79</v>
      </c>
      <c r="BN619" s="17">
        <v>0.12</v>
      </c>
      <c r="CG619" t="s">
        <v>651</v>
      </c>
      <c r="CH619" t="s">
        <v>786</v>
      </c>
    </row>
    <row r="620" spans="1:86" x14ac:dyDescent="0.3">
      <c r="A620">
        <v>787</v>
      </c>
      <c r="B620" t="s">
        <v>363</v>
      </c>
      <c r="C620" t="s">
        <v>329</v>
      </c>
      <c r="D620" t="s">
        <v>563</v>
      </c>
      <c r="E620" t="s">
        <v>564</v>
      </c>
      <c r="F620" t="s">
        <v>565</v>
      </c>
      <c r="G620" t="s">
        <v>784</v>
      </c>
      <c r="I620" t="s">
        <v>564</v>
      </c>
      <c r="S620">
        <v>38</v>
      </c>
      <c r="AG620">
        <v>6.7</v>
      </c>
      <c r="AJ620">
        <v>64</v>
      </c>
      <c r="AK620">
        <v>0.1</v>
      </c>
      <c r="AN620">
        <v>69.3</v>
      </c>
      <c r="BG620" t="s">
        <v>311</v>
      </c>
      <c r="BH620" t="s">
        <v>315</v>
      </c>
      <c r="BK620" s="10" t="s">
        <v>41</v>
      </c>
      <c r="BL620" s="17">
        <v>1.4</v>
      </c>
      <c r="BN620" s="17">
        <v>0.15</v>
      </c>
      <c r="CG620" t="s">
        <v>651</v>
      </c>
      <c r="CH620" t="s">
        <v>786</v>
      </c>
    </row>
    <row r="621" spans="1:86" x14ac:dyDescent="0.3">
      <c r="A621">
        <v>788</v>
      </c>
      <c r="B621" t="s">
        <v>365</v>
      </c>
      <c r="C621" t="s">
        <v>330</v>
      </c>
      <c r="D621" t="s">
        <v>665</v>
      </c>
      <c r="E621" t="s">
        <v>788</v>
      </c>
      <c r="F621" t="s">
        <v>577</v>
      </c>
      <c r="G621" t="s">
        <v>789</v>
      </c>
      <c r="I621" t="s">
        <v>770</v>
      </c>
      <c r="J621" t="s">
        <v>790</v>
      </c>
      <c r="K621">
        <v>0.04</v>
      </c>
      <c r="AC621" t="s">
        <v>669</v>
      </c>
      <c r="AD621">
        <v>0.1</v>
      </c>
      <c r="AE621" t="s">
        <v>670</v>
      </c>
      <c r="BG621" t="s">
        <v>311</v>
      </c>
      <c r="BH621" t="s">
        <v>791</v>
      </c>
      <c r="BK621" s="10" t="s">
        <v>41</v>
      </c>
      <c r="BL621" s="17">
        <v>3</v>
      </c>
      <c r="BM621" s="52">
        <v>32</v>
      </c>
      <c r="CE621" s="10" t="s">
        <v>642</v>
      </c>
      <c r="CF621" t="s">
        <v>792</v>
      </c>
      <c r="CG621" t="s">
        <v>651</v>
      </c>
      <c r="CH621" t="s">
        <v>786</v>
      </c>
    </row>
    <row r="622" spans="1:86" x14ac:dyDescent="0.3">
      <c r="A622">
        <v>789</v>
      </c>
      <c r="B622" t="s">
        <v>365</v>
      </c>
      <c r="C622" t="s">
        <v>330</v>
      </c>
      <c r="D622" t="s">
        <v>665</v>
      </c>
      <c r="E622" t="s">
        <v>788</v>
      </c>
      <c r="F622" t="s">
        <v>577</v>
      </c>
      <c r="G622" t="s">
        <v>789</v>
      </c>
      <c r="I622" t="s">
        <v>770</v>
      </c>
      <c r="J622" t="s">
        <v>790</v>
      </c>
      <c r="K622">
        <v>0.04</v>
      </c>
      <c r="AC622" t="s">
        <v>669</v>
      </c>
      <c r="AD622">
        <v>0.1</v>
      </c>
      <c r="AE622" t="s">
        <v>670</v>
      </c>
      <c r="BG622" t="s">
        <v>311</v>
      </c>
      <c r="BH622" t="s">
        <v>793</v>
      </c>
      <c r="BK622" s="10" t="s">
        <v>41</v>
      </c>
      <c r="BL622" s="17">
        <v>4.9000000000000004</v>
      </c>
      <c r="BM622" s="52">
        <v>32</v>
      </c>
      <c r="CE622" s="10" t="s">
        <v>642</v>
      </c>
      <c r="CG622" t="s">
        <v>651</v>
      </c>
      <c r="CH622" t="s">
        <v>786</v>
      </c>
    </row>
    <row r="623" spans="1:86" x14ac:dyDescent="0.3">
      <c r="A623">
        <v>790</v>
      </c>
      <c r="B623" t="s">
        <v>365</v>
      </c>
      <c r="C623" t="s">
        <v>330</v>
      </c>
      <c r="D623" t="s">
        <v>665</v>
      </c>
      <c r="E623" t="s">
        <v>788</v>
      </c>
      <c r="F623" t="s">
        <v>577</v>
      </c>
      <c r="G623" t="s">
        <v>789</v>
      </c>
      <c r="I623" t="s">
        <v>770</v>
      </c>
      <c r="J623" t="s">
        <v>790</v>
      </c>
      <c r="K623">
        <v>0.04</v>
      </c>
      <c r="AC623" t="s">
        <v>669</v>
      </c>
      <c r="AD623">
        <v>0.1</v>
      </c>
      <c r="AE623" t="s">
        <v>670</v>
      </c>
      <c r="BG623" t="s">
        <v>311</v>
      </c>
      <c r="BH623" t="s">
        <v>794</v>
      </c>
      <c r="BK623" s="10" t="s">
        <v>41</v>
      </c>
      <c r="BL623" s="17">
        <v>7.9</v>
      </c>
      <c r="BM623" s="52">
        <v>32</v>
      </c>
      <c r="CE623" s="10" t="s">
        <v>642</v>
      </c>
      <c r="CG623" t="s">
        <v>651</v>
      </c>
      <c r="CH623" t="s">
        <v>786</v>
      </c>
    </row>
    <row r="624" spans="1:86" x14ac:dyDescent="0.3">
      <c r="A624">
        <v>791</v>
      </c>
      <c r="B624" t="s">
        <v>365</v>
      </c>
      <c r="C624" t="s">
        <v>330</v>
      </c>
      <c r="D624" t="s">
        <v>665</v>
      </c>
      <c r="E624" t="s">
        <v>788</v>
      </c>
      <c r="F624" t="s">
        <v>577</v>
      </c>
      <c r="G624" t="s">
        <v>789</v>
      </c>
      <c r="I624" t="s">
        <v>770</v>
      </c>
      <c r="J624" t="s">
        <v>790</v>
      </c>
      <c r="K624">
        <v>0.04</v>
      </c>
      <c r="AC624" t="s">
        <v>669</v>
      </c>
      <c r="AD624">
        <v>0.1</v>
      </c>
      <c r="AE624" t="s">
        <v>670</v>
      </c>
      <c r="BG624" t="s">
        <v>311</v>
      </c>
      <c r="BH624" t="s">
        <v>791</v>
      </c>
      <c r="BK624" s="10" t="s">
        <v>41</v>
      </c>
      <c r="BL624" s="17">
        <v>4</v>
      </c>
      <c r="BM624" s="52">
        <v>32</v>
      </c>
      <c r="CE624" s="10" t="s">
        <v>642</v>
      </c>
      <c r="CG624" t="s">
        <v>651</v>
      </c>
      <c r="CH624" t="s">
        <v>786</v>
      </c>
    </row>
    <row r="625" spans="1:86" x14ac:dyDescent="0.3">
      <c r="A625">
        <v>792</v>
      </c>
      <c r="B625" t="s">
        <v>365</v>
      </c>
      <c r="C625" t="s">
        <v>330</v>
      </c>
      <c r="D625" t="s">
        <v>665</v>
      </c>
      <c r="E625" t="s">
        <v>788</v>
      </c>
      <c r="F625" t="s">
        <v>577</v>
      </c>
      <c r="G625" t="s">
        <v>789</v>
      </c>
      <c r="I625" t="s">
        <v>770</v>
      </c>
      <c r="J625" t="s">
        <v>790</v>
      </c>
      <c r="K625">
        <v>0.04</v>
      </c>
      <c r="AC625" t="s">
        <v>669</v>
      </c>
      <c r="AD625">
        <v>0.1</v>
      </c>
      <c r="AE625" t="s">
        <v>670</v>
      </c>
      <c r="BG625" t="s">
        <v>311</v>
      </c>
      <c r="BH625" t="s">
        <v>793</v>
      </c>
      <c r="BK625" s="10" t="s">
        <v>41</v>
      </c>
      <c r="BL625" s="17">
        <v>3.5</v>
      </c>
      <c r="BM625" s="52">
        <v>32</v>
      </c>
      <c r="CE625" s="10" t="s">
        <v>642</v>
      </c>
      <c r="CG625" t="s">
        <v>651</v>
      </c>
      <c r="CH625" t="s">
        <v>786</v>
      </c>
    </row>
    <row r="626" spans="1:86" x14ac:dyDescent="0.3">
      <c r="A626">
        <v>793</v>
      </c>
      <c r="B626" t="s">
        <v>365</v>
      </c>
      <c r="C626" t="s">
        <v>330</v>
      </c>
      <c r="D626" t="s">
        <v>665</v>
      </c>
      <c r="E626" t="s">
        <v>788</v>
      </c>
      <c r="F626" t="s">
        <v>577</v>
      </c>
      <c r="G626" t="s">
        <v>789</v>
      </c>
      <c r="I626" t="s">
        <v>770</v>
      </c>
      <c r="J626" t="s">
        <v>790</v>
      </c>
      <c r="K626">
        <v>0.04</v>
      </c>
      <c r="AC626" t="s">
        <v>669</v>
      </c>
      <c r="AD626">
        <v>0.1</v>
      </c>
      <c r="AE626" t="s">
        <v>670</v>
      </c>
      <c r="BG626" t="s">
        <v>311</v>
      </c>
      <c r="BH626" t="s">
        <v>794</v>
      </c>
      <c r="BK626" s="10" t="s">
        <v>41</v>
      </c>
      <c r="BL626" s="17">
        <v>8.1</v>
      </c>
      <c r="BM626" s="52">
        <v>32</v>
      </c>
      <c r="CE626" s="10" t="s">
        <v>642</v>
      </c>
      <c r="CG626" t="s">
        <v>651</v>
      </c>
      <c r="CH626" t="s">
        <v>786</v>
      </c>
    </row>
    <row r="627" spans="1:86" x14ac:dyDescent="0.3">
      <c r="A627">
        <v>794</v>
      </c>
      <c r="B627" t="s">
        <v>365</v>
      </c>
      <c r="C627" t="s">
        <v>330</v>
      </c>
      <c r="D627" t="s">
        <v>665</v>
      </c>
      <c r="E627" t="s">
        <v>788</v>
      </c>
      <c r="F627" t="s">
        <v>577</v>
      </c>
      <c r="G627" t="s">
        <v>789</v>
      </c>
      <c r="I627" t="s">
        <v>770</v>
      </c>
      <c r="J627" t="s">
        <v>790</v>
      </c>
      <c r="K627">
        <v>0.04</v>
      </c>
      <c r="AC627" t="s">
        <v>669</v>
      </c>
      <c r="AD627">
        <v>0.1</v>
      </c>
      <c r="AE627" t="s">
        <v>670</v>
      </c>
      <c r="BG627" t="s">
        <v>311</v>
      </c>
      <c r="BH627" t="s">
        <v>791</v>
      </c>
      <c r="BK627" s="10" t="s">
        <v>41</v>
      </c>
      <c r="BL627" s="17">
        <v>3.2</v>
      </c>
      <c r="BM627" s="52">
        <v>32</v>
      </c>
      <c r="CE627" s="10" t="s">
        <v>642</v>
      </c>
      <c r="CG627" t="s">
        <v>651</v>
      </c>
      <c r="CH627" t="s">
        <v>786</v>
      </c>
    </row>
    <row r="628" spans="1:86" x14ac:dyDescent="0.3">
      <c r="A628">
        <v>795</v>
      </c>
      <c r="B628" t="s">
        <v>365</v>
      </c>
      <c r="C628" t="s">
        <v>330</v>
      </c>
      <c r="D628" t="s">
        <v>665</v>
      </c>
      <c r="E628" t="s">
        <v>788</v>
      </c>
      <c r="F628" t="s">
        <v>577</v>
      </c>
      <c r="G628" t="s">
        <v>789</v>
      </c>
      <c r="I628" t="s">
        <v>770</v>
      </c>
      <c r="J628" t="s">
        <v>790</v>
      </c>
      <c r="K628">
        <v>0.04</v>
      </c>
      <c r="AC628" t="s">
        <v>669</v>
      </c>
      <c r="AD628">
        <v>0.1</v>
      </c>
      <c r="AE628" t="s">
        <v>670</v>
      </c>
      <c r="BG628" t="s">
        <v>311</v>
      </c>
      <c r="BH628" t="s">
        <v>793</v>
      </c>
      <c r="BK628" s="10" t="s">
        <v>41</v>
      </c>
      <c r="BL628" s="17">
        <v>4.5999999999999996</v>
      </c>
      <c r="BM628" s="52">
        <v>32</v>
      </c>
      <c r="CE628" s="10" t="s">
        <v>642</v>
      </c>
      <c r="CG628" t="s">
        <v>651</v>
      </c>
      <c r="CH628" t="s">
        <v>786</v>
      </c>
    </row>
    <row r="629" spans="1:86" x14ac:dyDescent="0.3">
      <c r="A629">
        <v>796</v>
      </c>
      <c r="B629" t="s">
        <v>365</v>
      </c>
      <c r="C629" t="s">
        <v>330</v>
      </c>
      <c r="D629" t="s">
        <v>665</v>
      </c>
      <c r="E629" t="s">
        <v>788</v>
      </c>
      <c r="F629" t="s">
        <v>577</v>
      </c>
      <c r="G629" t="s">
        <v>789</v>
      </c>
      <c r="I629" t="s">
        <v>770</v>
      </c>
      <c r="J629" t="s">
        <v>790</v>
      </c>
      <c r="K629">
        <v>0.04</v>
      </c>
      <c r="AC629" t="s">
        <v>669</v>
      </c>
      <c r="AD629">
        <v>0.1</v>
      </c>
      <c r="AE629" t="s">
        <v>670</v>
      </c>
      <c r="BG629" t="s">
        <v>311</v>
      </c>
      <c r="BH629" t="s">
        <v>794</v>
      </c>
      <c r="BK629" s="10" t="s">
        <v>41</v>
      </c>
      <c r="BL629" s="17">
        <v>4.8</v>
      </c>
      <c r="BM629" s="52">
        <v>32</v>
      </c>
      <c r="CE629" s="10" t="s">
        <v>642</v>
      </c>
      <c r="CG629" t="s">
        <v>651</v>
      </c>
      <c r="CH629" t="s">
        <v>786</v>
      </c>
    </row>
    <row r="630" spans="1:86" x14ac:dyDescent="0.3">
      <c r="A630">
        <v>797</v>
      </c>
      <c r="B630" t="s">
        <v>365</v>
      </c>
      <c r="C630" t="s">
        <v>330</v>
      </c>
      <c r="D630" t="s">
        <v>665</v>
      </c>
      <c r="E630" t="s">
        <v>788</v>
      </c>
      <c r="F630" t="s">
        <v>577</v>
      </c>
      <c r="G630" t="s">
        <v>789</v>
      </c>
      <c r="I630" t="s">
        <v>770</v>
      </c>
      <c r="J630" t="s">
        <v>790</v>
      </c>
      <c r="K630">
        <v>0.04</v>
      </c>
      <c r="AC630" t="s">
        <v>669</v>
      </c>
      <c r="AD630">
        <v>0.1</v>
      </c>
      <c r="AE630" t="s">
        <v>670</v>
      </c>
      <c r="BG630" t="s">
        <v>311</v>
      </c>
      <c r="BH630" t="s">
        <v>791</v>
      </c>
      <c r="BK630" s="10" t="s">
        <v>41</v>
      </c>
      <c r="BL630" s="17">
        <v>5.5</v>
      </c>
      <c r="BM630" s="52">
        <v>32</v>
      </c>
      <c r="CE630" s="10" t="s">
        <v>642</v>
      </c>
      <c r="CG630" t="s">
        <v>651</v>
      </c>
      <c r="CH630" t="s">
        <v>786</v>
      </c>
    </row>
    <row r="631" spans="1:86" x14ac:dyDescent="0.3">
      <c r="A631">
        <v>798</v>
      </c>
      <c r="B631" t="s">
        <v>365</v>
      </c>
      <c r="C631" t="s">
        <v>330</v>
      </c>
      <c r="D631" t="s">
        <v>665</v>
      </c>
      <c r="E631" t="s">
        <v>788</v>
      </c>
      <c r="F631" t="s">
        <v>577</v>
      </c>
      <c r="G631" t="s">
        <v>789</v>
      </c>
      <c r="I631" t="s">
        <v>770</v>
      </c>
      <c r="J631" t="s">
        <v>790</v>
      </c>
      <c r="K631">
        <v>0.04</v>
      </c>
      <c r="AC631" t="s">
        <v>669</v>
      </c>
      <c r="AD631">
        <v>0.1</v>
      </c>
      <c r="AE631" t="s">
        <v>670</v>
      </c>
      <c r="BG631" t="s">
        <v>311</v>
      </c>
      <c r="BH631" t="s">
        <v>793</v>
      </c>
      <c r="BK631" s="10" t="s">
        <v>41</v>
      </c>
      <c r="BL631" s="17">
        <v>4.4000000000000004</v>
      </c>
      <c r="BM631" s="52">
        <v>32</v>
      </c>
      <c r="CE631" s="10" t="s">
        <v>642</v>
      </c>
      <c r="CG631" t="s">
        <v>651</v>
      </c>
      <c r="CH631" t="s">
        <v>786</v>
      </c>
    </row>
    <row r="632" spans="1:86" x14ac:dyDescent="0.3">
      <c r="A632">
        <v>799</v>
      </c>
      <c r="B632" t="s">
        <v>365</v>
      </c>
      <c r="C632" t="s">
        <v>330</v>
      </c>
      <c r="D632" t="s">
        <v>665</v>
      </c>
      <c r="E632" t="s">
        <v>788</v>
      </c>
      <c r="F632" t="s">
        <v>577</v>
      </c>
      <c r="G632" t="s">
        <v>789</v>
      </c>
      <c r="I632" t="s">
        <v>770</v>
      </c>
      <c r="J632" t="s">
        <v>790</v>
      </c>
      <c r="K632">
        <v>0.04</v>
      </c>
      <c r="AC632" t="s">
        <v>669</v>
      </c>
      <c r="AD632">
        <v>0.1</v>
      </c>
      <c r="AE632" t="s">
        <v>670</v>
      </c>
      <c r="BG632" t="s">
        <v>311</v>
      </c>
      <c r="BH632" t="s">
        <v>794</v>
      </c>
      <c r="BK632" s="10" t="s">
        <v>41</v>
      </c>
      <c r="BL632" s="17">
        <v>7.7</v>
      </c>
      <c r="BM632" s="52">
        <v>32</v>
      </c>
      <c r="CE632" s="10" t="s">
        <v>642</v>
      </c>
      <c r="CG632" t="s">
        <v>651</v>
      </c>
      <c r="CH632" t="s">
        <v>786</v>
      </c>
    </row>
    <row r="633" spans="1:86" x14ac:dyDescent="0.3">
      <c r="A633">
        <v>800</v>
      </c>
      <c r="B633" t="s">
        <v>365</v>
      </c>
      <c r="C633" t="s">
        <v>330</v>
      </c>
      <c r="D633" t="s">
        <v>665</v>
      </c>
      <c r="E633" t="s">
        <v>788</v>
      </c>
      <c r="F633" t="s">
        <v>577</v>
      </c>
      <c r="G633" t="s">
        <v>789</v>
      </c>
      <c r="I633" t="s">
        <v>770</v>
      </c>
      <c r="J633" t="s">
        <v>790</v>
      </c>
      <c r="K633">
        <v>0.04</v>
      </c>
      <c r="AC633" t="s">
        <v>669</v>
      </c>
      <c r="AD633">
        <v>0.1</v>
      </c>
      <c r="AE633" t="s">
        <v>670</v>
      </c>
      <c r="BG633" t="s">
        <v>311</v>
      </c>
      <c r="BH633" t="s">
        <v>791</v>
      </c>
      <c r="BK633" s="10" t="s">
        <v>41</v>
      </c>
      <c r="BL633" s="17">
        <v>3.3</v>
      </c>
      <c r="BM633" s="52">
        <v>32</v>
      </c>
      <c r="CE633" s="10" t="s">
        <v>642</v>
      </c>
      <c r="CG633" t="s">
        <v>651</v>
      </c>
      <c r="CH633" t="s">
        <v>786</v>
      </c>
    </row>
    <row r="634" spans="1:86" x14ac:dyDescent="0.3">
      <c r="A634">
        <v>801</v>
      </c>
      <c r="B634" t="s">
        <v>365</v>
      </c>
      <c r="C634" t="s">
        <v>330</v>
      </c>
      <c r="D634" t="s">
        <v>665</v>
      </c>
      <c r="E634" t="s">
        <v>788</v>
      </c>
      <c r="F634" t="s">
        <v>577</v>
      </c>
      <c r="G634" t="s">
        <v>789</v>
      </c>
      <c r="I634" t="s">
        <v>770</v>
      </c>
      <c r="J634" t="s">
        <v>790</v>
      </c>
      <c r="K634">
        <v>0.04</v>
      </c>
      <c r="AC634" t="s">
        <v>669</v>
      </c>
      <c r="AD634">
        <v>0.1</v>
      </c>
      <c r="AE634" t="s">
        <v>670</v>
      </c>
      <c r="BG634" t="s">
        <v>311</v>
      </c>
      <c r="BH634" t="s">
        <v>793</v>
      </c>
      <c r="BK634" s="10" t="s">
        <v>41</v>
      </c>
      <c r="BL634" s="17">
        <v>5.5</v>
      </c>
      <c r="BM634" s="52">
        <v>32</v>
      </c>
      <c r="CE634" s="10" t="s">
        <v>642</v>
      </c>
      <c r="CG634" t="s">
        <v>651</v>
      </c>
      <c r="CH634" t="s">
        <v>786</v>
      </c>
    </row>
    <row r="635" spans="1:86" x14ac:dyDescent="0.3">
      <c r="A635">
        <v>802</v>
      </c>
      <c r="B635" t="s">
        <v>365</v>
      </c>
      <c r="C635" t="s">
        <v>330</v>
      </c>
      <c r="D635" t="s">
        <v>665</v>
      </c>
      <c r="E635" t="s">
        <v>788</v>
      </c>
      <c r="F635" t="s">
        <v>577</v>
      </c>
      <c r="G635" t="s">
        <v>789</v>
      </c>
      <c r="I635" t="s">
        <v>770</v>
      </c>
      <c r="J635" t="s">
        <v>790</v>
      </c>
      <c r="K635">
        <v>0.04</v>
      </c>
      <c r="AC635" t="s">
        <v>669</v>
      </c>
      <c r="AD635">
        <v>0.1</v>
      </c>
      <c r="AE635" t="s">
        <v>670</v>
      </c>
      <c r="BG635" t="s">
        <v>311</v>
      </c>
      <c r="BH635" t="s">
        <v>794</v>
      </c>
      <c r="BK635" s="10" t="s">
        <v>41</v>
      </c>
      <c r="BL635" s="17">
        <v>6.7</v>
      </c>
      <c r="BM635" s="52">
        <v>32</v>
      </c>
      <c r="CE635" s="10" t="s">
        <v>642</v>
      </c>
      <c r="CG635" t="s">
        <v>651</v>
      </c>
      <c r="CH635" t="s">
        <v>786</v>
      </c>
    </row>
    <row r="636" spans="1:86" x14ac:dyDescent="0.3">
      <c r="A636">
        <v>803</v>
      </c>
      <c r="B636" t="s">
        <v>365</v>
      </c>
      <c r="C636" t="s">
        <v>330</v>
      </c>
      <c r="D636" t="s">
        <v>665</v>
      </c>
      <c r="E636" t="s">
        <v>788</v>
      </c>
      <c r="F636" t="s">
        <v>577</v>
      </c>
      <c r="G636" t="s">
        <v>789</v>
      </c>
      <c r="I636" t="s">
        <v>770</v>
      </c>
      <c r="J636" t="s">
        <v>790</v>
      </c>
      <c r="K636">
        <v>0.04</v>
      </c>
      <c r="AC636" t="s">
        <v>669</v>
      </c>
      <c r="AD636">
        <v>0.1</v>
      </c>
      <c r="AE636" t="s">
        <v>670</v>
      </c>
      <c r="BG636" t="s">
        <v>311</v>
      </c>
      <c r="BH636" t="s">
        <v>791</v>
      </c>
      <c r="BK636" s="10" t="s">
        <v>41</v>
      </c>
      <c r="BL636" s="17">
        <v>4.8</v>
      </c>
      <c r="BM636" s="52">
        <v>32</v>
      </c>
      <c r="CE636" s="10" t="s">
        <v>642</v>
      </c>
      <c r="CG636" t="s">
        <v>651</v>
      </c>
      <c r="CH636" t="s">
        <v>786</v>
      </c>
    </row>
    <row r="637" spans="1:86" x14ac:dyDescent="0.3">
      <c r="A637">
        <v>804</v>
      </c>
      <c r="B637" t="s">
        <v>365</v>
      </c>
      <c r="C637" t="s">
        <v>330</v>
      </c>
      <c r="D637" t="s">
        <v>665</v>
      </c>
      <c r="E637" t="s">
        <v>788</v>
      </c>
      <c r="F637" t="s">
        <v>577</v>
      </c>
      <c r="G637" t="s">
        <v>789</v>
      </c>
      <c r="I637" t="s">
        <v>770</v>
      </c>
      <c r="J637" t="s">
        <v>790</v>
      </c>
      <c r="K637">
        <v>0.04</v>
      </c>
      <c r="AC637" t="s">
        <v>669</v>
      </c>
      <c r="AD637">
        <v>0.1</v>
      </c>
      <c r="AE637" t="s">
        <v>670</v>
      </c>
      <c r="BG637" t="s">
        <v>311</v>
      </c>
      <c r="BH637" t="s">
        <v>793</v>
      </c>
      <c r="BK637" s="10" t="s">
        <v>41</v>
      </c>
      <c r="BL637" s="17">
        <v>4.9000000000000004</v>
      </c>
      <c r="BM637" s="52">
        <v>32</v>
      </c>
      <c r="CE637" s="10" t="s">
        <v>642</v>
      </c>
      <c r="CG637" t="s">
        <v>651</v>
      </c>
      <c r="CH637" t="s">
        <v>786</v>
      </c>
    </row>
    <row r="638" spans="1:86" x14ac:dyDescent="0.3">
      <c r="A638">
        <v>805</v>
      </c>
      <c r="B638" t="s">
        <v>365</v>
      </c>
      <c r="C638" t="s">
        <v>330</v>
      </c>
      <c r="D638" t="s">
        <v>665</v>
      </c>
      <c r="E638" t="s">
        <v>788</v>
      </c>
      <c r="F638" t="s">
        <v>577</v>
      </c>
      <c r="G638" t="s">
        <v>789</v>
      </c>
      <c r="I638" t="s">
        <v>770</v>
      </c>
      <c r="J638" t="s">
        <v>790</v>
      </c>
      <c r="K638">
        <v>0.04</v>
      </c>
      <c r="AC638" t="s">
        <v>669</v>
      </c>
      <c r="AD638">
        <v>0.1</v>
      </c>
      <c r="AE638" t="s">
        <v>670</v>
      </c>
      <c r="BG638" t="s">
        <v>311</v>
      </c>
      <c r="BH638" t="s">
        <v>794</v>
      </c>
      <c r="BK638" s="10" t="s">
        <v>41</v>
      </c>
      <c r="BL638" s="17">
        <v>6.8</v>
      </c>
      <c r="BM638" s="52">
        <v>32</v>
      </c>
      <c r="CE638" s="10" t="s">
        <v>642</v>
      </c>
      <c r="CG638" t="s">
        <v>651</v>
      </c>
      <c r="CH638" t="s">
        <v>786</v>
      </c>
    </row>
    <row r="639" spans="1:86" x14ac:dyDescent="0.3">
      <c r="A639">
        <v>807</v>
      </c>
      <c r="B639" t="s">
        <v>365</v>
      </c>
      <c r="C639" t="s">
        <v>330</v>
      </c>
      <c r="D639" t="s">
        <v>665</v>
      </c>
      <c r="E639" t="s">
        <v>788</v>
      </c>
      <c r="F639" t="s">
        <v>577</v>
      </c>
      <c r="G639" t="s">
        <v>789</v>
      </c>
      <c r="I639" t="s">
        <v>770</v>
      </c>
      <c r="J639" t="s">
        <v>790</v>
      </c>
      <c r="K639">
        <v>0.04</v>
      </c>
      <c r="AC639" t="s">
        <v>669</v>
      </c>
      <c r="AD639">
        <v>0.1</v>
      </c>
      <c r="AE639" t="s">
        <v>670</v>
      </c>
      <c r="BG639" t="s">
        <v>311</v>
      </c>
      <c r="BH639" t="s">
        <v>793</v>
      </c>
      <c r="BK639" s="10" t="s">
        <v>41</v>
      </c>
      <c r="BL639" s="17">
        <v>5</v>
      </c>
      <c r="BM639" s="52">
        <v>32</v>
      </c>
      <c r="CE639" s="10" t="s">
        <v>642</v>
      </c>
      <c r="CG639" t="s">
        <v>651</v>
      </c>
      <c r="CH639" t="s">
        <v>786</v>
      </c>
    </row>
    <row r="640" spans="1:86" x14ac:dyDescent="0.3">
      <c r="A640">
        <v>808</v>
      </c>
      <c r="B640" t="s">
        <v>365</v>
      </c>
      <c r="C640" t="s">
        <v>330</v>
      </c>
      <c r="D640" t="s">
        <v>665</v>
      </c>
      <c r="E640" t="s">
        <v>788</v>
      </c>
      <c r="F640" t="s">
        <v>577</v>
      </c>
      <c r="G640" t="s">
        <v>789</v>
      </c>
      <c r="I640" t="s">
        <v>770</v>
      </c>
      <c r="J640" t="s">
        <v>790</v>
      </c>
      <c r="K640">
        <v>0.04</v>
      </c>
      <c r="AC640" t="s">
        <v>669</v>
      </c>
      <c r="AD640">
        <v>0.1</v>
      </c>
      <c r="AE640" t="s">
        <v>670</v>
      </c>
      <c r="BG640" t="s">
        <v>311</v>
      </c>
      <c r="BH640" t="s">
        <v>794</v>
      </c>
      <c r="BK640" s="10" t="s">
        <v>41</v>
      </c>
      <c r="BL640" s="17">
        <v>4.8</v>
      </c>
      <c r="BM640" s="52">
        <v>32</v>
      </c>
      <c r="CE640" s="10" t="s">
        <v>642</v>
      </c>
      <c r="CG640" t="s">
        <v>651</v>
      </c>
      <c r="CH640" t="s">
        <v>786</v>
      </c>
    </row>
    <row r="641" spans="1:86" x14ac:dyDescent="0.3">
      <c r="A641">
        <v>809</v>
      </c>
      <c r="B641" t="s">
        <v>365</v>
      </c>
      <c r="C641" t="s">
        <v>330</v>
      </c>
      <c r="D641" t="s">
        <v>665</v>
      </c>
      <c r="E641" t="s">
        <v>788</v>
      </c>
      <c r="F641" t="s">
        <v>577</v>
      </c>
      <c r="G641" t="s">
        <v>789</v>
      </c>
      <c r="I641" t="s">
        <v>770</v>
      </c>
      <c r="J641" t="s">
        <v>790</v>
      </c>
      <c r="K641">
        <v>0.04</v>
      </c>
      <c r="AC641" t="s">
        <v>669</v>
      </c>
      <c r="AD641">
        <v>0.1</v>
      </c>
      <c r="AE641" t="s">
        <v>670</v>
      </c>
      <c r="BG641" t="s">
        <v>311</v>
      </c>
      <c r="BH641" t="s">
        <v>791</v>
      </c>
      <c r="BK641" s="10" t="s">
        <v>41</v>
      </c>
      <c r="BL641" s="17">
        <v>4.7</v>
      </c>
      <c r="BM641" s="52">
        <v>32</v>
      </c>
      <c r="CE641" s="10" t="s">
        <v>642</v>
      </c>
      <c r="CG641" t="s">
        <v>651</v>
      </c>
      <c r="CH641" t="s">
        <v>786</v>
      </c>
    </row>
    <row r="642" spans="1:86" x14ac:dyDescent="0.3">
      <c r="A642">
        <v>810</v>
      </c>
      <c r="B642" t="s">
        <v>365</v>
      </c>
      <c r="C642" t="s">
        <v>330</v>
      </c>
      <c r="D642" t="s">
        <v>665</v>
      </c>
      <c r="E642" t="s">
        <v>788</v>
      </c>
      <c r="F642" t="s">
        <v>577</v>
      </c>
      <c r="G642" t="s">
        <v>789</v>
      </c>
      <c r="I642" t="s">
        <v>770</v>
      </c>
      <c r="J642" t="s">
        <v>790</v>
      </c>
      <c r="K642">
        <v>0.04</v>
      </c>
      <c r="AC642" t="s">
        <v>669</v>
      </c>
      <c r="AD642">
        <v>0.1</v>
      </c>
      <c r="AE642" t="s">
        <v>670</v>
      </c>
      <c r="BG642" t="s">
        <v>311</v>
      </c>
      <c r="BH642" t="s">
        <v>793</v>
      </c>
      <c r="BK642" s="10" t="s">
        <v>41</v>
      </c>
      <c r="BL642" s="17">
        <v>4.5</v>
      </c>
      <c r="BM642" s="52">
        <v>32</v>
      </c>
      <c r="CE642" s="10" t="s">
        <v>642</v>
      </c>
      <c r="CG642" t="s">
        <v>651</v>
      </c>
      <c r="CH642" t="s">
        <v>786</v>
      </c>
    </row>
    <row r="643" spans="1:86" x14ac:dyDescent="0.3">
      <c r="A643">
        <v>811</v>
      </c>
      <c r="B643" t="s">
        <v>365</v>
      </c>
      <c r="C643" t="s">
        <v>330</v>
      </c>
      <c r="D643" t="s">
        <v>665</v>
      </c>
      <c r="E643" t="s">
        <v>788</v>
      </c>
      <c r="F643" t="s">
        <v>577</v>
      </c>
      <c r="G643" t="s">
        <v>789</v>
      </c>
      <c r="I643" t="s">
        <v>770</v>
      </c>
      <c r="J643" t="s">
        <v>790</v>
      </c>
      <c r="K643">
        <v>0.04</v>
      </c>
      <c r="AC643" t="s">
        <v>669</v>
      </c>
      <c r="AD643">
        <v>0.1</v>
      </c>
      <c r="AE643" t="s">
        <v>670</v>
      </c>
      <c r="BG643" t="s">
        <v>311</v>
      </c>
      <c r="BH643" t="s">
        <v>794</v>
      </c>
      <c r="BK643" s="10" t="s">
        <v>41</v>
      </c>
      <c r="BL643" s="17">
        <v>5.6</v>
      </c>
      <c r="BM643" s="52">
        <v>32</v>
      </c>
      <c r="CE643" s="10" t="s">
        <v>642</v>
      </c>
      <c r="CG643" t="s">
        <v>651</v>
      </c>
      <c r="CH643" t="s">
        <v>786</v>
      </c>
    </row>
    <row r="644" spans="1:86" x14ac:dyDescent="0.3">
      <c r="A644">
        <v>812</v>
      </c>
      <c r="B644" t="s">
        <v>368</v>
      </c>
      <c r="C644" t="s">
        <v>330</v>
      </c>
      <c r="D644" t="s">
        <v>795</v>
      </c>
      <c r="E644" t="s">
        <v>796</v>
      </c>
      <c r="F644" t="s">
        <v>577</v>
      </c>
      <c r="G644" t="s">
        <v>797</v>
      </c>
      <c r="I644" t="s">
        <v>564</v>
      </c>
      <c r="J644" t="s">
        <v>790</v>
      </c>
      <c r="K644">
        <v>0.4</v>
      </c>
      <c r="Z644">
        <v>0.47500000000000003</v>
      </c>
      <c r="BG644" t="s">
        <v>311</v>
      </c>
      <c r="BH644" t="s">
        <v>624</v>
      </c>
      <c r="BI644" s="10" t="s">
        <v>568</v>
      </c>
      <c r="BJ644" s="10" t="s">
        <v>798</v>
      </c>
      <c r="BK644" s="10" t="s">
        <v>41</v>
      </c>
      <c r="BL644" s="17">
        <v>2.2799999999999998</v>
      </c>
      <c r="BM644" s="52">
        <v>3</v>
      </c>
      <c r="BS644" s="10">
        <f>LOG(1700)</f>
        <v>3.2304489213782741</v>
      </c>
      <c r="BV644" s="10">
        <f>LOG(1500)</f>
        <v>3.1760912590556813</v>
      </c>
      <c r="BY644" s="10">
        <f>LOG(8.8)</f>
        <v>0.94448267215016868</v>
      </c>
      <c r="CB644" s="10">
        <f>LOG(7.5)</f>
        <v>0.87506126339170009</v>
      </c>
      <c r="CC644" s="10">
        <f>LOG(9.5)</f>
        <v>0.97772360528884772</v>
      </c>
      <c r="CE644" s="10" t="s">
        <v>743</v>
      </c>
      <c r="CF644" t="s">
        <v>799</v>
      </c>
      <c r="CG644" t="s">
        <v>651</v>
      </c>
      <c r="CH644" t="s">
        <v>726</v>
      </c>
    </row>
    <row r="645" spans="1:86" x14ac:dyDescent="0.3">
      <c r="A645">
        <v>813</v>
      </c>
      <c r="B645" t="s">
        <v>368</v>
      </c>
      <c r="C645" t="s">
        <v>330</v>
      </c>
      <c r="D645" t="s">
        <v>795</v>
      </c>
      <c r="E645" t="s">
        <v>796</v>
      </c>
      <c r="F645" t="s">
        <v>577</v>
      </c>
      <c r="G645" t="s">
        <v>797</v>
      </c>
      <c r="I645" t="s">
        <v>564</v>
      </c>
      <c r="J645" t="s">
        <v>790</v>
      </c>
      <c r="K645">
        <v>0.4</v>
      </c>
      <c r="Z645">
        <v>0.47500000000000003</v>
      </c>
      <c r="BG645" t="s">
        <v>312</v>
      </c>
      <c r="BH645" t="s">
        <v>691</v>
      </c>
      <c r="BI645" s="10" t="s">
        <v>568</v>
      </c>
      <c r="BJ645" s="10" t="s">
        <v>800</v>
      </c>
      <c r="BK645" s="10" t="s">
        <v>41</v>
      </c>
      <c r="BL645" s="17">
        <v>6.86</v>
      </c>
      <c r="BM645" s="52">
        <v>3</v>
      </c>
      <c r="BS645" s="10">
        <f>LOG(11000000)</f>
        <v>7.0413926851582254</v>
      </c>
      <c r="BV645" s="10">
        <f>LOG(8800000)</f>
        <v>6.9444826721501682</v>
      </c>
      <c r="BY645" s="10">
        <f>LOG(1)</f>
        <v>0</v>
      </c>
      <c r="CB645" s="10" t="s">
        <v>801</v>
      </c>
      <c r="CC645" s="10">
        <f>LOG(3)</f>
        <v>0.47712125471966244</v>
      </c>
      <c r="CE645" s="10" t="s">
        <v>743</v>
      </c>
      <c r="CF645" t="s">
        <v>799</v>
      </c>
      <c r="CG645" t="s">
        <v>651</v>
      </c>
      <c r="CH645" t="s">
        <v>726</v>
      </c>
    </row>
    <row r="646" spans="1:86" x14ac:dyDescent="0.3">
      <c r="A646">
        <v>814</v>
      </c>
      <c r="B646" t="s">
        <v>368</v>
      </c>
      <c r="C646" t="s">
        <v>330</v>
      </c>
      <c r="D646" t="s">
        <v>795</v>
      </c>
      <c r="E646" t="s">
        <v>796</v>
      </c>
      <c r="F646" t="s">
        <v>577</v>
      </c>
      <c r="G646" t="s">
        <v>797</v>
      </c>
      <c r="I646" t="s">
        <v>564</v>
      </c>
      <c r="J646" t="s">
        <v>790</v>
      </c>
      <c r="K646">
        <v>0.4</v>
      </c>
      <c r="Z646">
        <v>0.47500000000000003</v>
      </c>
      <c r="BG646" t="s">
        <v>312</v>
      </c>
      <c r="BH646" t="s">
        <v>802</v>
      </c>
      <c r="BI646" s="10" t="s">
        <v>568</v>
      </c>
      <c r="BJ646" s="10" t="s">
        <v>800</v>
      </c>
      <c r="BK646" s="10" t="s">
        <v>41</v>
      </c>
      <c r="BL646" s="17">
        <v>5.83</v>
      </c>
      <c r="BM646" s="52">
        <v>3</v>
      </c>
      <c r="BR646" s="10" t="s">
        <v>842</v>
      </c>
      <c r="BS646" s="10">
        <f>LOG(680000)</f>
        <v>5.8325089127062366</v>
      </c>
      <c r="BV646" s="10">
        <f>LOG(520000)</f>
        <v>5.7160033436347994</v>
      </c>
      <c r="BY646" s="10" t="s">
        <v>801</v>
      </c>
      <c r="CB646" s="10" t="s">
        <v>801</v>
      </c>
      <c r="CC646" s="10" t="s">
        <v>801</v>
      </c>
      <c r="CE646" s="10" t="s">
        <v>743</v>
      </c>
      <c r="CF646" t="s">
        <v>799</v>
      </c>
      <c r="CG646" t="s">
        <v>651</v>
      </c>
      <c r="CH646" t="s">
        <v>726</v>
      </c>
    </row>
    <row r="647" spans="1:86" x14ac:dyDescent="0.3">
      <c r="A647">
        <v>815</v>
      </c>
      <c r="B647" t="s">
        <v>368</v>
      </c>
      <c r="C647" t="s">
        <v>330</v>
      </c>
      <c r="D647" t="s">
        <v>795</v>
      </c>
      <c r="E647" t="s">
        <v>796</v>
      </c>
      <c r="F647" t="s">
        <v>577</v>
      </c>
      <c r="G647" t="s">
        <v>803</v>
      </c>
      <c r="I647" t="s">
        <v>564</v>
      </c>
      <c r="J647" t="s">
        <v>790</v>
      </c>
      <c r="K647">
        <v>0.4</v>
      </c>
      <c r="Z647">
        <v>0.47500000000000003</v>
      </c>
      <c r="BG647" t="s">
        <v>311</v>
      </c>
      <c r="BH647" t="s">
        <v>624</v>
      </c>
      <c r="BI647" s="10" t="s">
        <v>568</v>
      </c>
      <c r="BJ647" s="10" t="s">
        <v>798</v>
      </c>
      <c r="BK647" s="10" t="s">
        <v>41</v>
      </c>
      <c r="BL647" s="17">
        <v>5.88</v>
      </c>
      <c r="BM647" s="52">
        <v>3</v>
      </c>
      <c r="BS647" s="10">
        <f>LOG(110000000)</f>
        <v>8.0413926851582254</v>
      </c>
      <c r="BV647" s="10">
        <f>LOG(10000000)</f>
        <v>7</v>
      </c>
      <c r="BY647" s="10">
        <f>LOG(1400)</f>
        <v>3.1461280356782382</v>
      </c>
      <c r="CB647" s="10">
        <f>LOG(110)</f>
        <v>2.0413926851582249</v>
      </c>
      <c r="CC647" s="10">
        <f>LOG(170)</f>
        <v>2.2304489213782741</v>
      </c>
      <c r="CE647" s="10" t="s">
        <v>743</v>
      </c>
      <c r="CF647" t="s">
        <v>799</v>
      </c>
      <c r="CG647" t="s">
        <v>651</v>
      </c>
      <c r="CH647" t="s">
        <v>726</v>
      </c>
    </row>
    <row r="648" spans="1:86" x14ac:dyDescent="0.3">
      <c r="A648">
        <v>816</v>
      </c>
      <c r="B648" t="s">
        <v>368</v>
      </c>
      <c r="C648" t="s">
        <v>341</v>
      </c>
      <c r="D648" t="s">
        <v>804</v>
      </c>
      <c r="E648" t="s">
        <v>796</v>
      </c>
      <c r="F648" t="s">
        <v>577</v>
      </c>
      <c r="G648" t="s">
        <v>797</v>
      </c>
      <c r="I648" t="s">
        <v>564</v>
      </c>
      <c r="Z648">
        <f>9.7/24</f>
        <v>0.40416666666666662</v>
      </c>
      <c r="AB648">
        <v>1420</v>
      </c>
      <c r="AC648" s="7" t="s">
        <v>805</v>
      </c>
      <c r="AI648">
        <v>376</v>
      </c>
      <c r="BG648" t="s">
        <v>311</v>
      </c>
      <c r="BH648" t="s">
        <v>624</v>
      </c>
      <c r="BI648" s="10" t="s">
        <v>568</v>
      </c>
      <c r="BJ648" s="10" t="s">
        <v>798</v>
      </c>
      <c r="BK648" s="10" t="s">
        <v>41</v>
      </c>
      <c r="BL648" s="17">
        <v>0.91</v>
      </c>
      <c r="BM648" s="52">
        <v>6</v>
      </c>
      <c r="BS648" s="10">
        <f>LOG(2200)</f>
        <v>3.3424226808222062</v>
      </c>
      <c r="BV648" s="10">
        <f>LOG(1100)</f>
        <v>3.0413926851582249</v>
      </c>
      <c r="BW648" s="10">
        <f>LOG(3600)</f>
        <v>3.5563025007672873</v>
      </c>
      <c r="BY648" s="10">
        <f>LOG(270)</f>
        <v>2.4313637641589874</v>
      </c>
      <c r="CB648" s="10">
        <f>LOG(120)</f>
        <v>2.0791812460476247</v>
      </c>
      <c r="CC648" s="10">
        <f>LOG(570)</f>
        <v>2.7558748556724915</v>
      </c>
      <c r="CE648" s="10" t="s">
        <v>647</v>
      </c>
      <c r="CG648" t="s">
        <v>651</v>
      </c>
      <c r="CH648" t="s">
        <v>726</v>
      </c>
    </row>
    <row r="649" spans="1:86" x14ac:dyDescent="0.3">
      <c r="A649">
        <v>817</v>
      </c>
      <c r="B649" t="s">
        <v>368</v>
      </c>
      <c r="C649" t="s">
        <v>341</v>
      </c>
      <c r="D649" t="s">
        <v>804</v>
      </c>
      <c r="E649" t="s">
        <v>796</v>
      </c>
      <c r="F649" t="s">
        <v>577</v>
      </c>
      <c r="G649" t="s">
        <v>797</v>
      </c>
      <c r="I649" t="s">
        <v>564</v>
      </c>
      <c r="Z649">
        <f>9.7/24</f>
        <v>0.40416666666666662</v>
      </c>
      <c r="AB649">
        <v>1420</v>
      </c>
      <c r="AC649" s="7" t="s">
        <v>805</v>
      </c>
      <c r="AI649">
        <v>376</v>
      </c>
      <c r="BG649" t="s">
        <v>312</v>
      </c>
      <c r="BH649" t="s">
        <v>691</v>
      </c>
      <c r="BI649" s="10" t="s">
        <v>568</v>
      </c>
      <c r="BJ649" s="10" t="s">
        <v>800</v>
      </c>
      <c r="BK649" s="10" t="s">
        <v>41</v>
      </c>
      <c r="BL649" s="17">
        <v>1.76</v>
      </c>
      <c r="BM649" s="52">
        <v>6</v>
      </c>
      <c r="BS649" s="10">
        <f>LOG(4100000)</f>
        <v>6.6127838567197355</v>
      </c>
      <c r="BV649" s="10">
        <f>LOG(2700000)</f>
        <v>6.4313637641589869</v>
      </c>
      <c r="BW649" s="10">
        <f>LOG(5100000)</f>
        <v>6.7075701760979367</v>
      </c>
      <c r="BY649" s="10">
        <f>LOG(80000)</f>
        <v>4.9030899869919438</v>
      </c>
      <c r="CB649" s="10">
        <f>LOG(25000)</f>
        <v>4.3979400086720375</v>
      </c>
      <c r="CC649" s="10">
        <f>LOG(120000)</f>
        <v>5.0791812460476251</v>
      </c>
      <c r="CE649" s="10" t="s">
        <v>647</v>
      </c>
      <c r="CG649" t="s">
        <v>651</v>
      </c>
      <c r="CH649" t="s">
        <v>726</v>
      </c>
    </row>
    <row r="650" spans="1:86" x14ac:dyDescent="0.3">
      <c r="A650">
        <v>818</v>
      </c>
      <c r="B650" t="s">
        <v>368</v>
      </c>
      <c r="C650" t="s">
        <v>341</v>
      </c>
      <c r="D650" t="s">
        <v>804</v>
      </c>
      <c r="E650" t="s">
        <v>796</v>
      </c>
      <c r="F650" t="s">
        <v>577</v>
      </c>
      <c r="G650" t="s">
        <v>797</v>
      </c>
      <c r="I650" t="s">
        <v>564</v>
      </c>
      <c r="Z650">
        <f>9.7/24</f>
        <v>0.40416666666666662</v>
      </c>
      <c r="AB650">
        <v>1420</v>
      </c>
      <c r="AC650" s="7" t="s">
        <v>805</v>
      </c>
      <c r="AI650">
        <v>376</v>
      </c>
      <c r="BG650" t="s">
        <v>312</v>
      </c>
      <c r="BH650" t="s">
        <v>802</v>
      </c>
      <c r="BI650" s="10" t="s">
        <v>568</v>
      </c>
      <c r="BJ650" s="10" t="s">
        <v>800</v>
      </c>
      <c r="BK650" s="10" t="s">
        <v>41</v>
      </c>
      <c r="BL650" s="17">
        <v>1.22</v>
      </c>
      <c r="BM650" s="52">
        <v>6</v>
      </c>
      <c r="BS650" s="10">
        <f>LOG(740000)</f>
        <v>5.8692317197309762</v>
      </c>
      <c r="BV650" s="10">
        <f>LOG(16000)</f>
        <v>4.204119982655925</v>
      </c>
      <c r="BW650" s="10">
        <f>LOG(1700000)</f>
        <v>6.2304489213782741</v>
      </c>
      <c r="BY650" s="10">
        <f>LOG(32000)</f>
        <v>4.5051499783199063</v>
      </c>
      <c r="CB650" s="10">
        <f>LOG(8900)</f>
        <v>3.9493900066449128</v>
      </c>
      <c r="CC650" s="10">
        <f>LOG(45000)</f>
        <v>4.653212513775344</v>
      </c>
      <c r="CE650" s="10" t="s">
        <v>647</v>
      </c>
      <c r="CG650" t="s">
        <v>651</v>
      </c>
      <c r="CH650" t="s">
        <v>726</v>
      </c>
    </row>
    <row r="651" spans="1:86" x14ac:dyDescent="0.3">
      <c r="A651">
        <v>819</v>
      </c>
      <c r="B651" t="s">
        <v>368</v>
      </c>
      <c r="C651" t="s">
        <v>367</v>
      </c>
      <c r="E651" t="s">
        <v>796</v>
      </c>
      <c r="F651" t="s">
        <v>577</v>
      </c>
      <c r="G651" t="s">
        <v>789</v>
      </c>
      <c r="I651" t="s">
        <v>564</v>
      </c>
      <c r="BG651" t="s">
        <v>311</v>
      </c>
      <c r="BH651" t="s">
        <v>624</v>
      </c>
      <c r="BI651" s="10" t="s">
        <v>568</v>
      </c>
      <c r="BJ651" s="10" t="s">
        <v>798</v>
      </c>
      <c r="BK651" s="10" t="s">
        <v>41</v>
      </c>
      <c r="BL651" s="17">
        <v>0.32</v>
      </c>
      <c r="BM651" s="52">
        <v>6</v>
      </c>
      <c r="BS651" s="10">
        <f>LOG(270)</f>
        <v>2.4313637641589874</v>
      </c>
      <c r="BV651" s="10">
        <f>LOG(120)</f>
        <v>2.0791812460476247</v>
      </c>
      <c r="BW651" s="10">
        <f>LOG(570)</f>
        <v>2.7558748556724915</v>
      </c>
      <c r="BY651" s="10">
        <f>LOG(140)</f>
        <v>2.1461280356782382</v>
      </c>
      <c r="CB651" s="10">
        <f>LOG(50)</f>
        <v>1.6989700043360187</v>
      </c>
      <c r="CC651" s="10">
        <f>LOG(280)</f>
        <v>2.4471580313422194</v>
      </c>
      <c r="CE651" s="10" t="s">
        <v>647</v>
      </c>
      <c r="CF651" t="s">
        <v>806</v>
      </c>
      <c r="CG651" t="s">
        <v>651</v>
      </c>
      <c r="CH651" t="s">
        <v>726</v>
      </c>
    </row>
    <row r="652" spans="1:86" x14ac:dyDescent="0.3">
      <c r="A652">
        <v>820</v>
      </c>
      <c r="B652" t="s">
        <v>368</v>
      </c>
      <c r="C652" t="s">
        <v>367</v>
      </c>
      <c r="E652" t="s">
        <v>796</v>
      </c>
      <c r="F652" t="s">
        <v>577</v>
      </c>
      <c r="G652" t="s">
        <v>789</v>
      </c>
      <c r="I652" t="s">
        <v>564</v>
      </c>
      <c r="BG652" t="s">
        <v>312</v>
      </c>
      <c r="BH652" t="s">
        <v>691</v>
      </c>
      <c r="BI652" s="10" t="s">
        <v>568</v>
      </c>
      <c r="BJ652" s="10" t="s">
        <v>800</v>
      </c>
      <c r="BK652" s="10" t="s">
        <v>41</v>
      </c>
      <c r="BL652" s="17">
        <v>0.64</v>
      </c>
      <c r="BM652" s="52">
        <v>6</v>
      </c>
      <c r="BS652" s="10">
        <f>LOG(80000)</f>
        <v>4.9030899869919438</v>
      </c>
      <c r="BV652" s="10">
        <f>LOG(25000)</f>
        <v>4.3979400086720375</v>
      </c>
      <c r="BW652" s="10">
        <f>LOG(120000)</f>
        <v>5.0791812460476251</v>
      </c>
      <c r="BY652" s="10">
        <f>LOG(22000)</f>
        <v>4.3424226808222066</v>
      </c>
      <c r="CB652" s="10">
        <f>LOG(4900)</f>
        <v>3.6901960800285138</v>
      </c>
      <c r="CC652" s="10">
        <f>LOG(55000)</f>
        <v>4.7403626894942441</v>
      </c>
      <c r="CE652" s="10" t="s">
        <v>647</v>
      </c>
      <c r="CF652" t="s">
        <v>806</v>
      </c>
      <c r="CG652" t="s">
        <v>651</v>
      </c>
      <c r="CH652" t="s">
        <v>726</v>
      </c>
    </row>
    <row r="653" spans="1:86" x14ac:dyDescent="0.3">
      <c r="A653">
        <v>821</v>
      </c>
      <c r="B653" t="s">
        <v>368</v>
      </c>
      <c r="C653" t="s">
        <v>367</v>
      </c>
      <c r="E653" t="s">
        <v>796</v>
      </c>
      <c r="F653" t="s">
        <v>577</v>
      </c>
      <c r="G653" t="s">
        <v>789</v>
      </c>
      <c r="I653" t="s">
        <v>564</v>
      </c>
      <c r="BG653" t="s">
        <v>312</v>
      </c>
      <c r="BH653" t="s">
        <v>802</v>
      </c>
      <c r="BI653" s="10" t="s">
        <v>568</v>
      </c>
      <c r="BJ653" s="10" t="s">
        <v>800</v>
      </c>
      <c r="BK653" s="10" t="s">
        <v>41</v>
      </c>
      <c r="BL653" s="17">
        <v>0.56000000000000005</v>
      </c>
      <c r="BM653" s="52">
        <v>6</v>
      </c>
      <c r="BS653" s="10">
        <f>LOG(32000)</f>
        <v>4.5051499783199063</v>
      </c>
      <c r="BV653" s="10">
        <f>LOG(8900)</f>
        <v>3.9493900066449128</v>
      </c>
      <c r="BW653" s="10">
        <f>LOG(45000)</f>
        <v>4.653212513775344</v>
      </c>
      <c r="BY653" s="10">
        <f>LOG(9300)</f>
        <v>3.9684829485539352</v>
      </c>
      <c r="CB653" s="10">
        <f>LOG(2400)</f>
        <v>3.3802112417116059</v>
      </c>
      <c r="CC653" s="10">
        <f>LOG(24000)</f>
        <v>4.3802112417116064</v>
      </c>
      <c r="CE653" s="10" t="s">
        <v>647</v>
      </c>
      <c r="CF653" t="s">
        <v>806</v>
      </c>
      <c r="CG653" t="s">
        <v>651</v>
      </c>
      <c r="CH653" t="s">
        <v>726</v>
      </c>
    </row>
    <row r="654" spans="1:86" x14ac:dyDescent="0.3">
      <c r="A654">
        <v>822</v>
      </c>
      <c r="B654" t="s">
        <v>370</v>
      </c>
      <c r="C654" t="s">
        <v>351</v>
      </c>
      <c r="D654" t="s">
        <v>807</v>
      </c>
      <c r="E654" t="s">
        <v>564</v>
      </c>
      <c r="F654" t="s">
        <v>565</v>
      </c>
      <c r="G654" t="s">
        <v>808</v>
      </c>
      <c r="I654" t="s">
        <v>564</v>
      </c>
      <c r="BG654" t="s">
        <v>311</v>
      </c>
      <c r="BH654" t="s">
        <v>315</v>
      </c>
      <c r="BJ654" s="10" t="s">
        <v>798</v>
      </c>
      <c r="BK654" s="10" t="s">
        <v>41</v>
      </c>
      <c r="BL654" s="17">
        <f>GEOMEAN(LRV[[#This Row],[lrv_min]:[lrv_max]])</f>
        <v>0.82286086308682838</v>
      </c>
      <c r="BP654" s="17">
        <v>0.37</v>
      </c>
      <c r="BQ654" s="17">
        <v>1.83</v>
      </c>
      <c r="CF654" t="s">
        <v>809</v>
      </c>
      <c r="CG654" t="s">
        <v>651</v>
      </c>
      <c r="CH654" t="s">
        <v>810</v>
      </c>
    </row>
    <row r="655" spans="1:86" x14ac:dyDescent="0.3">
      <c r="A655">
        <v>823</v>
      </c>
      <c r="B655" t="s">
        <v>370</v>
      </c>
      <c r="C655" t="s">
        <v>377</v>
      </c>
      <c r="D655" t="s">
        <v>811</v>
      </c>
      <c r="E655" t="s">
        <v>564</v>
      </c>
      <c r="F655" t="s">
        <v>565</v>
      </c>
      <c r="G655" t="s">
        <v>808</v>
      </c>
      <c r="I655" t="s">
        <v>564</v>
      </c>
      <c r="BG655" t="s">
        <v>311</v>
      </c>
      <c r="BH655" t="s">
        <v>315</v>
      </c>
      <c r="BJ655" s="10" t="s">
        <v>798</v>
      </c>
      <c r="BK655" s="10" t="s">
        <v>41</v>
      </c>
      <c r="BL655" s="17">
        <f>GEOMEAN(LRV[[#This Row],[lrv_min]:[lrv_max]])</f>
        <v>2.4262110378118389</v>
      </c>
      <c r="BP655" s="17">
        <v>1.93</v>
      </c>
      <c r="BQ655" s="17">
        <v>3.05</v>
      </c>
      <c r="CF655" t="s">
        <v>809</v>
      </c>
      <c r="CG655" t="s">
        <v>651</v>
      </c>
      <c r="CH655" t="s">
        <v>810</v>
      </c>
    </row>
    <row r="656" spans="1:86" x14ac:dyDescent="0.3">
      <c r="A656">
        <v>824</v>
      </c>
      <c r="B656" t="s">
        <v>370</v>
      </c>
      <c r="C656" t="s">
        <v>379</v>
      </c>
      <c r="D656" t="s">
        <v>812</v>
      </c>
      <c r="E656" t="s">
        <v>564</v>
      </c>
      <c r="F656" t="s">
        <v>565</v>
      </c>
      <c r="G656" t="s">
        <v>808</v>
      </c>
      <c r="I656" t="s">
        <v>564</v>
      </c>
      <c r="J656" t="s">
        <v>668</v>
      </c>
      <c r="K656">
        <v>3.5000000000000001E-3</v>
      </c>
      <c r="BG656" t="s">
        <v>311</v>
      </c>
      <c r="BH656" t="s">
        <v>315</v>
      </c>
      <c r="BJ656" s="10" t="s">
        <v>798</v>
      </c>
      <c r="BK656" s="10" t="s">
        <v>41</v>
      </c>
      <c r="BL656" s="17">
        <f>GEOMEAN(LRV[[#This Row],[lrv_min]:[lrv_max]])</f>
        <v>3.9354796403996302</v>
      </c>
      <c r="BP656" s="17">
        <v>3.52</v>
      </c>
      <c r="BQ656" s="17">
        <v>4.4000000000000004</v>
      </c>
      <c r="CF656" t="s">
        <v>809</v>
      </c>
      <c r="CG656" t="s">
        <v>651</v>
      </c>
      <c r="CH656" t="s">
        <v>810</v>
      </c>
    </row>
    <row r="657" spans="1:86" x14ac:dyDescent="0.3">
      <c r="A657">
        <v>825</v>
      </c>
      <c r="B657" t="s">
        <v>371</v>
      </c>
      <c r="C657" t="s">
        <v>341</v>
      </c>
      <c r="E657" t="s">
        <v>813</v>
      </c>
      <c r="F657" t="s">
        <v>577</v>
      </c>
      <c r="G657" t="s">
        <v>667</v>
      </c>
      <c r="I657" t="s">
        <v>770</v>
      </c>
      <c r="Z657">
        <v>1.125</v>
      </c>
      <c r="AA657">
        <v>7</v>
      </c>
      <c r="AB657">
        <v>3400</v>
      </c>
      <c r="BG657" t="s">
        <v>311</v>
      </c>
      <c r="BH657" t="s">
        <v>675</v>
      </c>
      <c r="BK657" s="10" t="s">
        <v>41</v>
      </c>
      <c r="BL657" s="17">
        <v>1.67</v>
      </c>
      <c r="BN657" s="17">
        <v>0.52</v>
      </c>
      <c r="BS657" s="10">
        <v>3.99</v>
      </c>
      <c r="BT657" s="10">
        <v>0.22</v>
      </c>
      <c r="BY657" s="10">
        <v>2.3199999999999998</v>
      </c>
      <c r="BZ657" s="10">
        <v>0.3</v>
      </c>
      <c r="CE657" s="10" t="s">
        <v>642</v>
      </c>
      <c r="CF657" t="s">
        <v>814</v>
      </c>
      <c r="CG657" t="s">
        <v>651</v>
      </c>
      <c r="CH657" t="s">
        <v>786</v>
      </c>
    </row>
    <row r="658" spans="1:86" x14ac:dyDescent="0.3">
      <c r="A658">
        <v>826</v>
      </c>
      <c r="B658" t="s">
        <v>371</v>
      </c>
      <c r="C658" t="s">
        <v>330</v>
      </c>
      <c r="D658" t="s">
        <v>795</v>
      </c>
      <c r="E658" t="s">
        <v>813</v>
      </c>
      <c r="F658" t="s">
        <v>577</v>
      </c>
      <c r="G658" t="s">
        <v>667</v>
      </c>
      <c r="I658" t="s">
        <v>770</v>
      </c>
      <c r="J658" t="s">
        <v>790</v>
      </c>
      <c r="K658">
        <v>0.4</v>
      </c>
      <c r="Z658">
        <v>0.79166666666666663</v>
      </c>
      <c r="BG658" t="s">
        <v>311</v>
      </c>
      <c r="BH658" t="s">
        <v>675</v>
      </c>
      <c r="BK658" s="10" t="s">
        <v>41</v>
      </c>
      <c r="BL658" s="17">
        <v>1.79</v>
      </c>
      <c r="BN658" s="17">
        <v>0.55000000000000004</v>
      </c>
      <c r="BS658" s="10">
        <v>3.99</v>
      </c>
      <c r="BT658" s="10">
        <v>0.22</v>
      </c>
      <c r="BY658" s="10">
        <v>2.2000000000000002</v>
      </c>
      <c r="BZ658" s="10">
        <v>0.33</v>
      </c>
      <c r="CE658" s="10" t="s">
        <v>642</v>
      </c>
      <c r="CF658" t="s">
        <v>815</v>
      </c>
      <c r="CG658" t="s">
        <v>651</v>
      </c>
      <c r="CH658" t="s">
        <v>786</v>
      </c>
    </row>
    <row r="659" spans="1:86" x14ac:dyDescent="0.3">
      <c r="A659">
        <v>827</v>
      </c>
      <c r="B659" t="s">
        <v>371</v>
      </c>
      <c r="C659" t="s">
        <v>366</v>
      </c>
      <c r="E659" t="s">
        <v>813</v>
      </c>
      <c r="F659" t="s">
        <v>577</v>
      </c>
      <c r="G659" t="s">
        <v>667</v>
      </c>
      <c r="I659" t="s">
        <v>770</v>
      </c>
      <c r="Z659">
        <v>0.22500000000000001</v>
      </c>
      <c r="BG659" t="s">
        <v>311</v>
      </c>
      <c r="BH659" t="s">
        <v>675</v>
      </c>
      <c r="BK659" s="10" t="s">
        <v>41</v>
      </c>
      <c r="BL659" s="17">
        <v>0.45</v>
      </c>
      <c r="BN659" s="17">
        <v>0.64</v>
      </c>
      <c r="BS659" s="10">
        <v>3.99</v>
      </c>
      <c r="BT659" s="10">
        <v>0.22</v>
      </c>
      <c r="BY659" s="10">
        <v>3.54</v>
      </c>
      <c r="BZ659" s="10">
        <v>0.42</v>
      </c>
      <c r="CE659" s="10" t="s">
        <v>642</v>
      </c>
      <c r="CF659" t="s">
        <v>816</v>
      </c>
      <c r="CG659" t="s">
        <v>651</v>
      </c>
      <c r="CH659" t="s">
        <v>786</v>
      </c>
    </row>
    <row r="660" spans="1:86" x14ac:dyDescent="0.3">
      <c r="A660">
        <v>828</v>
      </c>
      <c r="B660" t="s">
        <v>371</v>
      </c>
      <c r="C660" t="s">
        <v>341</v>
      </c>
      <c r="E660" t="s">
        <v>813</v>
      </c>
      <c r="F660" t="s">
        <v>577</v>
      </c>
      <c r="G660" t="s">
        <v>667</v>
      </c>
      <c r="I660" t="s">
        <v>770</v>
      </c>
      <c r="Z660">
        <v>1.125</v>
      </c>
      <c r="AA660">
        <v>7</v>
      </c>
      <c r="AB660">
        <v>3400</v>
      </c>
      <c r="BG660" t="s">
        <v>311</v>
      </c>
      <c r="BH660" t="s">
        <v>734</v>
      </c>
      <c r="BK660" s="10" t="s">
        <v>41</v>
      </c>
      <c r="BL660" s="17">
        <v>0.95</v>
      </c>
      <c r="BN660" s="17">
        <v>0.84</v>
      </c>
      <c r="BS660" s="10">
        <v>2.48</v>
      </c>
      <c r="BT660" s="10">
        <v>0.6</v>
      </c>
      <c r="BY660" s="10">
        <v>1.53</v>
      </c>
      <c r="BZ660" s="10">
        <v>0.24</v>
      </c>
      <c r="CE660" s="10" t="s">
        <v>642</v>
      </c>
      <c r="CF660" t="s">
        <v>814</v>
      </c>
      <c r="CG660" t="s">
        <v>651</v>
      </c>
      <c r="CH660" t="s">
        <v>786</v>
      </c>
    </row>
    <row r="661" spans="1:86" x14ac:dyDescent="0.3">
      <c r="A661">
        <v>829</v>
      </c>
      <c r="B661" t="s">
        <v>371</v>
      </c>
      <c r="C661" t="s">
        <v>330</v>
      </c>
      <c r="D661" t="s">
        <v>795</v>
      </c>
      <c r="E661" t="s">
        <v>813</v>
      </c>
      <c r="F661" t="s">
        <v>577</v>
      </c>
      <c r="G661" t="s">
        <v>667</v>
      </c>
      <c r="I661" t="s">
        <v>770</v>
      </c>
      <c r="J661" t="s">
        <v>790</v>
      </c>
      <c r="K661">
        <v>0.4</v>
      </c>
      <c r="Z661">
        <v>0.79166666666666663</v>
      </c>
      <c r="BG661" t="s">
        <v>311</v>
      </c>
      <c r="BH661" t="s">
        <v>734</v>
      </c>
      <c r="BK661" s="10" t="s">
        <v>41</v>
      </c>
      <c r="BL661" s="17">
        <v>1.1399999999999999</v>
      </c>
      <c r="BN661" s="17">
        <v>0.88</v>
      </c>
      <c r="BS661" s="10">
        <v>2.48</v>
      </c>
      <c r="BT661" s="10">
        <v>0.6</v>
      </c>
      <c r="BY661" s="10">
        <v>1.34</v>
      </c>
      <c r="BZ661" s="10">
        <v>0.28000000000000003</v>
      </c>
      <c r="CE661" s="10" t="s">
        <v>642</v>
      </c>
      <c r="CF661" t="s">
        <v>815</v>
      </c>
      <c r="CG661" t="s">
        <v>651</v>
      </c>
      <c r="CH661" t="s">
        <v>786</v>
      </c>
    </row>
    <row r="662" spans="1:86" x14ac:dyDescent="0.3">
      <c r="A662">
        <v>830</v>
      </c>
      <c r="B662" t="s">
        <v>371</v>
      </c>
      <c r="C662" t="s">
        <v>366</v>
      </c>
      <c r="E662" t="s">
        <v>813</v>
      </c>
      <c r="F662" t="s">
        <v>577</v>
      </c>
      <c r="G662" t="s">
        <v>667</v>
      </c>
      <c r="I662" t="s">
        <v>770</v>
      </c>
      <c r="Z662">
        <v>0.22500000000000001</v>
      </c>
      <c r="BG662" t="s">
        <v>311</v>
      </c>
      <c r="BH662" t="s">
        <v>734</v>
      </c>
      <c r="BK662" s="10" t="s">
        <v>41</v>
      </c>
      <c r="BL662" s="17">
        <v>0</v>
      </c>
      <c r="BS662" s="10">
        <v>2.48</v>
      </c>
      <c r="BT662" s="10">
        <v>0.6</v>
      </c>
      <c r="BY662" s="10">
        <v>2.5</v>
      </c>
      <c r="BZ662" s="10">
        <v>0.34</v>
      </c>
      <c r="CE662" s="10" t="s">
        <v>642</v>
      </c>
      <c r="CF662" t="s">
        <v>816</v>
      </c>
      <c r="CG662" t="s">
        <v>651</v>
      </c>
      <c r="CH662" t="s">
        <v>786</v>
      </c>
    </row>
    <row r="663" spans="1:86" x14ac:dyDescent="0.3">
      <c r="A663">
        <v>831</v>
      </c>
      <c r="B663" t="s">
        <v>371</v>
      </c>
      <c r="C663" t="s">
        <v>341</v>
      </c>
      <c r="E663" t="s">
        <v>813</v>
      </c>
      <c r="F663" t="s">
        <v>577</v>
      </c>
      <c r="G663" t="s">
        <v>667</v>
      </c>
      <c r="I663" t="s">
        <v>770</v>
      </c>
      <c r="Z663">
        <v>1.125</v>
      </c>
      <c r="AA663">
        <v>7</v>
      </c>
      <c r="AB663">
        <v>3400</v>
      </c>
      <c r="BG663" t="s">
        <v>313</v>
      </c>
      <c r="BH663" t="s">
        <v>694</v>
      </c>
      <c r="BK663" s="10" t="s">
        <v>41</v>
      </c>
      <c r="BL663" s="17">
        <v>3.52</v>
      </c>
      <c r="BN663" s="17">
        <v>0.87</v>
      </c>
      <c r="BS663" s="10">
        <v>3.13</v>
      </c>
      <c r="BT663" s="10">
        <v>0.37</v>
      </c>
      <c r="BY663" s="10">
        <v>-0.39</v>
      </c>
      <c r="BZ663" s="10">
        <v>0.5</v>
      </c>
      <c r="CE663" s="10" t="s">
        <v>642</v>
      </c>
      <c r="CF663" t="s">
        <v>814</v>
      </c>
      <c r="CG663" t="s">
        <v>651</v>
      </c>
      <c r="CH663" t="s">
        <v>786</v>
      </c>
    </row>
    <row r="664" spans="1:86" x14ac:dyDescent="0.3">
      <c r="A664">
        <v>832</v>
      </c>
      <c r="B664" t="s">
        <v>371</v>
      </c>
      <c r="C664" t="s">
        <v>330</v>
      </c>
      <c r="D664" t="s">
        <v>795</v>
      </c>
      <c r="E664" t="s">
        <v>813</v>
      </c>
      <c r="F664" t="s">
        <v>577</v>
      </c>
      <c r="G664" t="s">
        <v>667</v>
      </c>
      <c r="I664" t="s">
        <v>770</v>
      </c>
      <c r="J664" t="s">
        <v>790</v>
      </c>
      <c r="K664">
        <v>0.4</v>
      </c>
      <c r="Z664">
        <v>0.79166666666666663</v>
      </c>
      <c r="BG664" t="s">
        <v>313</v>
      </c>
      <c r="BH664" t="s">
        <v>694</v>
      </c>
      <c r="BK664" s="10" t="s">
        <v>41</v>
      </c>
      <c r="BL664" s="17">
        <v>3.87</v>
      </c>
      <c r="BR664" s="10" t="s">
        <v>842</v>
      </c>
      <c r="BS664" s="10">
        <v>3.13</v>
      </c>
      <c r="BT664" s="10">
        <v>0.37</v>
      </c>
      <c r="BY664" s="10">
        <v>-0.74</v>
      </c>
      <c r="CE664" s="10" t="s">
        <v>642</v>
      </c>
      <c r="CF664" t="s">
        <v>815</v>
      </c>
      <c r="CG664" t="s">
        <v>651</v>
      </c>
      <c r="CH664" t="s">
        <v>786</v>
      </c>
    </row>
    <row r="665" spans="1:86" x14ac:dyDescent="0.3">
      <c r="A665">
        <v>834</v>
      </c>
      <c r="B665" t="s">
        <v>371</v>
      </c>
      <c r="C665" t="s">
        <v>341</v>
      </c>
      <c r="E665" t="s">
        <v>813</v>
      </c>
      <c r="F665" t="s">
        <v>577</v>
      </c>
      <c r="G665" t="s">
        <v>667</v>
      </c>
      <c r="I665" t="s">
        <v>770</v>
      </c>
      <c r="Z665">
        <v>1.125</v>
      </c>
      <c r="AA665">
        <v>7</v>
      </c>
      <c r="AB665">
        <v>3400</v>
      </c>
      <c r="BG665" t="s">
        <v>313</v>
      </c>
      <c r="BH665" t="s">
        <v>696</v>
      </c>
      <c r="BK665" s="10" t="s">
        <v>41</v>
      </c>
      <c r="BL665" s="17">
        <v>1.58</v>
      </c>
      <c r="BN665" s="17">
        <v>1.3</v>
      </c>
      <c r="BS665" s="10">
        <v>0.7</v>
      </c>
      <c r="BT665" s="10">
        <v>0.45</v>
      </c>
      <c r="BY665" s="10">
        <v>-0.88</v>
      </c>
      <c r="BZ665" s="10">
        <v>0.85</v>
      </c>
      <c r="CE665" s="10" t="s">
        <v>642</v>
      </c>
      <c r="CF665" t="s">
        <v>814</v>
      </c>
      <c r="CG665" t="s">
        <v>651</v>
      </c>
      <c r="CH665" t="s">
        <v>786</v>
      </c>
    </row>
    <row r="666" spans="1:86" x14ac:dyDescent="0.3">
      <c r="A666">
        <v>835</v>
      </c>
      <c r="B666" t="s">
        <v>371</v>
      </c>
      <c r="C666" t="s">
        <v>330</v>
      </c>
      <c r="D666" t="s">
        <v>795</v>
      </c>
      <c r="E666" t="s">
        <v>813</v>
      </c>
      <c r="F666" t="s">
        <v>577</v>
      </c>
      <c r="G666" t="s">
        <v>667</v>
      </c>
      <c r="I666" t="s">
        <v>770</v>
      </c>
      <c r="J666" t="s">
        <v>790</v>
      </c>
      <c r="K666">
        <v>0.4</v>
      </c>
      <c r="Z666">
        <v>0.79166666666666663</v>
      </c>
      <c r="BG666" t="s">
        <v>313</v>
      </c>
      <c r="BH666" t="s">
        <v>696</v>
      </c>
      <c r="BK666" s="10" t="s">
        <v>41</v>
      </c>
      <c r="BL666" s="17">
        <v>1.44</v>
      </c>
      <c r="BR666" s="10" t="s">
        <v>842</v>
      </c>
      <c r="BS666" s="10">
        <v>0.7</v>
      </c>
      <c r="BT666" s="10">
        <v>0.45</v>
      </c>
      <c r="BY666" s="10">
        <v>-0.74</v>
      </c>
      <c r="CE666" s="10" t="s">
        <v>642</v>
      </c>
      <c r="CF666" t="s">
        <v>815</v>
      </c>
      <c r="CG666" t="s">
        <v>651</v>
      </c>
      <c r="CH666" t="s">
        <v>786</v>
      </c>
    </row>
    <row r="667" spans="1:86" x14ac:dyDescent="0.3">
      <c r="A667">
        <v>837</v>
      </c>
      <c r="B667" t="s">
        <v>371</v>
      </c>
      <c r="C667" t="s">
        <v>341</v>
      </c>
      <c r="E667" t="s">
        <v>813</v>
      </c>
      <c r="F667" t="s">
        <v>577</v>
      </c>
      <c r="G667" t="s">
        <v>667</v>
      </c>
      <c r="I667" t="s">
        <v>770</v>
      </c>
      <c r="Z667">
        <v>1.125</v>
      </c>
      <c r="AA667">
        <v>7</v>
      </c>
      <c r="AB667">
        <v>3400</v>
      </c>
      <c r="BG667" t="s">
        <v>312</v>
      </c>
      <c r="BH667" t="s">
        <v>314</v>
      </c>
      <c r="BK667" s="10" t="s">
        <v>41</v>
      </c>
      <c r="BL667" s="17">
        <v>3.23</v>
      </c>
      <c r="BM667" s="52">
        <v>18</v>
      </c>
      <c r="BN667" s="17">
        <v>0.76</v>
      </c>
      <c r="CE667" s="10" t="s">
        <v>647</v>
      </c>
      <c r="CF667" t="s">
        <v>814</v>
      </c>
      <c r="CG667" t="s">
        <v>651</v>
      </c>
      <c r="CH667" t="s">
        <v>786</v>
      </c>
    </row>
    <row r="668" spans="1:86" x14ac:dyDescent="0.3">
      <c r="A668">
        <v>838</v>
      </c>
      <c r="B668" t="s">
        <v>371</v>
      </c>
      <c r="C668" t="s">
        <v>330</v>
      </c>
      <c r="D668" t="s">
        <v>795</v>
      </c>
      <c r="E668" t="s">
        <v>813</v>
      </c>
      <c r="F668" t="s">
        <v>577</v>
      </c>
      <c r="G668" t="s">
        <v>667</v>
      </c>
      <c r="I668" t="s">
        <v>770</v>
      </c>
      <c r="J668" t="s">
        <v>790</v>
      </c>
      <c r="K668">
        <v>0.4</v>
      </c>
      <c r="Z668">
        <v>0.79166666666666663</v>
      </c>
      <c r="BG668" t="s">
        <v>312</v>
      </c>
      <c r="BH668" t="s">
        <v>314</v>
      </c>
      <c r="BK668" s="10" t="s">
        <v>41</v>
      </c>
      <c r="BL668" s="17">
        <v>4.97</v>
      </c>
      <c r="BM668" s="52">
        <v>13</v>
      </c>
      <c r="BN668" s="17">
        <v>0.89</v>
      </c>
      <c r="CE668" s="10" t="s">
        <v>647</v>
      </c>
      <c r="CF668" t="s">
        <v>815</v>
      </c>
      <c r="CG668" t="s">
        <v>651</v>
      </c>
      <c r="CH668" t="s">
        <v>786</v>
      </c>
    </row>
    <row r="669" spans="1:86" x14ac:dyDescent="0.3">
      <c r="A669">
        <v>839</v>
      </c>
      <c r="B669" t="s">
        <v>371</v>
      </c>
      <c r="C669" t="s">
        <v>366</v>
      </c>
      <c r="E669" t="s">
        <v>813</v>
      </c>
      <c r="F669" t="s">
        <v>577</v>
      </c>
      <c r="G669" t="s">
        <v>667</v>
      </c>
      <c r="I669" t="s">
        <v>770</v>
      </c>
      <c r="Z669">
        <v>0.22500000000000001</v>
      </c>
      <c r="BG669" t="s">
        <v>312</v>
      </c>
      <c r="BH669" t="s">
        <v>314</v>
      </c>
      <c r="BK669" s="10" t="s">
        <v>41</v>
      </c>
      <c r="BL669" s="17">
        <v>1.94</v>
      </c>
      <c r="BM669" s="52">
        <v>4</v>
      </c>
      <c r="BN669" s="17">
        <v>0.78</v>
      </c>
      <c r="CE669" s="10" t="s">
        <v>647</v>
      </c>
      <c r="CF669" t="s">
        <v>816</v>
      </c>
      <c r="CG669" t="s">
        <v>651</v>
      </c>
      <c r="CH669" t="s">
        <v>786</v>
      </c>
    </row>
    <row r="670" spans="1:86" x14ac:dyDescent="0.3">
      <c r="A670">
        <v>840</v>
      </c>
      <c r="B670" t="s">
        <v>371</v>
      </c>
      <c r="C670" t="s">
        <v>341</v>
      </c>
      <c r="E670" t="s">
        <v>813</v>
      </c>
      <c r="F670" t="s">
        <v>577</v>
      </c>
      <c r="G670" t="s">
        <v>667</v>
      </c>
      <c r="I670" t="s">
        <v>770</v>
      </c>
      <c r="Z670">
        <v>1.125</v>
      </c>
      <c r="AA670">
        <v>7</v>
      </c>
      <c r="AB670">
        <v>3400</v>
      </c>
      <c r="BG670" t="s">
        <v>312</v>
      </c>
      <c r="BH670" t="s">
        <v>779</v>
      </c>
      <c r="BK670" s="10" t="s">
        <v>41</v>
      </c>
      <c r="BL670" s="17">
        <v>3.17</v>
      </c>
      <c r="BM670" s="52">
        <v>18</v>
      </c>
      <c r="BN670" s="17">
        <v>0.9</v>
      </c>
      <c r="CE670" s="10" t="s">
        <v>647</v>
      </c>
      <c r="CF670" t="s">
        <v>814</v>
      </c>
      <c r="CG670" t="s">
        <v>651</v>
      </c>
      <c r="CH670" t="s">
        <v>786</v>
      </c>
    </row>
    <row r="671" spans="1:86" x14ac:dyDescent="0.3">
      <c r="A671">
        <v>841</v>
      </c>
      <c r="B671" t="s">
        <v>371</v>
      </c>
      <c r="C671" t="s">
        <v>330</v>
      </c>
      <c r="D671" t="s">
        <v>795</v>
      </c>
      <c r="E671" t="s">
        <v>813</v>
      </c>
      <c r="F671" t="s">
        <v>577</v>
      </c>
      <c r="G671" t="s">
        <v>667</v>
      </c>
      <c r="I671" t="s">
        <v>770</v>
      </c>
      <c r="J671" t="s">
        <v>790</v>
      </c>
      <c r="K671">
        <v>0.4</v>
      </c>
      <c r="Z671">
        <v>0.79166666666666663</v>
      </c>
      <c r="BG671" t="s">
        <v>312</v>
      </c>
      <c r="BH671" t="s">
        <v>779</v>
      </c>
      <c r="BK671" s="10" t="s">
        <v>41</v>
      </c>
      <c r="BL671" s="17">
        <v>4.5199999999999996</v>
      </c>
      <c r="BM671" s="52">
        <v>13</v>
      </c>
      <c r="BN671" s="17">
        <v>1.1200000000000001</v>
      </c>
      <c r="CE671" s="10" t="s">
        <v>647</v>
      </c>
      <c r="CF671" t="s">
        <v>815</v>
      </c>
      <c r="CG671" t="s">
        <v>651</v>
      </c>
      <c r="CH671" t="s">
        <v>786</v>
      </c>
    </row>
    <row r="672" spans="1:86" x14ac:dyDescent="0.3">
      <c r="A672">
        <v>842</v>
      </c>
      <c r="B672" t="s">
        <v>371</v>
      </c>
      <c r="C672" t="s">
        <v>366</v>
      </c>
      <c r="E672" t="s">
        <v>813</v>
      </c>
      <c r="F672" t="s">
        <v>577</v>
      </c>
      <c r="G672" t="s">
        <v>667</v>
      </c>
      <c r="I672" t="s">
        <v>770</v>
      </c>
      <c r="Z672">
        <v>0.22500000000000001</v>
      </c>
      <c r="BG672" t="s">
        <v>312</v>
      </c>
      <c r="BH672" t="s">
        <v>779</v>
      </c>
      <c r="BK672" s="10" t="s">
        <v>41</v>
      </c>
      <c r="BL672" s="17">
        <v>1.75</v>
      </c>
      <c r="BM672" s="52">
        <v>4</v>
      </c>
      <c r="BN672" s="17">
        <v>0.81</v>
      </c>
      <c r="CE672" s="10" t="s">
        <v>647</v>
      </c>
      <c r="CF672" t="s">
        <v>816</v>
      </c>
      <c r="CG672" t="s">
        <v>651</v>
      </c>
      <c r="CH672" t="s">
        <v>786</v>
      </c>
    </row>
    <row r="673" spans="1:86" x14ac:dyDescent="0.3">
      <c r="A673">
        <v>843</v>
      </c>
      <c r="B673" t="s">
        <v>371</v>
      </c>
      <c r="C673" t="s">
        <v>341</v>
      </c>
      <c r="E673" t="s">
        <v>813</v>
      </c>
      <c r="F673" t="s">
        <v>577</v>
      </c>
      <c r="G673" t="s">
        <v>667</v>
      </c>
      <c r="I673" t="s">
        <v>770</v>
      </c>
      <c r="Z673">
        <v>1.125</v>
      </c>
      <c r="AA673">
        <v>7</v>
      </c>
      <c r="AB673">
        <v>3400</v>
      </c>
      <c r="BG673" t="s">
        <v>313</v>
      </c>
      <c r="BH673" t="s">
        <v>623</v>
      </c>
      <c r="BK673" s="10" t="s">
        <v>41</v>
      </c>
      <c r="BL673" s="17">
        <v>2.38</v>
      </c>
      <c r="BM673" s="52">
        <v>18</v>
      </c>
      <c r="BN673" s="17">
        <v>0.56999999999999995</v>
      </c>
      <c r="CE673" s="10" t="s">
        <v>647</v>
      </c>
      <c r="CF673" t="s">
        <v>814</v>
      </c>
      <c r="CG673" t="s">
        <v>651</v>
      </c>
      <c r="CH673" t="s">
        <v>786</v>
      </c>
    </row>
    <row r="674" spans="1:86" x14ac:dyDescent="0.3">
      <c r="A674">
        <v>844</v>
      </c>
      <c r="B674" t="s">
        <v>371</v>
      </c>
      <c r="C674" t="s">
        <v>330</v>
      </c>
      <c r="D674" t="s">
        <v>795</v>
      </c>
      <c r="E674" t="s">
        <v>813</v>
      </c>
      <c r="F674" t="s">
        <v>577</v>
      </c>
      <c r="G674" t="s">
        <v>667</v>
      </c>
      <c r="I674" t="s">
        <v>770</v>
      </c>
      <c r="J674" t="s">
        <v>790</v>
      </c>
      <c r="K674">
        <v>0.4</v>
      </c>
      <c r="Z674">
        <v>0.79166666666666663</v>
      </c>
      <c r="BG674" t="s">
        <v>313</v>
      </c>
      <c r="BH674" t="s">
        <v>623</v>
      </c>
      <c r="BK674" s="10" t="s">
        <v>41</v>
      </c>
      <c r="BL674" s="17">
        <v>3.04</v>
      </c>
      <c r="BM674" s="52">
        <v>13</v>
      </c>
      <c r="BN674" s="17">
        <v>0.41</v>
      </c>
      <c r="CE674" s="10" t="s">
        <v>647</v>
      </c>
      <c r="CF674" t="s">
        <v>815</v>
      </c>
      <c r="CG674" t="s">
        <v>651</v>
      </c>
      <c r="CH674" t="s">
        <v>786</v>
      </c>
    </row>
    <row r="675" spans="1:86" x14ac:dyDescent="0.3">
      <c r="A675">
        <v>845</v>
      </c>
      <c r="B675" t="s">
        <v>371</v>
      </c>
      <c r="C675" t="s">
        <v>366</v>
      </c>
      <c r="E675" t="s">
        <v>813</v>
      </c>
      <c r="F675" t="s">
        <v>577</v>
      </c>
      <c r="G675" t="s">
        <v>667</v>
      </c>
      <c r="I675" t="s">
        <v>770</v>
      </c>
      <c r="Z675">
        <v>0.22500000000000001</v>
      </c>
      <c r="BG675" t="s">
        <v>313</v>
      </c>
      <c r="BH675" t="s">
        <v>623</v>
      </c>
      <c r="BK675" s="10" t="s">
        <v>41</v>
      </c>
      <c r="BL675" s="17">
        <v>0.66</v>
      </c>
      <c r="BM675" s="52">
        <v>4</v>
      </c>
      <c r="BN675" s="17">
        <v>0.22</v>
      </c>
      <c r="CE675" s="10" t="s">
        <v>647</v>
      </c>
      <c r="CF675" t="s">
        <v>816</v>
      </c>
      <c r="CG675" t="s">
        <v>651</v>
      </c>
      <c r="CH675" t="s">
        <v>786</v>
      </c>
    </row>
    <row r="676" spans="1:86" x14ac:dyDescent="0.3">
      <c r="A676">
        <v>846</v>
      </c>
      <c r="B676" t="s">
        <v>371</v>
      </c>
      <c r="C676" t="s">
        <v>341</v>
      </c>
      <c r="E676" t="s">
        <v>813</v>
      </c>
      <c r="F676" t="s">
        <v>577</v>
      </c>
      <c r="G676" t="s">
        <v>667</v>
      </c>
      <c r="I676" t="s">
        <v>770</v>
      </c>
      <c r="Z676">
        <v>1.125</v>
      </c>
      <c r="AA676">
        <v>7</v>
      </c>
      <c r="AB676">
        <v>3400</v>
      </c>
      <c r="BG676" t="s">
        <v>311</v>
      </c>
      <c r="BH676" t="s">
        <v>631</v>
      </c>
      <c r="BK676" s="10" t="s">
        <v>41</v>
      </c>
      <c r="BL676" s="17">
        <v>2.3199999999999998</v>
      </c>
      <c r="BM676" s="52">
        <v>18</v>
      </c>
      <c r="BN676" s="17">
        <v>0.62</v>
      </c>
      <c r="CE676" s="10" t="s">
        <v>647</v>
      </c>
      <c r="CF676" t="s">
        <v>814</v>
      </c>
      <c r="CG676" t="s">
        <v>651</v>
      </c>
      <c r="CH676" t="s">
        <v>786</v>
      </c>
    </row>
    <row r="677" spans="1:86" x14ac:dyDescent="0.3">
      <c r="A677">
        <v>847</v>
      </c>
      <c r="B677" t="s">
        <v>371</v>
      </c>
      <c r="C677" t="s">
        <v>330</v>
      </c>
      <c r="D677" t="s">
        <v>795</v>
      </c>
      <c r="E677" t="s">
        <v>813</v>
      </c>
      <c r="F677" t="s">
        <v>577</v>
      </c>
      <c r="G677" t="s">
        <v>667</v>
      </c>
      <c r="I677" t="s">
        <v>770</v>
      </c>
      <c r="J677" t="s">
        <v>790</v>
      </c>
      <c r="K677">
        <v>0.4</v>
      </c>
      <c r="Z677">
        <v>0.79166666666666663</v>
      </c>
      <c r="BG677" t="s">
        <v>311</v>
      </c>
      <c r="BH677" t="s">
        <v>631</v>
      </c>
      <c r="BK677" s="10" t="s">
        <v>41</v>
      </c>
      <c r="BL677" s="17">
        <v>3.08</v>
      </c>
      <c r="BM677" s="52">
        <v>13</v>
      </c>
      <c r="BN677" s="17">
        <v>0.7</v>
      </c>
      <c r="CE677" s="10" t="s">
        <v>647</v>
      </c>
      <c r="CF677" t="s">
        <v>815</v>
      </c>
      <c r="CG677" t="s">
        <v>651</v>
      </c>
      <c r="CH677" t="s">
        <v>786</v>
      </c>
    </row>
    <row r="678" spans="1:86" x14ac:dyDescent="0.3">
      <c r="A678">
        <v>848</v>
      </c>
      <c r="B678" t="s">
        <v>371</v>
      </c>
      <c r="C678" t="s">
        <v>366</v>
      </c>
      <c r="E678" t="s">
        <v>813</v>
      </c>
      <c r="F678" t="s">
        <v>577</v>
      </c>
      <c r="G678" t="s">
        <v>667</v>
      </c>
      <c r="I678" t="s">
        <v>770</v>
      </c>
      <c r="Z678">
        <v>0.22500000000000001</v>
      </c>
      <c r="BG678" t="s">
        <v>311</v>
      </c>
      <c r="BH678" t="s">
        <v>631</v>
      </c>
      <c r="BK678" s="10" t="s">
        <v>41</v>
      </c>
      <c r="BL678" s="17">
        <v>0.76</v>
      </c>
      <c r="BM678" s="52">
        <v>4</v>
      </c>
      <c r="BN678" s="17">
        <v>0.66</v>
      </c>
      <c r="CE678" s="10" t="s">
        <v>647</v>
      </c>
      <c r="CF678" t="s">
        <v>816</v>
      </c>
      <c r="CG678" t="s">
        <v>651</v>
      </c>
      <c r="CH678" t="s">
        <v>786</v>
      </c>
    </row>
    <row r="679" spans="1:86" x14ac:dyDescent="0.3">
      <c r="A679">
        <v>849</v>
      </c>
      <c r="B679" t="s">
        <v>371</v>
      </c>
      <c r="C679" t="s">
        <v>341</v>
      </c>
      <c r="E679" t="s">
        <v>813</v>
      </c>
      <c r="F679" t="s">
        <v>577</v>
      </c>
      <c r="G679" t="s">
        <v>667</v>
      </c>
      <c r="I679" t="s">
        <v>770</v>
      </c>
      <c r="Z679">
        <v>1.125</v>
      </c>
      <c r="AA679">
        <v>7</v>
      </c>
      <c r="AB679">
        <v>3400</v>
      </c>
      <c r="BG679" t="s">
        <v>311</v>
      </c>
      <c r="BH679" t="s">
        <v>780</v>
      </c>
      <c r="BK679" s="10" t="s">
        <v>41</v>
      </c>
      <c r="BL679" s="17">
        <v>3.47</v>
      </c>
      <c r="BM679" s="52">
        <v>13</v>
      </c>
      <c r="BN679" s="17">
        <v>0.84</v>
      </c>
      <c r="CE679" s="10" t="s">
        <v>647</v>
      </c>
      <c r="CF679" t="s">
        <v>814</v>
      </c>
      <c r="CG679" t="s">
        <v>651</v>
      </c>
      <c r="CH679" t="s">
        <v>786</v>
      </c>
    </row>
    <row r="680" spans="1:86" x14ac:dyDescent="0.3">
      <c r="A680">
        <v>850</v>
      </c>
      <c r="B680" t="s">
        <v>371</v>
      </c>
      <c r="C680" t="s">
        <v>330</v>
      </c>
      <c r="D680" t="s">
        <v>795</v>
      </c>
      <c r="E680" t="s">
        <v>813</v>
      </c>
      <c r="F680" t="s">
        <v>577</v>
      </c>
      <c r="G680" t="s">
        <v>667</v>
      </c>
      <c r="I680" t="s">
        <v>770</v>
      </c>
      <c r="J680" t="s">
        <v>790</v>
      </c>
      <c r="K680">
        <v>0.4</v>
      </c>
      <c r="Z680">
        <v>0.79166666666666663</v>
      </c>
      <c r="BG680" t="s">
        <v>311</v>
      </c>
      <c r="BH680" t="s">
        <v>780</v>
      </c>
      <c r="BK680" s="10" t="s">
        <v>41</v>
      </c>
      <c r="BL680" s="17">
        <v>3.78</v>
      </c>
      <c r="BM680" s="52">
        <v>9</v>
      </c>
      <c r="BN680" s="17">
        <v>0.85</v>
      </c>
      <c r="CE680" s="10" t="s">
        <v>647</v>
      </c>
      <c r="CF680" t="s">
        <v>815</v>
      </c>
      <c r="CG680" t="s">
        <v>651</v>
      </c>
      <c r="CH680" t="s">
        <v>786</v>
      </c>
    </row>
    <row r="681" spans="1:86" x14ac:dyDescent="0.3">
      <c r="A681">
        <v>851</v>
      </c>
      <c r="B681" t="s">
        <v>371</v>
      </c>
      <c r="C681" t="s">
        <v>366</v>
      </c>
      <c r="E681" t="s">
        <v>813</v>
      </c>
      <c r="F681" t="s">
        <v>577</v>
      </c>
      <c r="G681" t="s">
        <v>667</v>
      </c>
      <c r="I681" t="s">
        <v>770</v>
      </c>
      <c r="Z681">
        <v>0.22500000000000001</v>
      </c>
      <c r="BG681" t="s">
        <v>311</v>
      </c>
      <c r="BH681" t="s">
        <v>780</v>
      </c>
      <c r="BK681" s="10" t="s">
        <v>41</v>
      </c>
      <c r="BL681" s="17">
        <v>2.38</v>
      </c>
      <c r="BM681" s="52">
        <v>3</v>
      </c>
      <c r="BN681" s="17">
        <v>0.15</v>
      </c>
      <c r="CE681" s="10" t="s">
        <v>647</v>
      </c>
      <c r="CF681" t="s">
        <v>816</v>
      </c>
      <c r="CG681" t="s">
        <v>651</v>
      </c>
      <c r="CH681" t="s">
        <v>786</v>
      </c>
    </row>
    <row r="682" spans="1:86" x14ac:dyDescent="0.3">
      <c r="A682">
        <v>852</v>
      </c>
      <c r="B682" t="s">
        <v>372</v>
      </c>
      <c r="C682" t="s">
        <v>341</v>
      </c>
      <c r="D682" t="s">
        <v>817</v>
      </c>
      <c r="E682" t="s">
        <v>818</v>
      </c>
      <c r="F682" t="s">
        <v>577</v>
      </c>
      <c r="G682" t="s">
        <v>667</v>
      </c>
      <c r="I682" t="s">
        <v>770</v>
      </c>
      <c r="Z682">
        <v>0.5</v>
      </c>
      <c r="BG682" t="s">
        <v>313</v>
      </c>
      <c r="BH682" t="s">
        <v>694</v>
      </c>
      <c r="BK682" s="10" t="s">
        <v>41</v>
      </c>
      <c r="BL682" s="17">
        <v>2.61</v>
      </c>
      <c r="BM682" s="52">
        <v>15</v>
      </c>
      <c r="BN682" s="17">
        <v>0.57999999999999996</v>
      </c>
      <c r="BP682" s="10">
        <v>1.64</v>
      </c>
      <c r="BQ682" s="10">
        <v>3.58</v>
      </c>
      <c r="CE682" s="10" t="s">
        <v>635</v>
      </c>
      <c r="CG682" t="s">
        <v>651</v>
      </c>
      <c r="CH682" t="s">
        <v>786</v>
      </c>
    </row>
    <row r="683" spans="1:86" x14ac:dyDescent="0.3">
      <c r="A683">
        <v>853</v>
      </c>
      <c r="B683" t="s">
        <v>372</v>
      </c>
      <c r="C683" t="s">
        <v>341</v>
      </c>
      <c r="D683" t="s">
        <v>817</v>
      </c>
      <c r="E683" t="s">
        <v>818</v>
      </c>
      <c r="F683" t="s">
        <v>577</v>
      </c>
      <c r="G683" t="s">
        <v>667</v>
      </c>
      <c r="I683" t="s">
        <v>770</v>
      </c>
      <c r="Z683">
        <v>0.5</v>
      </c>
      <c r="BG683" t="s">
        <v>312</v>
      </c>
      <c r="BH683" t="s">
        <v>314</v>
      </c>
      <c r="BK683" s="10" t="s">
        <v>41</v>
      </c>
      <c r="BL683" s="17">
        <v>2.37</v>
      </c>
      <c r="BM683" s="52">
        <v>17</v>
      </c>
      <c r="BN683" s="17">
        <v>0.6</v>
      </c>
      <c r="BP683" s="10">
        <v>1.23</v>
      </c>
      <c r="BQ683" s="10">
        <v>3.52</v>
      </c>
      <c r="CE683" s="10" t="s">
        <v>635</v>
      </c>
      <c r="CG683" t="s">
        <v>651</v>
      </c>
      <c r="CH683" t="s">
        <v>786</v>
      </c>
    </row>
    <row r="684" spans="1:86" x14ac:dyDescent="0.3">
      <c r="A684">
        <v>854</v>
      </c>
      <c r="B684" t="s">
        <v>372</v>
      </c>
      <c r="C684" t="s">
        <v>341</v>
      </c>
      <c r="D684" t="s">
        <v>817</v>
      </c>
      <c r="E684" t="s">
        <v>818</v>
      </c>
      <c r="F684" t="s">
        <v>577</v>
      </c>
      <c r="G684" t="s">
        <v>667</v>
      </c>
      <c r="I684" t="s">
        <v>770</v>
      </c>
      <c r="Z684">
        <v>0.5</v>
      </c>
      <c r="BG684" t="s">
        <v>312</v>
      </c>
      <c r="BH684" t="s">
        <v>779</v>
      </c>
      <c r="BK684" s="10" t="s">
        <v>41</v>
      </c>
      <c r="BL684" s="17">
        <v>2.08</v>
      </c>
      <c r="BM684" s="52">
        <v>15</v>
      </c>
      <c r="BN684" s="17">
        <v>0.54</v>
      </c>
      <c r="BP684" s="10">
        <v>0.93</v>
      </c>
      <c r="BQ684" s="10">
        <v>2.83</v>
      </c>
      <c r="CE684" s="10" t="s">
        <v>635</v>
      </c>
      <c r="CG684" t="s">
        <v>651</v>
      </c>
      <c r="CH684" t="s">
        <v>786</v>
      </c>
    </row>
    <row r="685" spans="1:86" x14ac:dyDescent="0.3">
      <c r="A685">
        <v>855</v>
      </c>
      <c r="B685" t="s">
        <v>372</v>
      </c>
      <c r="C685" t="s">
        <v>341</v>
      </c>
      <c r="D685" t="s">
        <v>817</v>
      </c>
      <c r="E685" t="s">
        <v>818</v>
      </c>
      <c r="F685" t="s">
        <v>577</v>
      </c>
      <c r="G685" t="s">
        <v>667</v>
      </c>
      <c r="I685" t="s">
        <v>770</v>
      </c>
      <c r="Z685">
        <v>0.5</v>
      </c>
      <c r="BG685" t="s">
        <v>311</v>
      </c>
      <c r="BH685" t="s">
        <v>780</v>
      </c>
      <c r="BK685" s="10" t="s">
        <v>41</v>
      </c>
      <c r="BL685" s="17">
        <v>1.73</v>
      </c>
      <c r="BM685" s="52">
        <v>11</v>
      </c>
      <c r="BN685" s="17">
        <v>0.59</v>
      </c>
      <c r="BP685" s="10">
        <v>0.74</v>
      </c>
      <c r="BQ685" s="10">
        <v>2.63</v>
      </c>
      <c r="CE685" s="10" t="s">
        <v>635</v>
      </c>
      <c r="CG685" t="s">
        <v>651</v>
      </c>
      <c r="CH685" t="s">
        <v>786</v>
      </c>
    </row>
    <row r="686" spans="1:86" x14ac:dyDescent="0.3">
      <c r="A686">
        <v>856</v>
      </c>
      <c r="B686" t="s">
        <v>372</v>
      </c>
      <c r="C686" t="s">
        <v>341</v>
      </c>
      <c r="D686" t="s">
        <v>817</v>
      </c>
      <c r="E686" t="s">
        <v>818</v>
      </c>
      <c r="F686" t="s">
        <v>577</v>
      </c>
      <c r="G686" t="s">
        <v>667</v>
      </c>
      <c r="I686" t="s">
        <v>770</v>
      </c>
      <c r="Z686">
        <v>0.5</v>
      </c>
      <c r="BG686" t="s">
        <v>313</v>
      </c>
      <c r="BH686" t="s">
        <v>623</v>
      </c>
      <c r="BK686" s="10" t="s">
        <v>41</v>
      </c>
      <c r="BL686" s="17">
        <v>1.52</v>
      </c>
      <c r="BM686" s="52">
        <v>17</v>
      </c>
      <c r="BN686" s="17">
        <v>0.44</v>
      </c>
      <c r="BP686" s="10">
        <v>0.62</v>
      </c>
      <c r="BQ686" s="10">
        <v>2.33</v>
      </c>
      <c r="CE686" s="10" t="s">
        <v>635</v>
      </c>
      <c r="CG686" t="s">
        <v>651</v>
      </c>
      <c r="CH686" t="s">
        <v>786</v>
      </c>
    </row>
    <row r="687" spans="1:86" x14ac:dyDescent="0.3">
      <c r="A687">
        <v>857</v>
      </c>
      <c r="B687" t="s">
        <v>372</v>
      </c>
      <c r="C687" t="s">
        <v>341</v>
      </c>
      <c r="D687" t="s">
        <v>817</v>
      </c>
      <c r="E687" t="s">
        <v>818</v>
      </c>
      <c r="F687" t="s">
        <v>577</v>
      </c>
      <c r="G687" t="s">
        <v>667</v>
      </c>
      <c r="I687" t="s">
        <v>770</v>
      </c>
      <c r="Z687">
        <v>0.5</v>
      </c>
      <c r="BG687" t="s">
        <v>311</v>
      </c>
      <c r="BH687" t="s">
        <v>675</v>
      </c>
      <c r="BK687" s="10" t="s">
        <v>41</v>
      </c>
      <c r="BL687" s="17">
        <v>1.28</v>
      </c>
      <c r="BM687" s="52">
        <v>17</v>
      </c>
      <c r="BN687" s="17">
        <v>0.72</v>
      </c>
      <c r="BP687" s="10">
        <v>0</v>
      </c>
      <c r="BQ687" s="10">
        <v>2.94</v>
      </c>
      <c r="CE687" s="10" t="s">
        <v>635</v>
      </c>
      <c r="CG687" t="s">
        <v>651</v>
      </c>
      <c r="CH687" t="s">
        <v>786</v>
      </c>
    </row>
    <row r="688" spans="1:86" x14ac:dyDescent="0.3">
      <c r="A688">
        <v>858</v>
      </c>
      <c r="B688" t="s">
        <v>372</v>
      </c>
      <c r="C688" t="s">
        <v>341</v>
      </c>
      <c r="D688" t="s">
        <v>817</v>
      </c>
      <c r="E688" t="s">
        <v>818</v>
      </c>
      <c r="F688" t="s">
        <v>577</v>
      </c>
      <c r="G688" t="s">
        <v>667</v>
      </c>
      <c r="I688" t="s">
        <v>770</v>
      </c>
      <c r="Z688">
        <v>0.5</v>
      </c>
      <c r="BG688" t="s">
        <v>313</v>
      </c>
      <c r="BH688" t="s">
        <v>696</v>
      </c>
      <c r="BK688" s="10" t="s">
        <v>41</v>
      </c>
      <c r="BL688" s="17">
        <v>1.18</v>
      </c>
      <c r="BM688" s="52">
        <v>5</v>
      </c>
      <c r="BN688" s="17">
        <v>0.32</v>
      </c>
      <c r="BP688" s="10">
        <v>0.85</v>
      </c>
      <c r="BQ688" s="10">
        <v>1.52</v>
      </c>
      <c r="CE688" s="10" t="s">
        <v>635</v>
      </c>
      <c r="CG688" t="s">
        <v>651</v>
      </c>
      <c r="CH688" t="s">
        <v>786</v>
      </c>
    </row>
    <row r="689" spans="1:86" x14ac:dyDescent="0.3">
      <c r="A689">
        <v>859</v>
      </c>
      <c r="B689" t="s">
        <v>372</v>
      </c>
      <c r="C689" t="s">
        <v>341</v>
      </c>
      <c r="D689" t="s">
        <v>817</v>
      </c>
      <c r="E689" t="s">
        <v>818</v>
      </c>
      <c r="F689" t="s">
        <v>577</v>
      </c>
      <c r="G689" t="s">
        <v>667</v>
      </c>
      <c r="I689" t="s">
        <v>770</v>
      </c>
      <c r="Z689">
        <v>0.5</v>
      </c>
      <c r="BG689" t="s">
        <v>311</v>
      </c>
      <c r="BH689" t="s">
        <v>631</v>
      </c>
      <c r="BK689" s="10" t="s">
        <v>41</v>
      </c>
      <c r="BL689" s="17">
        <v>1.04</v>
      </c>
      <c r="BM689" s="52">
        <v>17</v>
      </c>
      <c r="BN689" s="17">
        <v>0.32</v>
      </c>
      <c r="BP689" s="10">
        <v>0.61</v>
      </c>
      <c r="BQ689" s="10">
        <v>1.86</v>
      </c>
      <c r="CE689" s="10" t="s">
        <v>635</v>
      </c>
      <c r="CG689" t="s">
        <v>651</v>
      </c>
      <c r="CH689" t="s">
        <v>786</v>
      </c>
    </row>
    <row r="690" spans="1:86" x14ac:dyDescent="0.3">
      <c r="A690">
        <v>860</v>
      </c>
      <c r="B690" t="s">
        <v>372</v>
      </c>
      <c r="C690" t="s">
        <v>341</v>
      </c>
      <c r="D690" t="s">
        <v>817</v>
      </c>
      <c r="E690" t="s">
        <v>818</v>
      </c>
      <c r="F690" t="s">
        <v>577</v>
      </c>
      <c r="G690" t="s">
        <v>667</v>
      </c>
      <c r="I690" t="s">
        <v>770</v>
      </c>
      <c r="Z690">
        <v>0.5</v>
      </c>
      <c r="BG690" t="s">
        <v>311</v>
      </c>
      <c r="BH690" t="s">
        <v>734</v>
      </c>
      <c r="BK690" s="10" t="s">
        <v>41</v>
      </c>
      <c r="BL690" s="17">
        <v>0.89</v>
      </c>
      <c r="BM690" s="52">
        <v>7</v>
      </c>
      <c r="BN690" s="17">
        <v>0.26</v>
      </c>
      <c r="BP690" s="10">
        <v>0.39</v>
      </c>
      <c r="BQ690" s="10">
        <v>1.3</v>
      </c>
      <c r="CE690" s="10" t="s">
        <v>635</v>
      </c>
      <c r="CG690" t="s">
        <v>651</v>
      </c>
      <c r="CH690" t="s">
        <v>786</v>
      </c>
    </row>
    <row r="691" spans="1:86" x14ac:dyDescent="0.3">
      <c r="A691">
        <v>861</v>
      </c>
      <c r="B691" t="s">
        <v>372</v>
      </c>
      <c r="C691" t="s">
        <v>341</v>
      </c>
      <c r="D691" t="s">
        <v>819</v>
      </c>
      <c r="E691" t="s">
        <v>818</v>
      </c>
      <c r="F691" t="s">
        <v>577</v>
      </c>
      <c r="G691" t="s">
        <v>667</v>
      </c>
      <c r="I691" t="s">
        <v>770</v>
      </c>
      <c r="Z691">
        <v>0.5</v>
      </c>
      <c r="BG691" t="s">
        <v>312</v>
      </c>
      <c r="BH691" t="s">
        <v>314</v>
      </c>
      <c r="BI691" s="10" t="s">
        <v>568</v>
      </c>
      <c r="BK691" s="10" t="s">
        <v>41</v>
      </c>
      <c r="BL691" s="17">
        <v>2.38</v>
      </c>
      <c r="BM691" s="52">
        <v>4</v>
      </c>
      <c r="BN691" s="17">
        <v>0.39</v>
      </c>
      <c r="CE691" s="10" t="s">
        <v>647</v>
      </c>
      <c r="CF691" t="s">
        <v>820</v>
      </c>
      <c r="CG691" t="s">
        <v>651</v>
      </c>
      <c r="CH691" t="s">
        <v>786</v>
      </c>
    </row>
    <row r="692" spans="1:86" x14ac:dyDescent="0.3">
      <c r="A692">
        <v>862</v>
      </c>
      <c r="B692" t="s">
        <v>372</v>
      </c>
      <c r="C692" t="s">
        <v>341</v>
      </c>
      <c r="D692" t="s">
        <v>821</v>
      </c>
      <c r="E692" t="s">
        <v>818</v>
      </c>
      <c r="F692" t="s">
        <v>577</v>
      </c>
      <c r="G692" t="s">
        <v>667</v>
      </c>
      <c r="I692" t="s">
        <v>770</v>
      </c>
      <c r="Z692">
        <v>0.5</v>
      </c>
      <c r="BG692" t="s">
        <v>312</v>
      </c>
      <c r="BH692" t="s">
        <v>314</v>
      </c>
      <c r="BI692" s="10" t="s">
        <v>568</v>
      </c>
      <c r="BK692" s="10" t="s">
        <v>41</v>
      </c>
      <c r="BL692" s="17">
        <v>2.84</v>
      </c>
      <c r="BM692" s="52">
        <v>4</v>
      </c>
      <c r="BN692" s="17">
        <v>0.35</v>
      </c>
      <c r="CE692" s="10" t="s">
        <v>647</v>
      </c>
      <c r="CF692" t="s">
        <v>822</v>
      </c>
      <c r="CG692" t="s">
        <v>651</v>
      </c>
      <c r="CH692" t="s">
        <v>786</v>
      </c>
    </row>
    <row r="693" spans="1:86" x14ac:dyDescent="0.3">
      <c r="A693">
        <v>863</v>
      </c>
      <c r="B693" t="s">
        <v>372</v>
      </c>
      <c r="C693" t="s">
        <v>341</v>
      </c>
      <c r="D693" t="s">
        <v>823</v>
      </c>
      <c r="E693" t="s">
        <v>818</v>
      </c>
      <c r="F693" t="s">
        <v>577</v>
      </c>
      <c r="G693" t="s">
        <v>667</v>
      </c>
      <c r="I693" t="s">
        <v>770</v>
      </c>
      <c r="Z693">
        <v>0.5</v>
      </c>
      <c r="BG693" t="s">
        <v>312</v>
      </c>
      <c r="BH693" t="s">
        <v>314</v>
      </c>
      <c r="BI693" s="10" t="s">
        <v>568</v>
      </c>
      <c r="BK693" s="10" t="s">
        <v>41</v>
      </c>
      <c r="BL693" s="17">
        <v>2.25</v>
      </c>
      <c r="BM693" s="52">
        <v>4</v>
      </c>
      <c r="BN693" s="17">
        <v>0.88</v>
      </c>
      <c r="CE693" s="10" t="s">
        <v>647</v>
      </c>
      <c r="CF693" t="s">
        <v>822</v>
      </c>
      <c r="CG693" t="s">
        <v>651</v>
      </c>
      <c r="CH693" t="s">
        <v>786</v>
      </c>
    </row>
    <row r="694" spans="1:86" x14ac:dyDescent="0.3">
      <c r="A694">
        <v>864</v>
      </c>
      <c r="B694" t="s">
        <v>372</v>
      </c>
      <c r="C694" t="s">
        <v>341</v>
      </c>
      <c r="D694" t="s">
        <v>824</v>
      </c>
      <c r="E694" t="s">
        <v>818</v>
      </c>
      <c r="F694" t="s">
        <v>577</v>
      </c>
      <c r="G694" t="s">
        <v>667</v>
      </c>
      <c r="I694" t="s">
        <v>770</v>
      </c>
      <c r="Z694">
        <v>0.5</v>
      </c>
      <c r="BG694" t="s">
        <v>312</v>
      </c>
      <c r="BH694" t="s">
        <v>314</v>
      </c>
      <c r="BI694" s="10" t="s">
        <v>568</v>
      </c>
      <c r="BK694" s="10" t="s">
        <v>41</v>
      </c>
      <c r="BL694" s="17">
        <v>2.2999999999999998</v>
      </c>
      <c r="BM694" s="52">
        <v>4</v>
      </c>
      <c r="BN694" s="17">
        <v>0.35</v>
      </c>
      <c r="CE694" s="10" t="s">
        <v>647</v>
      </c>
      <c r="CF694" t="s">
        <v>822</v>
      </c>
      <c r="CG694" t="s">
        <v>651</v>
      </c>
      <c r="CH694" t="s">
        <v>786</v>
      </c>
    </row>
    <row r="695" spans="1:86" x14ac:dyDescent="0.3">
      <c r="A695">
        <v>865</v>
      </c>
      <c r="B695" t="s">
        <v>372</v>
      </c>
      <c r="C695" t="s">
        <v>341</v>
      </c>
      <c r="D695" t="s">
        <v>819</v>
      </c>
      <c r="E695" t="s">
        <v>818</v>
      </c>
      <c r="F695" t="s">
        <v>577</v>
      </c>
      <c r="G695" t="s">
        <v>667</v>
      </c>
      <c r="I695" t="s">
        <v>770</v>
      </c>
      <c r="Z695">
        <v>0.5</v>
      </c>
      <c r="BG695" t="s">
        <v>312</v>
      </c>
      <c r="BH695" t="s">
        <v>779</v>
      </c>
      <c r="BI695" s="10" t="s">
        <v>568</v>
      </c>
      <c r="BK695" s="10" t="s">
        <v>41</v>
      </c>
      <c r="BL695" s="17">
        <v>2.1</v>
      </c>
      <c r="BM695" s="52">
        <v>4</v>
      </c>
      <c r="BN695" s="17">
        <v>0.51</v>
      </c>
      <c r="CE695" s="10" t="s">
        <v>647</v>
      </c>
      <c r="CF695" t="s">
        <v>820</v>
      </c>
      <c r="CG695" t="s">
        <v>651</v>
      </c>
      <c r="CH695" t="s">
        <v>786</v>
      </c>
    </row>
    <row r="696" spans="1:86" x14ac:dyDescent="0.3">
      <c r="A696">
        <v>866</v>
      </c>
      <c r="B696" t="s">
        <v>372</v>
      </c>
      <c r="C696" t="s">
        <v>341</v>
      </c>
      <c r="D696" t="s">
        <v>821</v>
      </c>
      <c r="E696" t="s">
        <v>818</v>
      </c>
      <c r="F696" t="s">
        <v>577</v>
      </c>
      <c r="G696" t="s">
        <v>667</v>
      </c>
      <c r="I696" t="s">
        <v>770</v>
      </c>
      <c r="Z696">
        <v>0.5</v>
      </c>
      <c r="BG696" t="s">
        <v>312</v>
      </c>
      <c r="BH696" t="s">
        <v>779</v>
      </c>
      <c r="BI696" s="10" t="s">
        <v>568</v>
      </c>
      <c r="BK696" s="10" t="s">
        <v>41</v>
      </c>
      <c r="BL696" s="17">
        <v>2.4300000000000002</v>
      </c>
      <c r="BM696" s="52">
        <v>4</v>
      </c>
      <c r="BN696" s="17">
        <v>0.34</v>
      </c>
      <c r="CE696" s="10" t="s">
        <v>647</v>
      </c>
      <c r="CF696" t="s">
        <v>822</v>
      </c>
      <c r="CG696" t="s">
        <v>651</v>
      </c>
      <c r="CH696" t="s">
        <v>786</v>
      </c>
    </row>
    <row r="697" spans="1:86" x14ac:dyDescent="0.3">
      <c r="A697">
        <v>867</v>
      </c>
      <c r="B697" t="s">
        <v>372</v>
      </c>
      <c r="C697" t="s">
        <v>341</v>
      </c>
      <c r="D697" t="s">
        <v>823</v>
      </c>
      <c r="E697" t="s">
        <v>818</v>
      </c>
      <c r="F697" t="s">
        <v>577</v>
      </c>
      <c r="G697" t="s">
        <v>667</v>
      </c>
      <c r="I697" t="s">
        <v>770</v>
      </c>
      <c r="Z697">
        <v>0.5</v>
      </c>
      <c r="BG697" t="s">
        <v>312</v>
      </c>
      <c r="BH697" t="s">
        <v>779</v>
      </c>
      <c r="BI697" s="10" t="s">
        <v>568</v>
      </c>
      <c r="BK697" s="10" t="s">
        <v>41</v>
      </c>
      <c r="BL697" s="17">
        <v>1.78</v>
      </c>
      <c r="BM697" s="52">
        <v>4</v>
      </c>
      <c r="BN697" s="17">
        <v>0.76</v>
      </c>
      <c r="CE697" s="10" t="s">
        <v>647</v>
      </c>
      <c r="CF697" t="s">
        <v>822</v>
      </c>
      <c r="CG697" t="s">
        <v>651</v>
      </c>
      <c r="CH697" t="s">
        <v>786</v>
      </c>
    </row>
    <row r="698" spans="1:86" x14ac:dyDescent="0.3">
      <c r="A698">
        <v>868</v>
      </c>
      <c r="B698" t="s">
        <v>372</v>
      </c>
      <c r="C698" t="s">
        <v>341</v>
      </c>
      <c r="D698" t="s">
        <v>824</v>
      </c>
      <c r="E698" t="s">
        <v>818</v>
      </c>
      <c r="F698" t="s">
        <v>577</v>
      </c>
      <c r="G698" t="s">
        <v>667</v>
      </c>
      <c r="I698" t="s">
        <v>770</v>
      </c>
      <c r="Z698">
        <v>0.5</v>
      </c>
      <c r="BG698" t="s">
        <v>312</v>
      </c>
      <c r="BH698" t="s">
        <v>779</v>
      </c>
      <c r="BI698" s="10" t="s">
        <v>568</v>
      </c>
      <c r="BK698" s="10" t="s">
        <v>41</v>
      </c>
      <c r="BL698" s="17">
        <v>2.2000000000000002</v>
      </c>
      <c r="BM698" s="52">
        <v>4</v>
      </c>
      <c r="BN698" s="17">
        <v>0.5</v>
      </c>
      <c r="CE698" s="10" t="s">
        <v>647</v>
      </c>
      <c r="CF698" t="s">
        <v>822</v>
      </c>
      <c r="CG698" t="s">
        <v>651</v>
      </c>
      <c r="CH698" t="s">
        <v>786</v>
      </c>
    </row>
    <row r="699" spans="1:86" x14ac:dyDescent="0.3">
      <c r="A699">
        <v>869</v>
      </c>
      <c r="B699" t="s">
        <v>372</v>
      </c>
      <c r="C699" t="s">
        <v>341</v>
      </c>
      <c r="D699" t="s">
        <v>819</v>
      </c>
      <c r="E699" t="s">
        <v>818</v>
      </c>
      <c r="F699" t="s">
        <v>577</v>
      </c>
      <c r="G699" t="s">
        <v>667</v>
      </c>
      <c r="I699" t="s">
        <v>770</v>
      </c>
      <c r="Z699">
        <v>0.5</v>
      </c>
      <c r="BG699" t="s">
        <v>313</v>
      </c>
      <c r="BH699" t="s">
        <v>623</v>
      </c>
      <c r="BI699" s="10" t="s">
        <v>568</v>
      </c>
      <c r="BK699" s="10" t="s">
        <v>41</v>
      </c>
      <c r="BL699" s="17">
        <v>1.95</v>
      </c>
      <c r="BM699" s="52">
        <v>4</v>
      </c>
      <c r="BN699" s="17">
        <v>0.26</v>
      </c>
      <c r="CE699" s="10" t="s">
        <v>647</v>
      </c>
      <c r="CF699" t="s">
        <v>820</v>
      </c>
      <c r="CG699" t="s">
        <v>651</v>
      </c>
      <c r="CH699" t="s">
        <v>786</v>
      </c>
    </row>
    <row r="700" spans="1:86" x14ac:dyDescent="0.3">
      <c r="A700">
        <v>870</v>
      </c>
      <c r="B700" t="s">
        <v>372</v>
      </c>
      <c r="C700" t="s">
        <v>341</v>
      </c>
      <c r="D700" t="s">
        <v>821</v>
      </c>
      <c r="E700" t="s">
        <v>818</v>
      </c>
      <c r="F700" t="s">
        <v>577</v>
      </c>
      <c r="G700" t="s">
        <v>667</v>
      </c>
      <c r="I700" t="s">
        <v>770</v>
      </c>
      <c r="Z700">
        <v>0.5</v>
      </c>
      <c r="BG700" t="s">
        <v>313</v>
      </c>
      <c r="BH700" t="s">
        <v>623</v>
      </c>
      <c r="BI700" s="10" t="s">
        <v>568</v>
      </c>
      <c r="BK700" s="10" t="s">
        <v>41</v>
      </c>
      <c r="BL700" s="17">
        <v>1.84</v>
      </c>
      <c r="BM700" s="52">
        <v>4</v>
      </c>
      <c r="BN700" s="17">
        <v>0.23</v>
      </c>
      <c r="CE700" s="10" t="s">
        <v>647</v>
      </c>
      <c r="CF700" t="s">
        <v>822</v>
      </c>
      <c r="CG700" t="s">
        <v>651</v>
      </c>
      <c r="CH700" t="s">
        <v>786</v>
      </c>
    </row>
    <row r="701" spans="1:86" x14ac:dyDescent="0.3">
      <c r="A701">
        <v>871</v>
      </c>
      <c r="B701" t="s">
        <v>372</v>
      </c>
      <c r="C701" t="s">
        <v>341</v>
      </c>
      <c r="D701" t="s">
        <v>823</v>
      </c>
      <c r="E701" t="s">
        <v>818</v>
      </c>
      <c r="F701" t="s">
        <v>577</v>
      </c>
      <c r="G701" t="s">
        <v>667</v>
      </c>
      <c r="I701" t="s">
        <v>770</v>
      </c>
      <c r="Z701">
        <v>0.5</v>
      </c>
      <c r="BG701" t="s">
        <v>313</v>
      </c>
      <c r="BH701" t="s">
        <v>623</v>
      </c>
      <c r="BI701" s="10" t="s">
        <v>568</v>
      </c>
      <c r="BK701" s="10" t="s">
        <v>41</v>
      </c>
      <c r="BL701" s="17">
        <v>1.0900000000000001</v>
      </c>
      <c r="BM701" s="52">
        <v>4</v>
      </c>
      <c r="BN701" s="17">
        <v>0.36</v>
      </c>
      <c r="CE701" s="10" t="s">
        <v>647</v>
      </c>
      <c r="CF701" t="s">
        <v>822</v>
      </c>
      <c r="CG701" t="s">
        <v>651</v>
      </c>
      <c r="CH701" t="s">
        <v>786</v>
      </c>
    </row>
    <row r="702" spans="1:86" x14ac:dyDescent="0.3">
      <c r="A702">
        <v>872</v>
      </c>
      <c r="B702" t="s">
        <v>372</v>
      </c>
      <c r="C702" t="s">
        <v>341</v>
      </c>
      <c r="D702" t="s">
        <v>824</v>
      </c>
      <c r="E702" t="s">
        <v>818</v>
      </c>
      <c r="F702" t="s">
        <v>577</v>
      </c>
      <c r="G702" t="s">
        <v>667</v>
      </c>
      <c r="I702" t="s">
        <v>770</v>
      </c>
      <c r="Z702">
        <v>0.5</v>
      </c>
      <c r="BG702" t="s">
        <v>313</v>
      </c>
      <c r="BH702" t="s">
        <v>623</v>
      </c>
      <c r="BI702" s="10" t="s">
        <v>568</v>
      </c>
      <c r="BK702" s="10" t="s">
        <v>41</v>
      </c>
      <c r="BL702" s="17">
        <v>1.19</v>
      </c>
      <c r="BM702" s="52">
        <v>4</v>
      </c>
      <c r="BN702" s="17">
        <v>0.16</v>
      </c>
      <c r="CE702" s="10" t="s">
        <v>647</v>
      </c>
      <c r="CF702" t="s">
        <v>822</v>
      </c>
      <c r="CG702" t="s">
        <v>651</v>
      </c>
      <c r="CH702" t="s">
        <v>786</v>
      </c>
    </row>
    <row r="703" spans="1:86" x14ac:dyDescent="0.3">
      <c r="A703">
        <v>873</v>
      </c>
      <c r="B703" t="s">
        <v>372</v>
      </c>
      <c r="C703" t="s">
        <v>341</v>
      </c>
      <c r="D703" t="s">
        <v>819</v>
      </c>
      <c r="E703" t="s">
        <v>818</v>
      </c>
      <c r="F703" t="s">
        <v>577</v>
      </c>
      <c r="G703" t="s">
        <v>667</v>
      </c>
      <c r="I703" t="s">
        <v>770</v>
      </c>
      <c r="Z703">
        <v>0.5</v>
      </c>
      <c r="BG703" t="s">
        <v>311</v>
      </c>
      <c r="BH703" t="s">
        <v>631</v>
      </c>
      <c r="BI703" s="10" t="s">
        <v>568</v>
      </c>
      <c r="BK703" s="10" t="s">
        <v>41</v>
      </c>
      <c r="BL703" s="17">
        <v>1.04</v>
      </c>
      <c r="BM703" s="52">
        <v>4</v>
      </c>
      <c r="BN703" s="17">
        <v>0.21</v>
      </c>
      <c r="CE703" s="10" t="s">
        <v>647</v>
      </c>
      <c r="CF703" t="s">
        <v>820</v>
      </c>
      <c r="CG703" t="s">
        <v>651</v>
      </c>
      <c r="CH703" t="s">
        <v>786</v>
      </c>
    </row>
    <row r="704" spans="1:86" x14ac:dyDescent="0.3">
      <c r="A704">
        <v>874</v>
      </c>
      <c r="B704" t="s">
        <v>372</v>
      </c>
      <c r="C704" t="s">
        <v>341</v>
      </c>
      <c r="D704" t="s">
        <v>821</v>
      </c>
      <c r="E704" t="s">
        <v>818</v>
      </c>
      <c r="F704" t="s">
        <v>577</v>
      </c>
      <c r="G704" t="s">
        <v>667</v>
      </c>
      <c r="I704" t="s">
        <v>770</v>
      </c>
      <c r="Z704">
        <v>0.5</v>
      </c>
      <c r="BG704" t="s">
        <v>311</v>
      </c>
      <c r="BH704" t="s">
        <v>631</v>
      </c>
      <c r="BI704" s="10" t="s">
        <v>568</v>
      </c>
      <c r="BK704" s="10" t="s">
        <v>41</v>
      </c>
      <c r="BL704" s="17">
        <v>1.08</v>
      </c>
      <c r="BM704" s="52">
        <v>4</v>
      </c>
      <c r="BN704" s="17">
        <v>0.15</v>
      </c>
      <c r="CE704" s="10" t="s">
        <v>647</v>
      </c>
      <c r="CF704" t="s">
        <v>822</v>
      </c>
      <c r="CG704" t="s">
        <v>651</v>
      </c>
      <c r="CH704" t="s">
        <v>786</v>
      </c>
    </row>
    <row r="705" spans="1:86" x14ac:dyDescent="0.3">
      <c r="A705">
        <v>875</v>
      </c>
      <c r="B705" t="s">
        <v>372</v>
      </c>
      <c r="C705" t="s">
        <v>341</v>
      </c>
      <c r="D705" t="s">
        <v>823</v>
      </c>
      <c r="E705" t="s">
        <v>818</v>
      </c>
      <c r="F705" t="s">
        <v>577</v>
      </c>
      <c r="G705" t="s">
        <v>667</v>
      </c>
      <c r="I705" t="s">
        <v>770</v>
      </c>
      <c r="Z705">
        <v>0.5</v>
      </c>
      <c r="BG705" t="s">
        <v>311</v>
      </c>
      <c r="BH705" t="s">
        <v>631</v>
      </c>
      <c r="BI705" s="10" t="s">
        <v>568</v>
      </c>
      <c r="BK705" s="10" t="s">
        <v>41</v>
      </c>
      <c r="BL705" s="17">
        <v>1.1000000000000001</v>
      </c>
      <c r="BM705" s="52">
        <v>4</v>
      </c>
      <c r="BN705" s="17">
        <v>0.56999999999999995</v>
      </c>
      <c r="CE705" s="10" t="s">
        <v>647</v>
      </c>
      <c r="CF705" t="s">
        <v>822</v>
      </c>
      <c r="CG705" t="s">
        <v>651</v>
      </c>
      <c r="CH705" t="s">
        <v>786</v>
      </c>
    </row>
    <row r="706" spans="1:86" x14ac:dyDescent="0.3">
      <c r="A706">
        <v>876</v>
      </c>
      <c r="B706" t="s">
        <v>372</v>
      </c>
      <c r="C706" t="s">
        <v>341</v>
      </c>
      <c r="D706" t="s">
        <v>824</v>
      </c>
      <c r="E706" t="s">
        <v>818</v>
      </c>
      <c r="F706" t="s">
        <v>577</v>
      </c>
      <c r="G706" t="s">
        <v>667</v>
      </c>
      <c r="I706" t="s">
        <v>770</v>
      </c>
      <c r="Z706">
        <v>0.5</v>
      </c>
      <c r="BG706" t="s">
        <v>311</v>
      </c>
      <c r="BH706" t="s">
        <v>631</v>
      </c>
      <c r="BI706" s="10" t="s">
        <v>568</v>
      </c>
      <c r="BK706" s="10" t="s">
        <v>41</v>
      </c>
      <c r="BL706" s="17">
        <v>0.84</v>
      </c>
      <c r="BM706" s="52">
        <v>4</v>
      </c>
      <c r="BN706" s="17">
        <v>0.19</v>
      </c>
      <c r="CE706" s="10" t="s">
        <v>647</v>
      </c>
      <c r="CF706" t="s">
        <v>822</v>
      </c>
      <c r="CG706" t="s">
        <v>651</v>
      </c>
      <c r="CH706" t="s">
        <v>786</v>
      </c>
    </row>
    <row r="707" spans="1:86" x14ac:dyDescent="0.3">
      <c r="A707">
        <v>877</v>
      </c>
      <c r="B707" t="s">
        <v>372</v>
      </c>
      <c r="C707" t="s">
        <v>341</v>
      </c>
      <c r="D707" t="s">
        <v>819</v>
      </c>
      <c r="E707" t="s">
        <v>818</v>
      </c>
      <c r="F707" t="s">
        <v>577</v>
      </c>
      <c r="G707" t="s">
        <v>667</v>
      </c>
      <c r="I707" t="s">
        <v>770</v>
      </c>
      <c r="Z707">
        <v>0.5</v>
      </c>
      <c r="BG707" t="s">
        <v>311</v>
      </c>
      <c r="BH707" t="s">
        <v>780</v>
      </c>
      <c r="BI707" s="10" t="s">
        <v>568</v>
      </c>
      <c r="BK707" s="10" t="s">
        <v>41</v>
      </c>
      <c r="BL707" s="17">
        <v>2.19</v>
      </c>
      <c r="BM707" s="52">
        <v>4</v>
      </c>
      <c r="BN707" s="17">
        <v>0.63</v>
      </c>
      <c r="CE707" s="10" t="s">
        <v>647</v>
      </c>
      <c r="CF707" t="s">
        <v>820</v>
      </c>
      <c r="CG707" t="s">
        <v>651</v>
      </c>
      <c r="CH707" t="s">
        <v>786</v>
      </c>
    </row>
    <row r="708" spans="1:86" x14ac:dyDescent="0.3">
      <c r="A708">
        <v>878</v>
      </c>
      <c r="B708" t="s">
        <v>372</v>
      </c>
      <c r="C708" t="s">
        <v>341</v>
      </c>
      <c r="D708" t="s">
        <v>821</v>
      </c>
      <c r="E708" t="s">
        <v>818</v>
      </c>
      <c r="F708" t="s">
        <v>577</v>
      </c>
      <c r="G708" t="s">
        <v>667</v>
      </c>
      <c r="I708" t="s">
        <v>770</v>
      </c>
      <c r="Z708">
        <v>0.5</v>
      </c>
      <c r="BG708" t="s">
        <v>311</v>
      </c>
      <c r="BH708" t="s">
        <v>780</v>
      </c>
      <c r="BI708" s="10" t="s">
        <v>568</v>
      </c>
      <c r="BK708" s="10" t="s">
        <v>41</v>
      </c>
      <c r="BL708" s="17">
        <v>1.73</v>
      </c>
      <c r="BM708" s="52">
        <v>4</v>
      </c>
      <c r="BN708" s="17">
        <v>0.91</v>
      </c>
      <c r="CE708" s="10" t="s">
        <v>647</v>
      </c>
      <c r="CF708" t="s">
        <v>822</v>
      </c>
      <c r="CG708" t="s">
        <v>651</v>
      </c>
      <c r="CH708" t="s">
        <v>786</v>
      </c>
    </row>
    <row r="709" spans="1:86" x14ac:dyDescent="0.3">
      <c r="A709">
        <v>879</v>
      </c>
      <c r="B709" t="s">
        <v>372</v>
      </c>
      <c r="C709" t="s">
        <v>341</v>
      </c>
      <c r="D709" t="s">
        <v>823</v>
      </c>
      <c r="E709" t="s">
        <v>818</v>
      </c>
      <c r="F709" t="s">
        <v>577</v>
      </c>
      <c r="G709" t="s">
        <v>667</v>
      </c>
      <c r="I709" t="s">
        <v>770</v>
      </c>
      <c r="Z709">
        <v>0.5</v>
      </c>
      <c r="BG709" t="s">
        <v>311</v>
      </c>
      <c r="BH709" t="s">
        <v>780</v>
      </c>
      <c r="BI709" s="10" t="s">
        <v>568</v>
      </c>
      <c r="BK709" s="10" t="s">
        <v>41</v>
      </c>
      <c r="BL709" s="17">
        <v>1.64</v>
      </c>
      <c r="BM709" s="52">
        <v>4</v>
      </c>
      <c r="BN709" s="17">
        <v>0.42</v>
      </c>
      <c r="CE709" s="10" t="s">
        <v>647</v>
      </c>
      <c r="CF709" t="s">
        <v>822</v>
      </c>
      <c r="CG709" t="s">
        <v>651</v>
      </c>
      <c r="CH709" t="s">
        <v>786</v>
      </c>
    </row>
    <row r="710" spans="1:86" x14ac:dyDescent="0.3">
      <c r="A710">
        <v>880</v>
      </c>
      <c r="B710" t="s">
        <v>372</v>
      </c>
      <c r="C710" t="s">
        <v>341</v>
      </c>
      <c r="D710" t="s">
        <v>824</v>
      </c>
      <c r="E710" t="s">
        <v>818</v>
      </c>
      <c r="F710" t="s">
        <v>577</v>
      </c>
      <c r="G710" t="s">
        <v>667</v>
      </c>
      <c r="I710" t="s">
        <v>770</v>
      </c>
      <c r="Z710">
        <v>0.5</v>
      </c>
      <c r="BG710" t="s">
        <v>311</v>
      </c>
      <c r="BH710" t="s">
        <v>780</v>
      </c>
      <c r="BI710" s="10" t="s">
        <v>568</v>
      </c>
      <c r="BK710" s="10" t="s">
        <v>41</v>
      </c>
      <c r="BL710" s="17">
        <v>1.54</v>
      </c>
      <c r="BM710" s="52">
        <v>4</v>
      </c>
      <c r="BN710" s="17">
        <v>0.78</v>
      </c>
      <c r="CE710" s="10" t="s">
        <v>647</v>
      </c>
      <c r="CF710" t="s">
        <v>822</v>
      </c>
      <c r="CG710" t="s">
        <v>651</v>
      </c>
      <c r="CH710" t="s">
        <v>786</v>
      </c>
    </row>
    <row r="711" spans="1:86" x14ac:dyDescent="0.3">
      <c r="A711">
        <v>881</v>
      </c>
      <c r="B711" s="14" t="s">
        <v>373</v>
      </c>
      <c r="C711" t="s">
        <v>340</v>
      </c>
      <c r="D711" t="s">
        <v>825</v>
      </c>
      <c r="E711" t="s">
        <v>564</v>
      </c>
      <c r="F711" t="s">
        <v>826</v>
      </c>
      <c r="G711" t="s">
        <v>827</v>
      </c>
      <c r="I711" t="s">
        <v>564</v>
      </c>
      <c r="J711" t="s">
        <v>790</v>
      </c>
      <c r="K711">
        <v>0.22</v>
      </c>
      <c r="BG711" t="s">
        <v>311</v>
      </c>
      <c r="BH711" t="s">
        <v>828</v>
      </c>
      <c r="BI711" s="10" t="s">
        <v>568</v>
      </c>
      <c r="BK711" s="10" t="s">
        <v>41</v>
      </c>
      <c r="BL711" s="17">
        <v>2.1</v>
      </c>
      <c r="BS711" s="10">
        <v>5.8</v>
      </c>
      <c r="BY711" s="10">
        <v>3.7</v>
      </c>
      <c r="CE711" s="10" t="s">
        <v>642</v>
      </c>
      <c r="CG711" t="s">
        <v>651</v>
      </c>
      <c r="CH711" t="s">
        <v>786</v>
      </c>
    </row>
    <row r="712" spans="1:86" x14ac:dyDescent="0.3">
      <c r="A712">
        <v>882</v>
      </c>
      <c r="B712" s="14" t="s">
        <v>373</v>
      </c>
      <c r="C712" t="s">
        <v>340</v>
      </c>
      <c r="D712" t="s">
        <v>829</v>
      </c>
      <c r="E712" t="s">
        <v>564</v>
      </c>
      <c r="F712" t="s">
        <v>826</v>
      </c>
      <c r="G712" t="s">
        <v>827</v>
      </c>
      <c r="I712" t="s">
        <v>564</v>
      </c>
      <c r="J712" t="s">
        <v>790</v>
      </c>
      <c r="K712">
        <v>0.1</v>
      </c>
      <c r="BG712" t="s">
        <v>311</v>
      </c>
      <c r="BH712" t="s">
        <v>828</v>
      </c>
      <c r="BI712" s="10" t="s">
        <v>568</v>
      </c>
      <c r="BK712" s="10" t="s">
        <v>41</v>
      </c>
      <c r="BL712" s="17">
        <v>5.8</v>
      </c>
      <c r="BS712" s="10">
        <v>5.8</v>
      </c>
      <c r="BY712" s="10">
        <v>0</v>
      </c>
      <c r="CE712" s="10" t="s">
        <v>642</v>
      </c>
      <c r="CG712" t="s">
        <v>651</v>
      </c>
      <c r="CH712" t="s">
        <v>786</v>
      </c>
    </row>
    <row r="713" spans="1:86" x14ac:dyDescent="0.3">
      <c r="A713">
        <v>883</v>
      </c>
      <c r="B713" s="14" t="s">
        <v>373</v>
      </c>
      <c r="C713" t="s">
        <v>340</v>
      </c>
      <c r="D713" t="s">
        <v>825</v>
      </c>
      <c r="E713" t="s">
        <v>564</v>
      </c>
      <c r="F713" t="s">
        <v>826</v>
      </c>
      <c r="G713" t="s">
        <v>827</v>
      </c>
      <c r="I713" t="s">
        <v>564</v>
      </c>
      <c r="J713" t="s">
        <v>790</v>
      </c>
      <c r="K713">
        <v>0.22</v>
      </c>
      <c r="BG713" t="s">
        <v>311</v>
      </c>
      <c r="BH713" t="s">
        <v>830</v>
      </c>
      <c r="BI713" s="10" t="s">
        <v>568</v>
      </c>
      <c r="BK713" s="10" t="s">
        <v>41</v>
      </c>
      <c r="BL713" s="17">
        <v>0.3</v>
      </c>
      <c r="BS713" s="10">
        <v>5</v>
      </c>
      <c r="BY713" s="10">
        <v>4.7</v>
      </c>
      <c r="CE713" s="10" t="s">
        <v>642</v>
      </c>
      <c r="CG713" t="s">
        <v>651</v>
      </c>
      <c r="CH713" t="s">
        <v>786</v>
      </c>
    </row>
    <row r="714" spans="1:86" x14ac:dyDescent="0.3">
      <c r="A714">
        <v>884</v>
      </c>
      <c r="B714" s="14" t="s">
        <v>373</v>
      </c>
      <c r="C714" t="s">
        <v>340</v>
      </c>
      <c r="D714" t="s">
        <v>829</v>
      </c>
      <c r="E714" t="s">
        <v>564</v>
      </c>
      <c r="F714" t="s">
        <v>826</v>
      </c>
      <c r="G714" t="s">
        <v>827</v>
      </c>
      <c r="I714" t="s">
        <v>564</v>
      </c>
      <c r="J714" t="s">
        <v>790</v>
      </c>
      <c r="K714">
        <v>0.1</v>
      </c>
      <c r="BG714" t="s">
        <v>311</v>
      </c>
      <c r="BH714" t="s">
        <v>830</v>
      </c>
      <c r="BI714" s="10" t="s">
        <v>568</v>
      </c>
      <c r="BK714" s="10" t="s">
        <v>41</v>
      </c>
      <c r="BL714" s="17">
        <v>0.5</v>
      </c>
      <c r="BS714" s="10">
        <v>5</v>
      </c>
      <c r="BY714" s="10">
        <v>4.5</v>
      </c>
      <c r="CE714" s="10" t="s">
        <v>831</v>
      </c>
      <c r="CG714" t="s">
        <v>651</v>
      </c>
      <c r="CH714" t="s">
        <v>786</v>
      </c>
    </row>
    <row r="715" spans="1:86" x14ac:dyDescent="0.3">
      <c r="A715">
        <v>885</v>
      </c>
      <c r="B715" s="14" t="s">
        <v>373</v>
      </c>
      <c r="C715" t="s">
        <v>330</v>
      </c>
      <c r="D715" t="s">
        <v>832</v>
      </c>
      <c r="E715" t="s">
        <v>564</v>
      </c>
      <c r="F715" t="s">
        <v>577</v>
      </c>
      <c r="G715" t="s">
        <v>667</v>
      </c>
      <c r="I715" t="s">
        <v>564</v>
      </c>
      <c r="J715" t="s">
        <v>790</v>
      </c>
      <c r="K715">
        <v>0.22</v>
      </c>
      <c r="BG715" t="s">
        <v>311</v>
      </c>
      <c r="BH715" t="s">
        <v>828</v>
      </c>
      <c r="BI715" s="10" t="s">
        <v>568</v>
      </c>
      <c r="BK715" s="10" t="s">
        <v>41</v>
      </c>
      <c r="BL715" s="17">
        <v>6.1</v>
      </c>
      <c r="BN715" s="17">
        <v>0.2</v>
      </c>
      <c r="BS715" s="10">
        <v>6.3</v>
      </c>
      <c r="BT715" s="10">
        <v>0.1</v>
      </c>
      <c r="BY715" s="10">
        <v>0.2</v>
      </c>
      <c r="BZ715" s="10">
        <v>0.2</v>
      </c>
      <c r="CE715" s="10" t="s">
        <v>647</v>
      </c>
      <c r="CG715" t="s">
        <v>651</v>
      </c>
      <c r="CH715" t="s">
        <v>786</v>
      </c>
    </row>
    <row r="716" spans="1:86" x14ac:dyDescent="0.3">
      <c r="A716">
        <v>886</v>
      </c>
      <c r="B716" s="14" t="s">
        <v>373</v>
      </c>
      <c r="C716" t="s">
        <v>330</v>
      </c>
      <c r="D716" t="s">
        <v>833</v>
      </c>
      <c r="E716" t="s">
        <v>564</v>
      </c>
      <c r="F716" t="s">
        <v>826</v>
      </c>
      <c r="G716" t="s">
        <v>827</v>
      </c>
      <c r="I716" t="s">
        <v>564</v>
      </c>
      <c r="J716" t="s">
        <v>790</v>
      </c>
      <c r="K716">
        <v>0.22</v>
      </c>
      <c r="BG716" t="s">
        <v>311</v>
      </c>
      <c r="BH716" t="s">
        <v>828</v>
      </c>
      <c r="BI716" s="10" t="s">
        <v>568</v>
      </c>
      <c r="BK716" s="10" t="s">
        <v>41</v>
      </c>
      <c r="BL716" s="17">
        <v>2.8</v>
      </c>
      <c r="BN716" s="17">
        <v>0.4</v>
      </c>
      <c r="BS716" s="10">
        <v>5.5</v>
      </c>
      <c r="BT716" s="10">
        <v>0.4</v>
      </c>
      <c r="BY716" s="10">
        <v>2.7</v>
      </c>
      <c r="BZ716" s="10">
        <v>0</v>
      </c>
      <c r="CE716" s="10" t="s">
        <v>647</v>
      </c>
      <c r="CG716" t="s">
        <v>651</v>
      </c>
      <c r="CH716" t="s">
        <v>786</v>
      </c>
    </row>
    <row r="717" spans="1:86" x14ac:dyDescent="0.3">
      <c r="A717">
        <v>887</v>
      </c>
      <c r="B717" s="14" t="s">
        <v>373</v>
      </c>
      <c r="C717" t="s">
        <v>330</v>
      </c>
      <c r="D717" t="s">
        <v>834</v>
      </c>
      <c r="E717" t="s">
        <v>564</v>
      </c>
      <c r="F717" t="s">
        <v>826</v>
      </c>
      <c r="G717" t="s">
        <v>827</v>
      </c>
      <c r="I717" t="s">
        <v>564</v>
      </c>
      <c r="J717" t="s">
        <v>790</v>
      </c>
      <c r="K717">
        <v>0.22</v>
      </c>
      <c r="BG717" t="s">
        <v>311</v>
      </c>
      <c r="BH717" t="s">
        <v>828</v>
      </c>
      <c r="BI717" s="10" t="s">
        <v>568</v>
      </c>
      <c r="BK717" s="10" t="s">
        <v>41</v>
      </c>
      <c r="BL717" s="17">
        <v>2</v>
      </c>
      <c r="BN717" s="17">
        <v>0.6</v>
      </c>
      <c r="BS717" s="10">
        <v>5.8</v>
      </c>
      <c r="BT717" s="10">
        <v>0</v>
      </c>
      <c r="BY717" s="10">
        <v>3.8</v>
      </c>
      <c r="BZ717" s="10">
        <v>0.6</v>
      </c>
      <c r="CE717" s="10" t="s">
        <v>647</v>
      </c>
      <c r="CG717" t="s">
        <v>651</v>
      </c>
      <c r="CH717" t="s">
        <v>786</v>
      </c>
    </row>
    <row r="718" spans="1:86" x14ac:dyDescent="0.3">
      <c r="A718">
        <v>888</v>
      </c>
      <c r="B718" s="14" t="s">
        <v>373</v>
      </c>
      <c r="C718" t="s">
        <v>330</v>
      </c>
      <c r="D718" t="s">
        <v>835</v>
      </c>
      <c r="E718" t="s">
        <v>564</v>
      </c>
      <c r="F718" t="s">
        <v>577</v>
      </c>
      <c r="G718" t="s">
        <v>667</v>
      </c>
      <c r="I718" t="s">
        <v>564</v>
      </c>
      <c r="J718" t="s">
        <v>790</v>
      </c>
      <c r="K718">
        <v>0.1</v>
      </c>
      <c r="BG718" t="s">
        <v>311</v>
      </c>
      <c r="BH718" t="s">
        <v>828</v>
      </c>
      <c r="BI718" s="10" t="s">
        <v>568</v>
      </c>
      <c r="BK718" s="10" t="s">
        <v>41</v>
      </c>
      <c r="BL718" s="17">
        <v>6.3</v>
      </c>
      <c r="BN718" s="17">
        <v>0.1</v>
      </c>
      <c r="BS718" s="10">
        <v>6.3</v>
      </c>
      <c r="BT718" s="10">
        <v>0.1</v>
      </c>
      <c r="BY718" s="10">
        <v>0</v>
      </c>
      <c r="BZ718" s="10">
        <v>0</v>
      </c>
      <c r="CE718" s="10" t="s">
        <v>725</v>
      </c>
      <c r="CF718" t="s">
        <v>836</v>
      </c>
      <c r="CG718" t="s">
        <v>651</v>
      </c>
      <c r="CH718" t="s">
        <v>786</v>
      </c>
    </row>
    <row r="719" spans="1:86" x14ac:dyDescent="0.3">
      <c r="A719">
        <v>889</v>
      </c>
      <c r="B719" s="14" t="s">
        <v>373</v>
      </c>
      <c r="C719" t="s">
        <v>330</v>
      </c>
      <c r="D719" t="s">
        <v>837</v>
      </c>
      <c r="E719" t="s">
        <v>564</v>
      </c>
      <c r="F719" t="s">
        <v>826</v>
      </c>
      <c r="G719" t="s">
        <v>827</v>
      </c>
      <c r="I719" t="s">
        <v>564</v>
      </c>
      <c r="J719" t="s">
        <v>790</v>
      </c>
      <c r="K719">
        <v>0.1</v>
      </c>
      <c r="BG719" t="s">
        <v>311</v>
      </c>
      <c r="BH719" t="s">
        <v>828</v>
      </c>
      <c r="BI719" s="10" t="s">
        <v>568</v>
      </c>
      <c r="BK719" s="10" t="s">
        <v>41</v>
      </c>
      <c r="BL719" s="17">
        <v>5.5</v>
      </c>
      <c r="BN719" s="17">
        <v>0.4</v>
      </c>
      <c r="BS719" s="10">
        <v>5.5</v>
      </c>
      <c r="BT719" s="10">
        <v>0.4</v>
      </c>
      <c r="BY719" s="10">
        <v>0</v>
      </c>
      <c r="BZ719" s="10">
        <v>0</v>
      </c>
      <c r="CE719" s="10" t="s">
        <v>725</v>
      </c>
      <c r="CF719" t="s">
        <v>836</v>
      </c>
      <c r="CG719" t="s">
        <v>651</v>
      </c>
      <c r="CH719" t="s">
        <v>786</v>
      </c>
    </row>
    <row r="720" spans="1:86" x14ac:dyDescent="0.3">
      <c r="A720">
        <v>890</v>
      </c>
      <c r="B720" s="14" t="s">
        <v>373</v>
      </c>
      <c r="C720" t="s">
        <v>330</v>
      </c>
      <c r="D720" t="s">
        <v>838</v>
      </c>
      <c r="E720" t="s">
        <v>564</v>
      </c>
      <c r="F720" t="s">
        <v>826</v>
      </c>
      <c r="G720" t="s">
        <v>827</v>
      </c>
      <c r="I720" t="s">
        <v>564</v>
      </c>
      <c r="J720" t="s">
        <v>790</v>
      </c>
      <c r="K720">
        <v>0.1</v>
      </c>
      <c r="BG720" t="s">
        <v>311</v>
      </c>
      <c r="BH720" t="s">
        <v>828</v>
      </c>
      <c r="BI720" s="10" t="s">
        <v>568</v>
      </c>
      <c r="BK720" s="10" t="s">
        <v>41</v>
      </c>
      <c r="BL720" s="17">
        <v>5.5</v>
      </c>
      <c r="BN720" s="17">
        <v>0.6</v>
      </c>
      <c r="BS720" s="10">
        <v>5.8</v>
      </c>
      <c r="BT720" s="10">
        <v>0</v>
      </c>
      <c r="BY720" s="10">
        <v>0.3</v>
      </c>
      <c r="BZ720" s="10">
        <v>0</v>
      </c>
      <c r="CE720" s="10" t="s">
        <v>725</v>
      </c>
      <c r="CG720" t="s">
        <v>651</v>
      </c>
      <c r="CH720" t="s">
        <v>786</v>
      </c>
    </row>
    <row r="721" spans="1:86" x14ac:dyDescent="0.3">
      <c r="A721">
        <v>891</v>
      </c>
      <c r="B721" t="s">
        <v>374</v>
      </c>
      <c r="C721" t="s">
        <v>6</v>
      </c>
      <c r="D721" s="82" t="s">
        <v>839</v>
      </c>
      <c r="F721" t="s">
        <v>840</v>
      </c>
      <c r="G721" t="s">
        <v>841</v>
      </c>
      <c r="Q721">
        <v>68</v>
      </c>
      <c r="AG721" s="82"/>
      <c r="AH721" s="82"/>
      <c r="AI721" s="82"/>
      <c r="AJ721" s="82">
        <v>4.1900000000000004</v>
      </c>
      <c r="AK721" s="82"/>
      <c r="AL721" s="82">
        <v>1.4</v>
      </c>
      <c r="AM721" s="82"/>
      <c r="AN721" s="82">
        <v>89.6</v>
      </c>
      <c r="AO721" s="82"/>
      <c r="AP721" s="82"/>
      <c r="AQ721" s="82"/>
      <c r="AR721" s="82"/>
      <c r="AS721" s="82"/>
      <c r="AT721" s="82"/>
      <c r="AU721" s="82"/>
      <c r="AV721" s="82"/>
      <c r="BG721" t="s">
        <v>312</v>
      </c>
      <c r="BH721" t="s">
        <v>599</v>
      </c>
      <c r="BL721" s="17">
        <v>3.5228353136605302</v>
      </c>
      <c r="BR721" s="10" t="s">
        <v>842</v>
      </c>
      <c r="BS721" s="10">
        <v>3.5228353136605302</v>
      </c>
      <c r="BY721" s="9" t="s">
        <v>842</v>
      </c>
      <c r="CD721" s="10" t="s">
        <v>842</v>
      </c>
      <c r="CE721" s="10" t="s">
        <v>843</v>
      </c>
      <c r="CG721" t="s">
        <v>651</v>
      </c>
      <c r="CH721" t="s">
        <v>765</v>
      </c>
    </row>
    <row r="722" spans="1:86" x14ac:dyDescent="0.3">
      <c r="A722">
        <v>892</v>
      </c>
      <c r="B722" t="s">
        <v>374</v>
      </c>
      <c r="C722" t="s">
        <v>6</v>
      </c>
      <c r="D722" s="83" t="s">
        <v>844</v>
      </c>
      <c r="F722" t="s">
        <v>840</v>
      </c>
      <c r="G722" t="s">
        <v>841</v>
      </c>
      <c r="Q722">
        <v>68</v>
      </c>
      <c r="AG722" s="83"/>
      <c r="AH722" s="83"/>
      <c r="AI722" s="83"/>
      <c r="AJ722" s="83">
        <v>4.0199999999999996</v>
      </c>
      <c r="AK722" s="83"/>
      <c r="AL722" s="83">
        <v>6</v>
      </c>
      <c r="AM722" s="83"/>
      <c r="AN722" s="83">
        <v>90.5</v>
      </c>
      <c r="AO722" s="83"/>
      <c r="AP722" s="83"/>
      <c r="AQ722" s="83">
        <v>4.13</v>
      </c>
      <c r="AR722" s="83"/>
      <c r="AS722" s="83"/>
      <c r="AT722" s="83"/>
      <c r="AU722" s="83"/>
      <c r="AV722" s="83"/>
      <c r="BG722" t="s">
        <v>312</v>
      </c>
      <c r="BH722" t="s">
        <v>599</v>
      </c>
      <c r="BL722" s="17">
        <v>3.312811826212088</v>
      </c>
      <c r="BR722" s="10" t="s">
        <v>842</v>
      </c>
      <c r="BS722" s="10">
        <v>3.312811826212088</v>
      </c>
      <c r="BY722" s="9" t="s">
        <v>842</v>
      </c>
      <c r="CD722" s="10" t="s">
        <v>842</v>
      </c>
      <c r="CE722" s="10" t="s">
        <v>843</v>
      </c>
      <c r="CG722" t="s">
        <v>651</v>
      </c>
      <c r="CH722" t="s">
        <v>765</v>
      </c>
    </row>
    <row r="723" spans="1:86" x14ac:dyDescent="0.3">
      <c r="A723">
        <v>893</v>
      </c>
      <c r="B723" t="s">
        <v>374</v>
      </c>
      <c r="C723" t="s">
        <v>6</v>
      </c>
      <c r="D723" s="82" t="s">
        <v>845</v>
      </c>
      <c r="F723" t="s">
        <v>840</v>
      </c>
      <c r="G723" t="s">
        <v>841</v>
      </c>
      <c r="Q723">
        <v>100</v>
      </c>
      <c r="AG723" s="82"/>
      <c r="AH723" s="82"/>
      <c r="AI723" s="82"/>
      <c r="AJ723" s="82">
        <v>4.38</v>
      </c>
      <c r="AK723" s="82"/>
      <c r="AL723" s="82">
        <v>1.7</v>
      </c>
      <c r="AM723" s="82"/>
      <c r="AN723" s="82">
        <v>87</v>
      </c>
      <c r="AO723" s="82"/>
      <c r="AP723" s="82"/>
      <c r="AQ723" s="82">
        <v>2.84</v>
      </c>
      <c r="AR723" s="82"/>
      <c r="AS723" s="82"/>
      <c r="AT723" s="82"/>
      <c r="AU723" s="82"/>
      <c r="AV723" s="82"/>
      <c r="BG723" t="s">
        <v>312</v>
      </c>
      <c r="BH723" t="s">
        <v>599</v>
      </c>
      <c r="BL723" s="17">
        <v>2.6404814369704219</v>
      </c>
      <c r="BR723" s="10" t="s">
        <v>842</v>
      </c>
      <c r="BS723" s="10">
        <v>2.6404814369704219</v>
      </c>
      <c r="BY723" s="9" t="s">
        <v>842</v>
      </c>
      <c r="CD723" s="10" t="s">
        <v>842</v>
      </c>
      <c r="CE723" s="10" t="s">
        <v>843</v>
      </c>
      <c r="CG723" t="s">
        <v>651</v>
      </c>
      <c r="CH723" t="s">
        <v>765</v>
      </c>
    </row>
    <row r="724" spans="1:86" x14ac:dyDescent="0.3">
      <c r="A724">
        <v>894</v>
      </c>
      <c r="B724" t="s">
        <v>374</v>
      </c>
      <c r="C724" t="s">
        <v>6</v>
      </c>
      <c r="D724" s="83" t="s">
        <v>839</v>
      </c>
      <c r="F724" t="s">
        <v>840</v>
      </c>
      <c r="G724" t="s">
        <v>841</v>
      </c>
      <c r="Q724">
        <v>240</v>
      </c>
      <c r="AG724" s="83"/>
      <c r="AH724" s="83"/>
      <c r="AI724" s="83"/>
      <c r="AJ724" s="83">
        <v>4.1900000000000004</v>
      </c>
      <c r="AK724" s="83"/>
      <c r="AL724" s="83">
        <v>1.4</v>
      </c>
      <c r="AM724" s="83"/>
      <c r="AN724" s="83">
        <v>89.6</v>
      </c>
      <c r="AO724" s="83"/>
      <c r="AP724" s="83"/>
      <c r="AQ724" s="83"/>
      <c r="AR724" s="83"/>
      <c r="AS724" s="83"/>
      <c r="AT724" s="83"/>
      <c r="AU724" s="83"/>
      <c r="AV724" s="83"/>
      <c r="BG724" t="s">
        <v>312</v>
      </c>
      <c r="BH724" t="s">
        <v>599</v>
      </c>
      <c r="BL724" s="17">
        <v>3.5228353136605302</v>
      </c>
      <c r="BR724" s="10" t="s">
        <v>842</v>
      </c>
      <c r="BS724" s="10">
        <v>3.5228353136605302</v>
      </c>
      <c r="BY724" s="9" t="s">
        <v>842</v>
      </c>
      <c r="CD724" s="10" t="s">
        <v>842</v>
      </c>
      <c r="CE724" s="10" t="s">
        <v>843</v>
      </c>
      <c r="CG724" t="s">
        <v>651</v>
      </c>
      <c r="CH724" t="s">
        <v>765</v>
      </c>
    </row>
    <row r="725" spans="1:86" x14ac:dyDescent="0.3">
      <c r="A725">
        <v>895</v>
      </c>
      <c r="B725" t="s">
        <v>374</v>
      </c>
      <c r="C725" t="s">
        <v>6</v>
      </c>
      <c r="D725" s="82" t="s">
        <v>845</v>
      </c>
      <c r="F725" t="s">
        <v>840</v>
      </c>
      <c r="G725" t="s">
        <v>841</v>
      </c>
      <c r="Q725">
        <v>460</v>
      </c>
      <c r="AG725" s="82"/>
      <c r="AH725" s="82"/>
      <c r="AI725" s="82"/>
      <c r="AJ725" s="82">
        <v>4.38</v>
      </c>
      <c r="AK725" s="82"/>
      <c r="AL725" s="82">
        <v>1.7</v>
      </c>
      <c r="AM725" s="82"/>
      <c r="AN725" s="82">
        <v>87</v>
      </c>
      <c r="AO725" s="82"/>
      <c r="AP725" s="82"/>
      <c r="AQ725" s="82">
        <v>2.84</v>
      </c>
      <c r="AR725" s="82"/>
      <c r="AS725" s="82"/>
      <c r="AT725" s="82"/>
      <c r="AU725" s="82"/>
      <c r="AV725" s="82"/>
      <c r="BG725" t="s">
        <v>312</v>
      </c>
      <c r="BH725" t="s">
        <v>599</v>
      </c>
      <c r="BL725" s="17">
        <v>2.6404814369704219</v>
      </c>
      <c r="BR725" s="10" t="s">
        <v>842</v>
      </c>
      <c r="BS725" s="10">
        <v>2.6404814369704219</v>
      </c>
      <c r="BY725" s="9" t="s">
        <v>842</v>
      </c>
      <c r="CD725" s="10" t="s">
        <v>842</v>
      </c>
      <c r="CE725" s="10" t="s">
        <v>843</v>
      </c>
      <c r="CG725" t="s">
        <v>651</v>
      </c>
      <c r="CH725" t="s">
        <v>765</v>
      </c>
    </row>
    <row r="726" spans="1:86" x14ac:dyDescent="0.3">
      <c r="A726">
        <v>896</v>
      </c>
      <c r="B726" t="s">
        <v>374</v>
      </c>
      <c r="C726" t="s">
        <v>6</v>
      </c>
      <c r="D726" s="83" t="s">
        <v>839</v>
      </c>
      <c r="F726" t="s">
        <v>840</v>
      </c>
      <c r="G726" t="s">
        <v>841</v>
      </c>
      <c r="Q726">
        <v>460</v>
      </c>
      <c r="AG726" s="83"/>
      <c r="AH726" s="83"/>
      <c r="AI726" s="83"/>
      <c r="AJ726" s="83">
        <v>4.1900000000000004</v>
      </c>
      <c r="AK726" s="83"/>
      <c r="AL726" s="83">
        <v>1.4</v>
      </c>
      <c r="AM726" s="83"/>
      <c r="AN726" s="83">
        <v>89.6</v>
      </c>
      <c r="AO726" s="83"/>
      <c r="AP726" s="83"/>
      <c r="AQ726" s="83"/>
      <c r="AR726" s="83"/>
      <c r="AS726" s="83"/>
      <c r="AT726" s="83"/>
      <c r="AU726" s="83"/>
      <c r="AV726" s="83"/>
      <c r="BG726" t="s">
        <v>312</v>
      </c>
      <c r="BH726" t="s">
        <v>599</v>
      </c>
      <c r="BL726" s="17">
        <v>3.5228353136605302</v>
      </c>
      <c r="BR726" s="10" t="s">
        <v>842</v>
      </c>
      <c r="BS726" s="10">
        <v>3.5228353136605302</v>
      </c>
      <c r="BY726" s="9" t="s">
        <v>842</v>
      </c>
      <c r="CD726" s="10" t="s">
        <v>842</v>
      </c>
      <c r="CE726" s="10" t="s">
        <v>843</v>
      </c>
      <c r="CG726" t="s">
        <v>651</v>
      </c>
      <c r="CH726" t="s">
        <v>765</v>
      </c>
    </row>
    <row r="727" spans="1:86" x14ac:dyDescent="0.3">
      <c r="A727">
        <v>897</v>
      </c>
      <c r="B727" t="s">
        <v>374</v>
      </c>
      <c r="C727" t="s">
        <v>6</v>
      </c>
      <c r="D727" s="82" t="s">
        <v>844</v>
      </c>
      <c r="F727" t="s">
        <v>840</v>
      </c>
      <c r="G727" t="s">
        <v>841</v>
      </c>
      <c r="Q727">
        <v>450</v>
      </c>
      <c r="AG727" s="82"/>
      <c r="AH727" s="82"/>
      <c r="AI727" s="82"/>
      <c r="AJ727" s="82">
        <v>4.0199999999999996</v>
      </c>
      <c r="AK727" s="82"/>
      <c r="AL727" s="82">
        <v>6</v>
      </c>
      <c r="AM727" s="82"/>
      <c r="AN727" s="82">
        <v>90.5</v>
      </c>
      <c r="AO727" s="82"/>
      <c r="AP727" s="82"/>
      <c r="AQ727" s="82">
        <v>4.13</v>
      </c>
      <c r="AR727" s="82"/>
      <c r="AS727" s="82"/>
      <c r="AT727" s="82"/>
      <c r="AU727" s="82"/>
      <c r="AV727" s="82"/>
      <c r="BG727" t="s">
        <v>312</v>
      </c>
      <c r="BH727" t="s">
        <v>599</v>
      </c>
      <c r="BL727" s="17">
        <v>3.312811826212088</v>
      </c>
      <c r="BR727" s="10" t="s">
        <v>842</v>
      </c>
      <c r="BS727" s="10">
        <v>3.312811826212088</v>
      </c>
      <c r="BY727" s="9" t="s">
        <v>842</v>
      </c>
      <c r="CD727" s="10" t="s">
        <v>842</v>
      </c>
      <c r="CE727" s="10" t="s">
        <v>843</v>
      </c>
      <c r="CG727" t="s">
        <v>651</v>
      </c>
      <c r="CH727" t="s">
        <v>765</v>
      </c>
    </row>
    <row r="728" spans="1:86" x14ac:dyDescent="0.3">
      <c r="A728">
        <v>898</v>
      </c>
      <c r="B728" t="s">
        <v>374</v>
      </c>
      <c r="C728" t="s">
        <v>6</v>
      </c>
      <c r="D728" s="83" t="s">
        <v>846</v>
      </c>
      <c r="F728" t="s">
        <v>840</v>
      </c>
      <c r="G728" t="s">
        <v>841</v>
      </c>
      <c r="Q728">
        <v>45</v>
      </c>
      <c r="AG728" s="83"/>
      <c r="AH728" s="83"/>
      <c r="AI728" s="83"/>
      <c r="AJ728" s="83">
        <v>4.53</v>
      </c>
      <c r="AK728" s="83"/>
      <c r="AL728" s="83">
        <v>2.2000000000000002</v>
      </c>
      <c r="AM728" s="83"/>
      <c r="AN728" s="83">
        <v>83.7</v>
      </c>
      <c r="AO728" s="83"/>
      <c r="AP728" s="83"/>
      <c r="AQ728" s="83">
        <v>3.1</v>
      </c>
      <c r="AR728" s="83"/>
      <c r="AS728" s="83"/>
      <c r="AT728" s="83"/>
      <c r="AU728" s="83"/>
      <c r="AV728" s="83"/>
      <c r="BG728" t="s">
        <v>312</v>
      </c>
      <c r="BH728" t="s">
        <v>779</v>
      </c>
      <c r="BL728" s="17">
        <v>2.8615344108590377</v>
      </c>
      <c r="BR728" s="10" t="s">
        <v>842</v>
      </c>
      <c r="BS728" s="10">
        <v>2.8615344108590377</v>
      </c>
      <c r="BY728" s="9" t="s">
        <v>842</v>
      </c>
      <c r="CD728" s="10" t="s">
        <v>842</v>
      </c>
      <c r="CE728" s="10" t="s">
        <v>843</v>
      </c>
      <c r="CG728" t="s">
        <v>651</v>
      </c>
      <c r="CH728" t="s">
        <v>765</v>
      </c>
    </row>
    <row r="729" spans="1:86" x14ac:dyDescent="0.3">
      <c r="A729">
        <v>899</v>
      </c>
      <c r="B729" t="s">
        <v>374</v>
      </c>
      <c r="C729" t="s">
        <v>6</v>
      </c>
      <c r="D729" s="82" t="s">
        <v>839</v>
      </c>
      <c r="F729" t="s">
        <v>840</v>
      </c>
      <c r="G729" t="s">
        <v>841</v>
      </c>
      <c r="Q729">
        <v>68</v>
      </c>
      <c r="AG729" s="82"/>
      <c r="AH729" s="82"/>
      <c r="AI729" s="82"/>
      <c r="AJ729" s="82">
        <v>4.1900000000000004</v>
      </c>
      <c r="AK729" s="82"/>
      <c r="AL729" s="82">
        <v>1.4</v>
      </c>
      <c r="AM729" s="82"/>
      <c r="AN729" s="82">
        <v>89.6</v>
      </c>
      <c r="AO729" s="82"/>
      <c r="AP729" s="82"/>
      <c r="AQ729" s="82"/>
      <c r="AR729" s="82"/>
      <c r="AS729" s="82"/>
      <c r="AT729" s="82"/>
      <c r="AU729" s="82"/>
      <c r="AV729" s="82"/>
      <c r="BG729" t="s">
        <v>312</v>
      </c>
      <c r="BH729" t="s">
        <v>779</v>
      </c>
      <c r="BL729" s="17">
        <v>1.8976270912904414</v>
      </c>
      <c r="BR729" s="10" t="s">
        <v>842</v>
      </c>
      <c r="BS729" s="10">
        <v>1.8976270912904414</v>
      </c>
      <c r="BY729" s="9" t="s">
        <v>842</v>
      </c>
      <c r="CD729" s="10" t="s">
        <v>842</v>
      </c>
      <c r="CE729" s="10" t="s">
        <v>843</v>
      </c>
      <c r="CG729" t="s">
        <v>651</v>
      </c>
      <c r="CH729" t="s">
        <v>765</v>
      </c>
    </row>
    <row r="730" spans="1:86" x14ac:dyDescent="0.3">
      <c r="A730">
        <v>900</v>
      </c>
      <c r="B730" t="s">
        <v>374</v>
      </c>
      <c r="C730" t="s">
        <v>6</v>
      </c>
      <c r="D730" s="83" t="s">
        <v>844</v>
      </c>
      <c r="F730" t="s">
        <v>840</v>
      </c>
      <c r="G730" t="s">
        <v>841</v>
      </c>
      <c r="Q730">
        <v>68</v>
      </c>
      <c r="AG730" s="83"/>
      <c r="AH730" s="83"/>
      <c r="AI730" s="83"/>
      <c r="AJ730" s="83">
        <v>4.0199999999999996</v>
      </c>
      <c r="AK730" s="83"/>
      <c r="AL730" s="83">
        <v>6</v>
      </c>
      <c r="AM730" s="83"/>
      <c r="AN730" s="83">
        <v>90.5</v>
      </c>
      <c r="AO730" s="83"/>
      <c r="AP730" s="83"/>
      <c r="AQ730" s="83">
        <v>4.13</v>
      </c>
      <c r="AR730" s="83"/>
      <c r="AS730" s="83"/>
      <c r="AT730" s="83"/>
      <c r="AU730" s="83"/>
      <c r="AV730" s="83"/>
      <c r="BG730" t="s">
        <v>312</v>
      </c>
      <c r="BH730" t="s">
        <v>779</v>
      </c>
      <c r="BL730" s="17">
        <v>1.9084850188786497</v>
      </c>
      <c r="BR730" s="10" t="s">
        <v>842</v>
      </c>
      <c r="BS730" s="10">
        <v>1.9084850188786497</v>
      </c>
      <c r="BY730" s="9" t="s">
        <v>842</v>
      </c>
      <c r="CD730" s="10" t="s">
        <v>842</v>
      </c>
      <c r="CE730" s="10" t="s">
        <v>843</v>
      </c>
      <c r="CG730" t="s">
        <v>651</v>
      </c>
      <c r="CH730" t="s">
        <v>765</v>
      </c>
    </row>
    <row r="731" spans="1:86" x14ac:dyDescent="0.3">
      <c r="A731">
        <v>901</v>
      </c>
      <c r="B731" t="s">
        <v>374</v>
      </c>
      <c r="C731" t="s">
        <v>6</v>
      </c>
      <c r="D731" s="82" t="s">
        <v>846</v>
      </c>
      <c r="F731" t="s">
        <v>840</v>
      </c>
      <c r="G731" t="s">
        <v>841</v>
      </c>
      <c r="Q731">
        <v>200</v>
      </c>
      <c r="AG731" s="82"/>
      <c r="AH731" s="82"/>
      <c r="AI731" s="82"/>
      <c r="AJ731" s="82">
        <v>4.53</v>
      </c>
      <c r="AK731" s="82"/>
      <c r="AL731" s="82">
        <v>2.2000000000000002</v>
      </c>
      <c r="AM731" s="82"/>
      <c r="AN731" s="82">
        <v>83.7</v>
      </c>
      <c r="AO731" s="82"/>
      <c r="AP731" s="82"/>
      <c r="AQ731" s="82">
        <v>3.1</v>
      </c>
      <c r="AR731" s="82"/>
      <c r="AS731" s="82"/>
      <c r="AT731" s="82"/>
      <c r="AU731" s="82"/>
      <c r="AV731" s="82"/>
      <c r="BG731" t="s">
        <v>312</v>
      </c>
      <c r="BH731" t="s">
        <v>779</v>
      </c>
      <c r="BL731" s="17">
        <v>2.8615344108590377</v>
      </c>
      <c r="BR731" s="10" t="s">
        <v>842</v>
      </c>
      <c r="BS731" s="10">
        <v>2.8615344108590377</v>
      </c>
      <c r="BY731" s="9" t="s">
        <v>842</v>
      </c>
      <c r="CD731" s="10" t="s">
        <v>842</v>
      </c>
      <c r="CE731" s="10" t="s">
        <v>843</v>
      </c>
      <c r="CG731" t="s">
        <v>651</v>
      </c>
      <c r="CH731" t="s">
        <v>765</v>
      </c>
    </row>
    <row r="732" spans="1:86" x14ac:dyDescent="0.3">
      <c r="A732">
        <v>902</v>
      </c>
      <c r="B732" t="s">
        <v>374</v>
      </c>
      <c r="C732" t="s">
        <v>6</v>
      </c>
      <c r="D732" s="83" t="s">
        <v>845</v>
      </c>
      <c r="F732" t="s">
        <v>840</v>
      </c>
      <c r="G732" t="s">
        <v>841</v>
      </c>
      <c r="Q732">
        <v>100</v>
      </c>
      <c r="AG732" s="83"/>
      <c r="AH732" s="83"/>
      <c r="AI732" s="83"/>
      <c r="AJ732" s="83">
        <v>4.38</v>
      </c>
      <c r="AK732" s="83"/>
      <c r="AL732" s="83">
        <v>1.7</v>
      </c>
      <c r="AM732" s="83"/>
      <c r="AN732" s="83">
        <v>87</v>
      </c>
      <c r="AO732" s="83"/>
      <c r="AP732" s="83"/>
      <c r="AQ732" s="83">
        <v>2.84</v>
      </c>
      <c r="AR732" s="83"/>
      <c r="AS732" s="83"/>
      <c r="AT732" s="83"/>
      <c r="AU732" s="83"/>
      <c r="AV732" s="83"/>
      <c r="BG732" t="s">
        <v>312</v>
      </c>
      <c r="BH732" t="s">
        <v>779</v>
      </c>
      <c r="BL732" s="17">
        <v>1.8450980400142569</v>
      </c>
      <c r="BR732" s="10" t="s">
        <v>842</v>
      </c>
      <c r="BS732" s="10">
        <v>1.8450980400142569</v>
      </c>
      <c r="BY732" s="9" t="s">
        <v>842</v>
      </c>
      <c r="CD732" s="10" t="s">
        <v>842</v>
      </c>
      <c r="CE732" s="10" t="s">
        <v>843</v>
      </c>
      <c r="CG732" t="s">
        <v>651</v>
      </c>
      <c r="CH732" t="s">
        <v>765</v>
      </c>
    </row>
    <row r="733" spans="1:86" x14ac:dyDescent="0.3">
      <c r="A733">
        <v>903</v>
      </c>
      <c r="B733" t="s">
        <v>374</v>
      </c>
      <c r="C733" t="s">
        <v>6</v>
      </c>
      <c r="D733" s="82" t="s">
        <v>845</v>
      </c>
      <c r="F733" t="s">
        <v>840</v>
      </c>
      <c r="G733" t="s">
        <v>841</v>
      </c>
      <c r="Q733">
        <v>280</v>
      </c>
      <c r="AG733" s="82"/>
      <c r="AH733" s="82"/>
      <c r="AI733" s="82"/>
      <c r="AJ733" s="82">
        <v>4.38</v>
      </c>
      <c r="AK733" s="82"/>
      <c r="AL733" s="82">
        <v>1.7</v>
      </c>
      <c r="AM733" s="82"/>
      <c r="AN733" s="82">
        <v>87</v>
      </c>
      <c r="AO733" s="82"/>
      <c r="AP733" s="82"/>
      <c r="AQ733" s="82">
        <v>2.84</v>
      </c>
      <c r="AR733" s="82"/>
      <c r="AS733" s="82"/>
      <c r="AT733" s="82"/>
      <c r="AU733" s="82"/>
      <c r="AV733" s="82"/>
      <c r="BG733" t="s">
        <v>312</v>
      </c>
      <c r="BH733" t="s">
        <v>779</v>
      </c>
      <c r="BL733" s="17">
        <v>1.8450980400142569</v>
      </c>
      <c r="BR733" s="10" t="s">
        <v>842</v>
      </c>
      <c r="BS733" s="10">
        <v>1.8450980400142569</v>
      </c>
      <c r="BY733" s="9" t="s">
        <v>842</v>
      </c>
      <c r="CD733" s="10" t="s">
        <v>842</v>
      </c>
      <c r="CE733" s="10" t="s">
        <v>843</v>
      </c>
      <c r="CG733" t="s">
        <v>651</v>
      </c>
      <c r="CH733" t="s">
        <v>765</v>
      </c>
    </row>
    <row r="734" spans="1:86" x14ac:dyDescent="0.3">
      <c r="A734">
        <v>904</v>
      </c>
      <c r="B734" t="s">
        <v>374</v>
      </c>
      <c r="C734" t="s">
        <v>6</v>
      </c>
      <c r="D734" s="83" t="s">
        <v>839</v>
      </c>
      <c r="F734" t="s">
        <v>840</v>
      </c>
      <c r="G734" t="s">
        <v>841</v>
      </c>
      <c r="Q734">
        <v>240</v>
      </c>
      <c r="AG734" s="83"/>
      <c r="AH734" s="83"/>
      <c r="AI734" s="83"/>
      <c r="AJ734" s="83">
        <v>4.1900000000000004</v>
      </c>
      <c r="AK734" s="83"/>
      <c r="AL734" s="83">
        <v>1.4</v>
      </c>
      <c r="AM734" s="83"/>
      <c r="AN734" s="83">
        <v>89.6</v>
      </c>
      <c r="AO734" s="83"/>
      <c r="AP734" s="83"/>
      <c r="AQ734" s="83"/>
      <c r="AR734" s="83"/>
      <c r="AS734" s="83"/>
      <c r="AT734" s="83"/>
      <c r="AU734" s="83"/>
      <c r="AV734" s="83"/>
      <c r="BG734" t="s">
        <v>312</v>
      </c>
      <c r="BH734" t="s">
        <v>779</v>
      </c>
      <c r="BL734" s="17">
        <v>1.8976270912904414</v>
      </c>
      <c r="BR734" s="10" t="s">
        <v>842</v>
      </c>
      <c r="BS734" s="10">
        <v>1.8976270912904414</v>
      </c>
      <c r="BY734" s="9" t="s">
        <v>842</v>
      </c>
      <c r="CD734" s="10" t="s">
        <v>842</v>
      </c>
      <c r="CE734" s="10" t="s">
        <v>843</v>
      </c>
      <c r="CG734" t="s">
        <v>651</v>
      </c>
      <c r="CH734" t="s">
        <v>765</v>
      </c>
    </row>
    <row r="735" spans="1:86" x14ac:dyDescent="0.3">
      <c r="A735">
        <v>905</v>
      </c>
      <c r="B735" t="s">
        <v>374</v>
      </c>
      <c r="C735" t="s">
        <v>6</v>
      </c>
      <c r="D735" s="82" t="s">
        <v>845</v>
      </c>
      <c r="F735" t="s">
        <v>840</v>
      </c>
      <c r="G735" t="s">
        <v>841</v>
      </c>
      <c r="Q735">
        <v>460</v>
      </c>
      <c r="AG735" s="82"/>
      <c r="AH735" s="82"/>
      <c r="AI735" s="82"/>
      <c r="AJ735" s="82">
        <v>4.38</v>
      </c>
      <c r="AK735" s="82"/>
      <c r="AL735" s="82">
        <v>1.7</v>
      </c>
      <c r="AM735" s="82"/>
      <c r="AN735" s="82">
        <v>87</v>
      </c>
      <c r="AO735" s="82"/>
      <c r="AP735" s="82"/>
      <c r="AQ735" s="82">
        <v>2.84</v>
      </c>
      <c r="AR735" s="82"/>
      <c r="AS735" s="82"/>
      <c r="AT735" s="82"/>
      <c r="AU735" s="82"/>
      <c r="AV735" s="82"/>
      <c r="BG735" t="s">
        <v>312</v>
      </c>
      <c r="BH735" t="s">
        <v>779</v>
      </c>
      <c r="BL735" s="17">
        <v>1.8450980400142569</v>
      </c>
      <c r="BR735" s="10" t="s">
        <v>842</v>
      </c>
      <c r="BS735" s="10">
        <v>1.8450980400142569</v>
      </c>
      <c r="BY735" s="9" t="s">
        <v>842</v>
      </c>
      <c r="CD735" s="10" t="s">
        <v>842</v>
      </c>
      <c r="CE735" s="10" t="s">
        <v>843</v>
      </c>
      <c r="CG735" t="s">
        <v>651</v>
      </c>
      <c r="CH735" t="s">
        <v>765</v>
      </c>
    </row>
    <row r="736" spans="1:86" x14ac:dyDescent="0.3">
      <c r="A736">
        <v>906</v>
      </c>
      <c r="B736" t="s">
        <v>374</v>
      </c>
      <c r="C736" t="s">
        <v>6</v>
      </c>
      <c r="D736" s="83" t="s">
        <v>839</v>
      </c>
      <c r="F736" t="s">
        <v>840</v>
      </c>
      <c r="G736" t="s">
        <v>841</v>
      </c>
      <c r="Q736">
        <v>460</v>
      </c>
      <c r="AG736" s="83"/>
      <c r="AH736" s="83"/>
      <c r="AI736" s="83"/>
      <c r="AJ736" s="83">
        <v>4.1900000000000004</v>
      </c>
      <c r="AK736" s="83"/>
      <c r="AL736" s="83">
        <v>1.4</v>
      </c>
      <c r="AM736" s="83"/>
      <c r="AN736" s="83">
        <v>89.6</v>
      </c>
      <c r="AO736" s="83"/>
      <c r="AP736" s="83"/>
      <c r="AQ736" s="83"/>
      <c r="AR736" s="83"/>
      <c r="AS736" s="83"/>
      <c r="AT736" s="83"/>
      <c r="AU736" s="83"/>
      <c r="AV736" s="83"/>
      <c r="BG736" t="s">
        <v>312</v>
      </c>
      <c r="BH736" t="s">
        <v>779</v>
      </c>
      <c r="BL736" s="17">
        <v>1.8976270912904414</v>
      </c>
      <c r="BR736" s="10" t="s">
        <v>842</v>
      </c>
      <c r="BS736" s="10">
        <v>1.8976270912904414</v>
      </c>
      <c r="BY736" s="9" t="s">
        <v>842</v>
      </c>
      <c r="CD736" s="10" t="s">
        <v>842</v>
      </c>
      <c r="CE736" s="10" t="s">
        <v>843</v>
      </c>
      <c r="CG736" t="s">
        <v>651</v>
      </c>
      <c r="CH736" t="s">
        <v>765</v>
      </c>
    </row>
    <row r="737" spans="1:86" x14ac:dyDescent="0.3">
      <c r="A737">
        <v>907</v>
      </c>
      <c r="B737" t="s">
        <v>374</v>
      </c>
      <c r="C737" t="s">
        <v>6</v>
      </c>
      <c r="D737" s="82" t="s">
        <v>844</v>
      </c>
      <c r="F737" t="s">
        <v>840</v>
      </c>
      <c r="G737" t="s">
        <v>841</v>
      </c>
      <c r="Q737">
        <v>450</v>
      </c>
      <c r="AG737" s="82"/>
      <c r="AH737" s="82"/>
      <c r="AI737" s="82"/>
      <c r="AJ737" s="82">
        <v>4.0199999999999996</v>
      </c>
      <c r="AK737" s="82"/>
      <c r="AL737" s="82">
        <v>6</v>
      </c>
      <c r="AM737" s="82"/>
      <c r="AN737" s="82">
        <v>90.5</v>
      </c>
      <c r="AO737" s="82"/>
      <c r="AP737" s="82"/>
      <c r="AQ737" s="82">
        <v>4.13</v>
      </c>
      <c r="AR737" s="82"/>
      <c r="AS737" s="82"/>
      <c r="AT737" s="82"/>
      <c r="AU737" s="82"/>
      <c r="AV737" s="82"/>
      <c r="BG737" t="s">
        <v>312</v>
      </c>
      <c r="BH737" t="s">
        <v>779</v>
      </c>
      <c r="BL737" s="17">
        <v>1.9084850188786497</v>
      </c>
      <c r="BR737" s="10" t="s">
        <v>842</v>
      </c>
      <c r="BS737" s="10">
        <v>1.9084850188786497</v>
      </c>
      <c r="BY737" s="9" t="s">
        <v>842</v>
      </c>
      <c r="CD737" s="10" t="s">
        <v>842</v>
      </c>
      <c r="CE737" s="10" t="s">
        <v>843</v>
      </c>
      <c r="CG737" t="s">
        <v>651</v>
      </c>
      <c r="CH737" t="s">
        <v>765</v>
      </c>
    </row>
    <row r="738" spans="1:86" x14ac:dyDescent="0.3">
      <c r="A738">
        <v>908</v>
      </c>
      <c r="B738" t="s">
        <v>374</v>
      </c>
      <c r="C738" t="s">
        <v>6</v>
      </c>
      <c r="D738" s="83" t="s">
        <v>846</v>
      </c>
      <c r="F738" t="s">
        <v>840</v>
      </c>
      <c r="G738" t="s">
        <v>841</v>
      </c>
      <c r="Q738">
        <v>45</v>
      </c>
      <c r="AG738" s="83"/>
      <c r="AH738" s="83"/>
      <c r="AI738" s="83"/>
      <c r="AJ738" s="83">
        <v>4.53</v>
      </c>
      <c r="AK738" s="83"/>
      <c r="AL738" s="83">
        <v>2.2000000000000002</v>
      </c>
      <c r="AM738" s="83"/>
      <c r="AN738" s="83">
        <v>83.7</v>
      </c>
      <c r="AO738" s="83"/>
      <c r="AP738" s="83"/>
      <c r="AQ738" s="83">
        <v>3.1</v>
      </c>
      <c r="AR738" s="83"/>
      <c r="AS738" s="83"/>
      <c r="AT738" s="83"/>
      <c r="AU738" s="83"/>
      <c r="AV738" s="83"/>
      <c r="BG738" t="s">
        <v>311</v>
      </c>
      <c r="BH738" t="s">
        <v>315</v>
      </c>
      <c r="BL738">
        <v>5.5</v>
      </c>
      <c r="BR738" s="10" t="s">
        <v>842</v>
      </c>
      <c r="BS738" s="10">
        <v>5.5</v>
      </c>
      <c r="BY738" s="9" t="s">
        <v>842</v>
      </c>
      <c r="CD738" s="10" t="s">
        <v>842</v>
      </c>
      <c r="CE738" s="10" t="s">
        <v>843</v>
      </c>
      <c r="CG738" t="s">
        <v>651</v>
      </c>
      <c r="CH738" t="s">
        <v>765</v>
      </c>
    </row>
    <row r="739" spans="1:86" x14ac:dyDescent="0.3">
      <c r="A739">
        <v>909</v>
      </c>
      <c r="B739" t="s">
        <v>374</v>
      </c>
      <c r="C739" t="s">
        <v>6</v>
      </c>
      <c r="D739" s="82" t="s">
        <v>839</v>
      </c>
      <c r="F739" t="s">
        <v>840</v>
      </c>
      <c r="G739" t="s">
        <v>841</v>
      </c>
      <c r="Q739">
        <v>45</v>
      </c>
      <c r="AG739" s="82"/>
      <c r="AH739" s="82"/>
      <c r="AI739" s="82"/>
      <c r="AJ739" s="82">
        <v>4.1900000000000004</v>
      </c>
      <c r="AK739" s="82"/>
      <c r="AL739" s="82">
        <v>1.4</v>
      </c>
      <c r="AM739" s="82"/>
      <c r="AN739" s="82">
        <v>89.6</v>
      </c>
      <c r="AO739" s="82"/>
      <c r="AP739" s="82"/>
      <c r="AQ739" s="82"/>
      <c r="AR739" s="82"/>
      <c r="AS739" s="82"/>
      <c r="AT739" s="82"/>
      <c r="AU739" s="82"/>
      <c r="AV739" s="82"/>
      <c r="BG739" t="s">
        <v>311</v>
      </c>
      <c r="BH739" t="s">
        <v>315</v>
      </c>
      <c r="BL739">
        <v>5.5</v>
      </c>
      <c r="BR739" s="10" t="s">
        <v>842</v>
      </c>
      <c r="BS739" s="10">
        <v>5.5</v>
      </c>
      <c r="BY739" s="9" t="s">
        <v>842</v>
      </c>
      <c r="CD739" s="10" t="s">
        <v>842</v>
      </c>
      <c r="CE739" s="10" t="s">
        <v>843</v>
      </c>
      <c r="CG739" t="s">
        <v>651</v>
      </c>
      <c r="CH739" t="s">
        <v>765</v>
      </c>
    </row>
    <row r="740" spans="1:86" x14ac:dyDescent="0.3">
      <c r="A740">
        <v>910</v>
      </c>
      <c r="B740" t="s">
        <v>374</v>
      </c>
      <c r="C740" t="s">
        <v>6</v>
      </c>
      <c r="D740" s="83" t="s">
        <v>844</v>
      </c>
      <c r="F740" t="s">
        <v>840</v>
      </c>
      <c r="G740" t="s">
        <v>841</v>
      </c>
      <c r="Q740">
        <v>90</v>
      </c>
      <c r="AG740" s="83"/>
      <c r="AH740" s="83"/>
      <c r="AI740" s="83"/>
      <c r="AJ740" s="83">
        <v>1.02</v>
      </c>
      <c r="AK740" s="83"/>
      <c r="AL740" s="83">
        <v>6</v>
      </c>
      <c r="AM740" s="83"/>
      <c r="AN740" s="83">
        <v>90.5</v>
      </c>
      <c r="AO740" s="83"/>
      <c r="AP740" s="83"/>
      <c r="AQ740" s="83">
        <v>4.13</v>
      </c>
      <c r="AR740" s="83"/>
      <c r="AS740" s="83"/>
      <c r="AT740" s="83"/>
      <c r="AU740" s="83"/>
      <c r="AV740" s="83"/>
      <c r="BG740" t="s">
        <v>311</v>
      </c>
      <c r="BH740" t="s">
        <v>315</v>
      </c>
      <c r="BL740">
        <v>4.4000000000000004</v>
      </c>
      <c r="BS740" s="10">
        <v>6.1</v>
      </c>
      <c r="BY740">
        <v>1.6999999999999993</v>
      </c>
      <c r="CE740" s="10" t="s">
        <v>843</v>
      </c>
      <c r="CG740" t="s">
        <v>651</v>
      </c>
      <c r="CH740" t="s">
        <v>765</v>
      </c>
    </row>
    <row r="741" spans="1:86" x14ac:dyDescent="0.3">
      <c r="A741">
        <v>911</v>
      </c>
      <c r="B741" t="s">
        <v>374</v>
      </c>
      <c r="C741" t="s">
        <v>6</v>
      </c>
      <c r="D741" s="82" t="s">
        <v>846</v>
      </c>
      <c r="F741" t="s">
        <v>840</v>
      </c>
      <c r="G741" t="s">
        <v>841</v>
      </c>
      <c r="Q741">
        <v>200</v>
      </c>
      <c r="AG741" s="82"/>
      <c r="AH741" s="82"/>
      <c r="AI741" s="82"/>
      <c r="AJ741" s="82">
        <v>4.53</v>
      </c>
      <c r="AK741" s="82"/>
      <c r="AL741" s="82">
        <v>2.2000000000000002</v>
      </c>
      <c r="AM741" s="82"/>
      <c r="AN741" s="82">
        <v>83.7</v>
      </c>
      <c r="AO741" s="82"/>
      <c r="AP741" s="82"/>
      <c r="AQ741" s="82">
        <v>3.1</v>
      </c>
      <c r="AR741" s="82"/>
      <c r="AS741" s="82"/>
      <c r="AT741" s="82"/>
      <c r="AU741" s="82"/>
      <c r="AV741" s="82"/>
      <c r="BG741" t="s">
        <v>311</v>
      </c>
      <c r="BH741" t="s">
        <v>315</v>
      </c>
      <c r="BL741">
        <v>5.5</v>
      </c>
      <c r="BR741" s="10" t="s">
        <v>842</v>
      </c>
      <c r="BS741" s="10">
        <v>5.5</v>
      </c>
      <c r="BY741" s="9" t="s">
        <v>842</v>
      </c>
      <c r="CD741" s="10" t="s">
        <v>842</v>
      </c>
      <c r="CE741" s="10" t="s">
        <v>843</v>
      </c>
      <c r="CG741" t="s">
        <v>651</v>
      </c>
      <c r="CH741" t="s">
        <v>765</v>
      </c>
    </row>
    <row r="742" spans="1:86" x14ac:dyDescent="0.3">
      <c r="A742">
        <v>912</v>
      </c>
      <c r="B742" t="s">
        <v>374</v>
      </c>
      <c r="C742" t="s">
        <v>6</v>
      </c>
      <c r="D742" s="83" t="s">
        <v>845</v>
      </c>
      <c r="F742" t="s">
        <v>840</v>
      </c>
      <c r="G742" t="s">
        <v>841</v>
      </c>
      <c r="Q742">
        <v>100</v>
      </c>
      <c r="AG742" s="83"/>
      <c r="AH742" s="83"/>
      <c r="AI742" s="83"/>
      <c r="AJ742" s="83">
        <v>4.38</v>
      </c>
      <c r="AK742" s="83"/>
      <c r="AL742" s="83">
        <v>1.7</v>
      </c>
      <c r="AM742" s="83"/>
      <c r="AN742" s="83">
        <v>87</v>
      </c>
      <c r="AO742" s="83"/>
      <c r="AP742" s="83"/>
      <c r="AQ742" s="83">
        <v>2.84</v>
      </c>
      <c r="AR742" s="83"/>
      <c r="AS742" s="83"/>
      <c r="AT742" s="83"/>
      <c r="AU742" s="83"/>
      <c r="AV742" s="83"/>
      <c r="BG742" t="s">
        <v>311</v>
      </c>
      <c r="BH742" t="s">
        <v>315</v>
      </c>
      <c r="BL742">
        <v>6.2</v>
      </c>
      <c r="BR742" s="10" t="s">
        <v>842</v>
      </c>
      <c r="BS742" s="10">
        <v>6.2</v>
      </c>
      <c r="BY742" s="9" t="s">
        <v>842</v>
      </c>
      <c r="CD742" s="10" t="s">
        <v>842</v>
      </c>
      <c r="CE742" s="10" t="s">
        <v>843</v>
      </c>
      <c r="CG742" t="s">
        <v>651</v>
      </c>
      <c r="CH742" t="s">
        <v>765</v>
      </c>
    </row>
    <row r="743" spans="1:86" x14ac:dyDescent="0.3">
      <c r="A743">
        <v>913</v>
      </c>
      <c r="B743" t="s">
        <v>374</v>
      </c>
      <c r="C743" t="s">
        <v>6</v>
      </c>
      <c r="D743" s="82" t="s">
        <v>839</v>
      </c>
      <c r="F743" t="s">
        <v>840</v>
      </c>
      <c r="G743" t="s">
        <v>841</v>
      </c>
      <c r="Q743">
        <v>280</v>
      </c>
      <c r="AG743" s="82"/>
      <c r="AH743" s="82"/>
      <c r="AI743" s="82"/>
      <c r="AJ743" s="82">
        <v>4.1900000000000004</v>
      </c>
      <c r="AK743" s="82"/>
      <c r="AL743" s="82">
        <v>1.4</v>
      </c>
      <c r="AM743" s="82"/>
      <c r="AN743" s="82">
        <v>89.6</v>
      </c>
      <c r="AO743" s="82"/>
      <c r="AP743" s="82"/>
      <c r="AQ743" s="82"/>
      <c r="AR743" s="82"/>
      <c r="AS743" s="82"/>
      <c r="AT743" s="82"/>
      <c r="AU743" s="82"/>
      <c r="AV743" s="82"/>
      <c r="BG743" t="s">
        <v>311</v>
      </c>
      <c r="BH743" t="s">
        <v>315</v>
      </c>
      <c r="BL743">
        <v>5.5</v>
      </c>
      <c r="BR743" s="10" t="s">
        <v>842</v>
      </c>
      <c r="BS743" s="10">
        <v>5.5</v>
      </c>
      <c r="BY743" s="9" t="s">
        <v>842</v>
      </c>
      <c r="CD743" s="10" t="s">
        <v>842</v>
      </c>
      <c r="CE743" s="10" t="s">
        <v>843</v>
      </c>
      <c r="CG743" t="s">
        <v>651</v>
      </c>
      <c r="CH743" t="s">
        <v>765</v>
      </c>
    </row>
    <row r="744" spans="1:86" x14ac:dyDescent="0.3">
      <c r="A744">
        <v>914</v>
      </c>
      <c r="B744" t="s">
        <v>374</v>
      </c>
      <c r="C744" t="s">
        <v>6</v>
      </c>
      <c r="D744" s="83" t="s">
        <v>844</v>
      </c>
      <c r="F744" t="s">
        <v>840</v>
      </c>
      <c r="G744" t="s">
        <v>841</v>
      </c>
      <c r="Q744">
        <v>300</v>
      </c>
      <c r="AG744" s="83"/>
      <c r="AH744" s="83"/>
      <c r="AI744" s="83"/>
      <c r="AJ744" s="83">
        <v>4.0199999999999996</v>
      </c>
      <c r="AK744" s="83"/>
      <c r="AL744" s="83">
        <v>6</v>
      </c>
      <c r="AM744" s="83"/>
      <c r="AN744" s="83">
        <v>90.5</v>
      </c>
      <c r="AO744" s="83"/>
      <c r="AP744" s="83"/>
      <c r="AQ744" s="83">
        <v>4.13</v>
      </c>
      <c r="AR744" s="83"/>
      <c r="AS744" s="83"/>
      <c r="AT744" s="83"/>
      <c r="AU744" s="83"/>
      <c r="AV744" s="83"/>
      <c r="BG744" t="s">
        <v>311</v>
      </c>
      <c r="BH744" t="s">
        <v>315</v>
      </c>
      <c r="BL744">
        <v>6.1</v>
      </c>
      <c r="BR744" s="10" t="s">
        <v>842</v>
      </c>
      <c r="BS744" s="10">
        <v>6.1</v>
      </c>
      <c r="BY744" s="9" t="s">
        <v>842</v>
      </c>
      <c r="CD744" s="10" t="s">
        <v>842</v>
      </c>
      <c r="CE744" s="10" t="s">
        <v>843</v>
      </c>
      <c r="CG744" t="s">
        <v>651</v>
      </c>
      <c r="CH744" t="s">
        <v>765</v>
      </c>
    </row>
    <row r="745" spans="1:86" x14ac:dyDescent="0.3">
      <c r="A745">
        <v>915</v>
      </c>
      <c r="B745" t="s">
        <v>374</v>
      </c>
      <c r="C745" t="s">
        <v>6</v>
      </c>
      <c r="D745" s="82" t="s">
        <v>846</v>
      </c>
      <c r="F745" t="s">
        <v>840</v>
      </c>
      <c r="G745" t="s">
        <v>841</v>
      </c>
      <c r="Q745">
        <v>430</v>
      </c>
      <c r="AG745" s="82"/>
      <c r="AH745" s="82"/>
      <c r="AI745" s="82"/>
      <c r="AJ745" s="82">
        <v>4.53</v>
      </c>
      <c r="AK745" s="82"/>
      <c r="AL745" s="82">
        <v>2.2000000000000002</v>
      </c>
      <c r="AM745" s="82"/>
      <c r="AN745" s="82">
        <v>83.7</v>
      </c>
      <c r="AO745" s="82"/>
      <c r="AP745" s="82"/>
      <c r="AQ745" s="82">
        <v>3.1</v>
      </c>
      <c r="AR745" s="82"/>
      <c r="AS745" s="82"/>
      <c r="AT745" s="82"/>
      <c r="AU745" s="82"/>
      <c r="AV745" s="82"/>
      <c r="BG745" t="s">
        <v>311</v>
      </c>
      <c r="BH745" t="s">
        <v>315</v>
      </c>
      <c r="BL745">
        <v>5.5</v>
      </c>
      <c r="BR745" s="10" t="s">
        <v>842</v>
      </c>
      <c r="BS745" s="10">
        <v>5.5</v>
      </c>
      <c r="BY745" s="9" t="s">
        <v>842</v>
      </c>
      <c r="CD745" s="10" t="s">
        <v>842</v>
      </c>
      <c r="CE745" s="10" t="s">
        <v>843</v>
      </c>
      <c r="CG745" t="s">
        <v>651</v>
      </c>
      <c r="CH745" t="s">
        <v>765</v>
      </c>
    </row>
    <row r="746" spans="1:86" x14ac:dyDescent="0.3">
      <c r="A746">
        <v>916</v>
      </c>
      <c r="B746" t="s">
        <v>374</v>
      </c>
      <c r="C746" t="s">
        <v>6</v>
      </c>
      <c r="D746" s="83" t="s">
        <v>839</v>
      </c>
      <c r="F746" t="s">
        <v>840</v>
      </c>
      <c r="G746" t="s">
        <v>841</v>
      </c>
      <c r="Q746">
        <v>460</v>
      </c>
      <c r="AG746" s="83"/>
      <c r="AH746" s="83"/>
      <c r="AI746" s="83"/>
      <c r="AJ746" s="83">
        <v>4.1900000000000004</v>
      </c>
      <c r="AK746" s="83"/>
      <c r="AL746" s="83">
        <v>1.4</v>
      </c>
      <c r="AM746" s="83"/>
      <c r="AN746" s="83">
        <v>89.6</v>
      </c>
      <c r="AO746" s="83"/>
      <c r="AP746" s="83"/>
      <c r="AQ746" s="83"/>
      <c r="AR746" s="83"/>
      <c r="AS746" s="83"/>
      <c r="AT746" s="83"/>
      <c r="AU746" s="83"/>
      <c r="AV746" s="83"/>
      <c r="BG746" t="s">
        <v>311</v>
      </c>
      <c r="BH746" t="s">
        <v>315</v>
      </c>
      <c r="BL746">
        <v>6.5</v>
      </c>
      <c r="BR746" s="10" t="s">
        <v>842</v>
      </c>
      <c r="BS746" s="10">
        <v>6.5</v>
      </c>
      <c r="BY746" s="9" t="s">
        <v>842</v>
      </c>
      <c r="CD746" s="10" t="s">
        <v>842</v>
      </c>
      <c r="CE746" s="10" t="s">
        <v>843</v>
      </c>
      <c r="CG746" t="s">
        <v>651</v>
      </c>
      <c r="CH746" t="s">
        <v>765</v>
      </c>
    </row>
    <row r="747" spans="1:86" x14ac:dyDescent="0.3">
      <c r="A747">
        <v>917</v>
      </c>
      <c r="B747" t="s">
        <v>374</v>
      </c>
      <c r="C747" t="s">
        <v>6</v>
      </c>
      <c r="D747" s="82" t="s">
        <v>844</v>
      </c>
      <c r="F747" t="s">
        <v>840</v>
      </c>
      <c r="G747" t="s">
        <v>841</v>
      </c>
      <c r="Q747">
        <v>500</v>
      </c>
      <c r="AG747" s="82"/>
      <c r="AH747" s="82"/>
      <c r="AI747" s="82"/>
      <c r="AJ747" s="82">
        <v>4.0199999999999996</v>
      </c>
      <c r="AK747" s="82"/>
      <c r="AL747" s="82">
        <v>6</v>
      </c>
      <c r="AM747" s="82"/>
      <c r="AN747" s="82">
        <v>90.5</v>
      </c>
      <c r="AO747" s="82"/>
      <c r="AP747" s="82"/>
      <c r="AQ747" s="82">
        <v>4.13</v>
      </c>
      <c r="AR747" s="82"/>
      <c r="AS747" s="82"/>
      <c r="AT747" s="82"/>
      <c r="AU747" s="82"/>
      <c r="AV747" s="82"/>
      <c r="BG747" t="s">
        <v>311</v>
      </c>
      <c r="BH747" t="s">
        <v>315</v>
      </c>
      <c r="BL747">
        <v>6.1</v>
      </c>
      <c r="BR747" s="10" t="s">
        <v>842</v>
      </c>
      <c r="BS747" s="10">
        <v>6.1</v>
      </c>
      <c r="BY747" s="9" t="s">
        <v>842</v>
      </c>
      <c r="CD747" s="10" t="s">
        <v>842</v>
      </c>
      <c r="CE747" s="10" t="s">
        <v>843</v>
      </c>
      <c r="CG747" t="s">
        <v>651</v>
      </c>
      <c r="CH747" t="s">
        <v>765</v>
      </c>
    </row>
    <row r="748" spans="1:86" x14ac:dyDescent="0.3">
      <c r="A748">
        <v>918</v>
      </c>
      <c r="B748" t="s">
        <v>375</v>
      </c>
      <c r="C748" t="s">
        <v>6</v>
      </c>
      <c r="F748" t="s">
        <v>840</v>
      </c>
      <c r="G748" t="s">
        <v>847</v>
      </c>
      <c r="P748">
        <v>60</v>
      </c>
      <c r="Q748">
        <v>297</v>
      </c>
      <c r="AG748" s="83"/>
      <c r="AH748" s="83"/>
      <c r="AI748" s="83"/>
      <c r="AJ748" s="83">
        <v>27.5</v>
      </c>
      <c r="AK748" s="83"/>
      <c r="AL748" s="83">
        <v>28.4</v>
      </c>
      <c r="AM748" s="83"/>
      <c r="AN748" s="83"/>
      <c r="AO748" s="83"/>
      <c r="AP748" s="83"/>
      <c r="AQ748" s="83"/>
      <c r="AR748" s="83"/>
      <c r="AS748" s="83"/>
      <c r="AT748" s="83"/>
      <c r="AU748" s="83"/>
      <c r="AV748" s="83"/>
      <c r="BG748" t="s">
        <v>312</v>
      </c>
      <c r="BH748" t="s">
        <v>314</v>
      </c>
      <c r="BL748">
        <v>7.1</v>
      </c>
      <c r="BR748" s="10" t="s">
        <v>842</v>
      </c>
      <c r="BS748" s="10">
        <v>7.1</v>
      </c>
      <c r="BY748" s="9" t="s">
        <v>842</v>
      </c>
      <c r="CD748" s="10" t="s">
        <v>842</v>
      </c>
      <c r="CE748" s="10" t="s">
        <v>843</v>
      </c>
      <c r="CF748" t="s">
        <v>848</v>
      </c>
      <c r="CG748" t="s">
        <v>651</v>
      </c>
      <c r="CH748" t="s">
        <v>765</v>
      </c>
    </row>
    <row r="749" spans="1:86" x14ac:dyDescent="0.3">
      <c r="A749">
        <v>919</v>
      </c>
      <c r="B749" t="s">
        <v>375</v>
      </c>
      <c r="C749" t="s">
        <v>6</v>
      </c>
      <c r="F749" t="s">
        <v>840</v>
      </c>
      <c r="G749" t="s">
        <v>849</v>
      </c>
      <c r="P749">
        <v>60</v>
      </c>
      <c r="Q749">
        <v>474</v>
      </c>
      <c r="AG749" s="82"/>
      <c r="AH749" s="82"/>
      <c r="AI749" s="82"/>
      <c r="AJ749" s="82">
        <v>27.5</v>
      </c>
      <c r="AK749" s="82"/>
      <c r="AL749" s="82">
        <v>28.4</v>
      </c>
      <c r="AM749" s="82"/>
      <c r="AN749" s="82"/>
      <c r="AO749" s="82"/>
      <c r="AP749" s="82"/>
      <c r="AQ749" s="82"/>
      <c r="AR749" s="82"/>
      <c r="AS749" s="82"/>
      <c r="AT749" s="82"/>
      <c r="AU749" s="82"/>
      <c r="AV749" s="82"/>
      <c r="BG749" t="s">
        <v>312</v>
      </c>
      <c r="BH749" t="s">
        <v>314</v>
      </c>
      <c r="BL749">
        <v>6.5</v>
      </c>
      <c r="BR749" s="10" t="s">
        <v>842</v>
      </c>
      <c r="BS749" s="10">
        <v>6.5</v>
      </c>
      <c r="BY749" s="9" t="s">
        <v>842</v>
      </c>
      <c r="CD749" s="10" t="s">
        <v>842</v>
      </c>
      <c r="CE749" s="10" t="s">
        <v>843</v>
      </c>
      <c r="CF749" t="s">
        <v>848</v>
      </c>
      <c r="CG749" t="s">
        <v>651</v>
      </c>
      <c r="CH749" t="s">
        <v>765</v>
      </c>
    </row>
    <row r="750" spans="1:86" x14ac:dyDescent="0.3">
      <c r="A750">
        <v>920</v>
      </c>
      <c r="B750" t="s">
        <v>375</v>
      </c>
      <c r="C750" t="s">
        <v>6</v>
      </c>
      <c r="F750" t="s">
        <v>840</v>
      </c>
      <c r="G750" t="s">
        <v>850</v>
      </c>
      <c r="P750">
        <v>60</v>
      </c>
      <c r="Q750">
        <v>180</v>
      </c>
      <c r="AG750" s="83"/>
      <c r="AH750" s="83"/>
      <c r="AI750" s="83"/>
      <c r="AJ750" s="83">
        <v>27.5</v>
      </c>
      <c r="AK750" s="83"/>
      <c r="AL750" s="83">
        <v>28.4</v>
      </c>
      <c r="AM750" s="83"/>
      <c r="AN750" s="83"/>
      <c r="AO750" s="83"/>
      <c r="AP750" s="83"/>
      <c r="AQ750" s="83"/>
      <c r="AR750" s="83"/>
      <c r="AS750" s="83"/>
      <c r="AT750" s="83"/>
      <c r="AU750" s="83"/>
      <c r="AV750" s="83"/>
      <c r="BG750" t="s">
        <v>312</v>
      </c>
      <c r="BH750" t="s">
        <v>314</v>
      </c>
      <c r="BL750">
        <v>5.2</v>
      </c>
      <c r="BR750" s="10" t="s">
        <v>842</v>
      </c>
      <c r="BS750" s="10">
        <v>5.2</v>
      </c>
      <c r="BY750" s="9" t="s">
        <v>842</v>
      </c>
      <c r="CD750" s="10" t="s">
        <v>842</v>
      </c>
      <c r="CE750" s="10" t="s">
        <v>843</v>
      </c>
      <c r="CF750" t="s">
        <v>848</v>
      </c>
      <c r="CG750" t="s">
        <v>651</v>
      </c>
      <c r="CH750" t="s">
        <v>765</v>
      </c>
    </row>
    <row r="751" spans="1:86" x14ac:dyDescent="0.3">
      <c r="A751">
        <v>921</v>
      </c>
      <c r="B751" t="s">
        <v>375</v>
      </c>
      <c r="C751" t="s">
        <v>6</v>
      </c>
      <c r="F751" t="s">
        <v>840</v>
      </c>
      <c r="G751" t="s">
        <v>847</v>
      </c>
      <c r="P751">
        <v>60</v>
      </c>
      <c r="Q751">
        <v>297</v>
      </c>
      <c r="AG751" s="82"/>
      <c r="AH751" s="82"/>
      <c r="AI751" s="82"/>
      <c r="AJ751" s="82">
        <v>45</v>
      </c>
      <c r="AK751" s="82"/>
      <c r="AL751" s="82">
        <v>25.8</v>
      </c>
      <c r="AM751" s="82"/>
      <c r="AN751" s="82"/>
      <c r="AO751" s="82"/>
      <c r="AP751" s="82"/>
      <c r="AQ751" s="82"/>
      <c r="AR751" s="82"/>
      <c r="AS751" s="82"/>
      <c r="AT751" s="82"/>
      <c r="AU751" s="82"/>
      <c r="AV751" s="82"/>
      <c r="BG751" t="s">
        <v>312</v>
      </c>
      <c r="BH751" t="s">
        <v>851</v>
      </c>
      <c r="BL751">
        <v>8</v>
      </c>
      <c r="BR751" s="10" t="s">
        <v>842</v>
      </c>
      <c r="BS751" s="10">
        <v>8</v>
      </c>
      <c r="BY751" s="9" t="s">
        <v>842</v>
      </c>
      <c r="CD751" s="10" t="s">
        <v>842</v>
      </c>
      <c r="CE751" s="10" t="s">
        <v>843</v>
      </c>
      <c r="CF751" t="s">
        <v>848</v>
      </c>
      <c r="CG751" t="s">
        <v>651</v>
      </c>
      <c r="CH751" t="s">
        <v>765</v>
      </c>
    </row>
    <row r="752" spans="1:86" x14ac:dyDescent="0.3">
      <c r="A752">
        <v>922</v>
      </c>
      <c r="B752" t="s">
        <v>375</v>
      </c>
      <c r="C752" t="s">
        <v>6</v>
      </c>
      <c r="F752" t="s">
        <v>840</v>
      </c>
      <c r="G752" t="s">
        <v>849</v>
      </c>
      <c r="P752">
        <v>60</v>
      </c>
      <c r="Q752">
        <v>474</v>
      </c>
      <c r="AG752" s="83"/>
      <c r="AH752" s="83"/>
      <c r="AI752" s="83"/>
      <c r="AJ752" s="83">
        <v>45</v>
      </c>
      <c r="AK752" s="83"/>
      <c r="AL752" s="83">
        <v>25.8</v>
      </c>
      <c r="AM752" s="83"/>
      <c r="AN752" s="83"/>
      <c r="AO752" s="83"/>
      <c r="AP752" s="83"/>
      <c r="AQ752" s="83"/>
      <c r="AR752" s="83"/>
      <c r="AS752" s="83"/>
      <c r="AT752" s="83"/>
      <c r="AU752" s="83"/>
      <c r="AV752" s="83"/>
      <c r="BG752" t="s">
        <v>312</v>
      </c>
      <c r="BH752" t="s">
        <v>851</v>
      </c>
      <c r="BL752">
        <v>7.8</v>
      </c>
      <c r="BR752" s="10" t="s">
        <v>842</v>
      </c>
      <c r="BS752" s="10">
        <v>7.8</v>
      </c>
      <c r="BY752" s="9" t="s">
        <v>842</v>
      </c>
      <c r="CD752" s="10" t="s">
        <v>842</v>
      </c>
      <c r="CE752" s="10" t="s">
        <v>843</v>
      </c>
      <c r="CF752" t="s">
        <v>848</v>
      </c>
      <c r="CG752" t="s">
        <v>651</v>
      </c>
      <c r="CH752" t="s">
        <v>765</v>
      </c>
    </row>
    <row r="753" spans="1:86" x14ac:dyDescent="0.3">
      <c r="A753">
        <v>923</v>
      </c>
      <c r="B753" t="s">
        <v>375</v>
      </c>
      <c r="C753" t="s">
        <v>6</v>
      </c>
      <c r="F753" t="s">
        <v>840</v>
      </c>
      <c r="G753" t="s">
        <v>850</v>
      </c>
      <c r="P753">
        <v>60</v>
      </c>
      <c r="Q753">
        <v>180</v>
      </c>
      <c r="AG753" s="82"/>
      <c r="AH753" s="82"/>
      <c r="AI753" s="82"/>
      <c r="AJ753" s="82">
        <v>45</v>
      </c>
      <c r="AK753" s="82"/>
      <c r="AL753" s="82">
        <v>25.8</v>
      </c>
      <c r="AM753" s="82"/>
      <c r="AN753" s="82"/>
      <c r="AO753" s="82"/>
      <c r="AP753" s="82"/>
      <c r="AQ753" s="82"/>
      <c r="AR753" s="82"/>
      <c r="AS753" s="82"/>
      <c r="AT753" s="82"/>
      <c r="AU753" s="82"/>
      <c r="AV753" s="82"/>
      <c r="BG753" t="s">
        <v>312</v>
      </c>
      <c r="BH753" t="s">
        <v>851</v>
      </c>
      <c r="BL753">
        <v>7.8</v>
      </c>
      <c r="BR753" s="10" t="s">
        <v>842</v>
      </c>
      <c r="BS753" s="10">
        <v>7.8</v>
      </c>
      <c r="BY753" s="9" t="s">
        <v>842</v>
      </c>
      <c r="CD753" s="10" t="s">
        <v>842</v>
      </c>
      <c r="CE753" s="10" t="s">
        <v>843</v>
      </c>
      <c r="CF753" t="s">
        <v>848</v>
      </c>
      <c r="CG753" t="s">
        <v>651</v>
      </c>
      <c r="CH753" t="s">
        <v>765</v>
      </c>
    </row>
    <row r="754" spans="1:86" x14ac:dyDescent="0.3">
      <c r="A754">
        <v>924</v>
      </c>
      <c r="B754" t="s">
        <v>375</v>
      </c>
      <c r="C754" t="s">
        <v>6</v>
      </c>
      <c r="F754" t="s">
        <v>840</v>
      </c>
      <c r="G754" t="s">
        <v>849</v>
      </c>
      <c r="P754">
        <v>60</v>
      </c>
      <c r="Q754">
        <v>474</v>
      </c>
      <c r="AG754" s="83"/>
      <c r="AH754" s="83"/>
      <c r="AI754" s="83"/>
      <c r="AJ754" s="83">
        <v>49.2</v>
      </c>
      <c r="AK754" s="83"/>
      <c r="AL754" s="83">
        <v>30.7</v>
      </c>
      <c r="AM754" s="83"/>
      <c r="AN754" s="83"/>
      <c r="AO754" s="83"/>
      <c r="AP754" s="83"/>
      <c r="AQ754" s="83"/>
      <c r="AR754" s="83"/>
      <c r="AS754" s="83"/>
      <c r="AT754" s="83"/>
      <c r="AU754" s="83"/>
      <c r="AV754" s="83"/>
      <c r="BG754" t="s">
        <v>312</v>
      </c>
      <c r="BH754" t="s">
        <v>852</v>
      </c>
      <c r="BL754">
        <v>7.4</v>
      </c>
      <c r="BR754" s="10" t="s">
        <v>842</v>
      </c>
      <c r="BS754" s="10">
        <v>7.4</v>
      </c>
      <c r="BY754" s="9" t="s">
        <v>842</v>
      </c>
      <c r="CD754" s="10" t="s">
        <v>842</v>
      </c>
      <c r="CE754" s="10" t="s">
        <v>843</v>
      </c>
      <c r="CF754" t="s">
        <v>848</v>
      </c>
      <c r="CG754" t="s">
        <v>651</v>
      </c>
      <c r="CH754" t="s">
        <v>765</v>
      </c>
    </row>
    <row r="755" spans="1:86" x14ac:dyDescent="0.3">
      <c r="A755">
        <v>925</v>
      </c>
      <c r="B755" t="s">
        <v>375</v>
      </c>
      <c r="C755" t="s">
        <v>6</v>
      </c>
      <c r="F755" t="s">
        <v>840</v>
      </c>
      <c r="G755" t="s">
        <v>849</v>
      </c>
      <c r="P755">
        <v>60</v>
      </c>
      <c r="Q755">
        <v>474</v>
      </c>
      <c r="AG755" s="82"/>
      <c r="AH755" s="82"/>
      <c r="AI755" s="82"/>
      <c r="AJ755" s="82">
        <v>85.3</v>
      </c>
      <c r="AK755" s="82"/>
      <c r="AL755" s="82">
        <v>36.799999999999997</v>
      </c>
      <c r="AM755" s="82"/>
      <c r="AN755" s="82"/>
      <c r="AO755" s="82"/>
      <c r="AP755" s="82"/>
      <c r="AQ755" s="82"/>
      <c r="AR755" s="82"/>
      <c r="AS755" s="82"/>
      <c r="AT755" s="82"/>
      <c r="AU755" s="82"/>
      <c r="AV755" s="82"/>
      <c r="BG755" t="s">
        <v>311</v>
      </c>
      <c r="BH755" t="s">
        <v>315</v>
      </c>
      <c r="BL755" s="17">
        <v>3.8</v>
      </c>
      <c r="BY755" s="9"/>
      <c r="CE755" s="10" t="s">
        <v>843</v>
      </c>
      <c r="CF755" t="s">
        <v>848</v>
      </c>
      <c r="CG755" t="s">
        <v>651</v>
      </c>
      <c r="CH755" t="s">
        <v>765</v>
      </c>
    </row>
    <row r="756" spans="1:86" x14ac:dyDescent="0.3">
      <c r="A756">
        <v>926</v>
      </c>
      <c r="B756" t="s">
        <v>376</v>
      </c>
      <c r="C756" t="s">
        <v>6</v>
      </c>
      <c r="F756" t="s">
        <v>840</v>
      </c>
      <c r="G756" t="s">
        <v>853</v>
      </c>
      <c r="P756">
        <v>30</v>
      </c>
      <c r="Q756">
        <v>15</v>
      </c>
      <c r="AG756" s="83"/>
      <c r="AH756" s="83"/>
      <c r="AI756" s="83">
        <v>3.7</v>
      </c>
      <c r="AJ756" s="83"/>
      <c r="AK756" s="83"/>
      <c r="AL756" s="83">
        <v>1.5</v>
      </c>
      <c r="AM756" s="83"/>
      <c r="AN756" s="83"/>
      <c r="AO756" s="83">
        <v>3.2000000000000001E-2</v>
      </c>
      <c r="AP756" s="83"/>
      <c r="AQ756" s="83"/>
      <c r="AR756" s="83"/>
      <c r="AS756" s="83"/>
      <c r="AT756" s="83"/>
      <c r="AU756" s="83"/>
      <c r="AV756" s="83"/>
      <c r="BG756" t="s">
        <v>312</v>
      </c>
      <c r="BH756" t="s">
        <v>691</v>
      </c>
      <c r="BL756">
        <v>1.9000000000000001</v>
      </c>
      <c r="BS756" s="10">
        <v>2.2000000000000002</v>
      </c>
      <c r="BY756">
        <v>0.3</v>
      </c>
      <c r="CF756" t="s">
        <v>854</v>
      </c>
      <c r="CG756" t="s">
        <v>651</v>
      </c>
      <c r="CH756" t="s">
        <v>765</v>
      </c>
    </row>
    <row r="757" spans="1:86" x14ac:dyDescent="0.3">
      <c r="A757">
        <v>927</v>
      </c>
      <c r="B757" t="s">
        <v>376</v>
      </c>
      <c r="C757" t="s">
        <v>6</v>
      </c>
      <c r="F757" t="s">
        <v>840</v>
      </c>
      <c r="G757" t="s">
        <v>853</v>
      </c>
      <c r="P757">
        <v>30</v>
      </c>
      <c r="Q757">
        <v>30</v>
      </c>
      <c r="AG757" s="82"/>
      <c r="AH757" s="82"/>
      <c r="AI757" s="82">
        <v>3.7</v>
      </c>
      <c r="AJ757" s="82"/>
      <c r="AK757" s="82"/>
      <c r="AL757" s="82">
        <v>1.5</v>
      </c>
      <c r="AM757" s="82"/>
      <c r="AN757" s="82"/>
      <c r="AO757" s="82"/>
      <c r="AP757" s="82"/>
      <c r="AQ757" s="82"/>
      <c r="AR757" s="82"/>
      <c r="AS757" s="82"/>
      <c r="AT757" s="82"/>
      <c r="AU757" s="82"/>
      <c r="AV757" s="82"/>
      <c r="BG757" t="s">
        <v>312</v>
      </c>
      <c r="BH757" t="s">
        <v>691</v>
      </c>
      <c r="BL757">
        <v>1.9000000000000001</v>
      </c>
      <c r="BS757" s="10">
        <v>2.2000000000000002</v>
      </c>
      <c r="BY757">
        <v>0.3</v>
      </c>
      <c r="CF757" t="s">
        <v>855</v>
      </c>
      <c r="CG757" t="s">
        <v>651</v>
      </c>
      <c r="CH757" t="s">
        <v>765</v>
      </c>
    </row>
    <row r="758" spans="1:86" x14ac:dyDescent="0.3">
      <c r="A758">
        <v>928</v>
      </c>
      <c r="B758" t="s">
        <v>378</v>
      </c>
      <c r="C758" t="s">
        <v>6</v>
      </c>
      <c r="F758" t="s">
        <v>840</v>
      </c>
      <c r="G758" t="s">
        <v>856</v>
      </c>
      <c r="P758">
        <v>30</v>
      </c>
      <c r="Q758">
        <v>30</v>
      </c>
      <c r="AG758" s="83"/>
      <c r="AH758" s="83"/>
      <c r="AI758" s="83">
        <v>2.2999999999999998</v>
      </c>
      <c r="AJ758" s="83"/>
      <c r="AK758" s="83"/>
      <c r="AL758" s="83">
        <v>0.61</v>
      </c>
      <c r="AM758" s="83"/>
      <c r="AN758" s="83"/>
      <c r="AO758" s="83"/>
      <c r="AP758" s="83"/>
      <c r="AQ758" s="83"/>
      <c r="AR758" s="83"/>
      <c r="AS758" s="83"/>
      <c r="AT758" s="83"/>
      <c r="AU758" s="83"/>
      <c r="AV758" s="83"/>
      <c r="BG758" t="s">
        <v>312</v>
      </c>
      <c r="BH758" t="s">
        <v>691</v>
      </c>
      <c r="BL758">
        <v>4.7</v>
      </c>
      <c r="BR758" s="10" t="s">
        <v>842</v>
      </c>
      <c r="BS758" s="10">
        <v>4.7</v>
      </c>
      <c r="BY758" s="9" t="s">
        <v>842</v>
      </c>
      <c r="CD758" s="10" t="s">
        <v>842</v>
      </c>
      <c r="CG758" t="s">
        <v>651</v>
      </c>
      <c r="CH758" t="s">
        <v>765</v>
      </c>
    </row>
    <row r="759" spans="1:86" x14ac:dyDescent="0.3">
      <c r="A759">
        <v>929</v>
      </c>
      <c r="B759" t="s">
        <v>380</v>
      </c>
      <c r="C759" t="s">
        <v>6</v>
      </c>
      <c r="F759" t="s">
        <v>840</v>
      </c>
      <c r="G759" t="s">
        <v>849</v>
      </c>
      <c r="P759">
        <v>30</v>
      </c>
      <c r="Q759">
        <v>42</v>
      </c>
      <c r="AG759" s="82"/>
      <c r="AH759" s="82"/>
      <c r="AI759" s="82">
        <v>62</v>
      </c>
      <c r="AJ759" s="82"/>
      <c r="AK759" s="82"/>
      <c r="AL759" s="82">
        <v>35</v>
      </c>
      <c r="AM759" s="82"/>
      <c r="AN759" s="82"/>
      <c r="AO759" s="82"/>
      <c r="AP759" s="82"/>
      <c r="AQ759" s="82"/>
      <c r="AR759" s="82"/>
      <c r="AS759" s="82"/>
      <c r="AT759" s="82"/>
      <c r="AU759" s="82"/>
      <c r="AV759" s="82"/>
      <c r="BG759" t="s">
        <v>312</v>
      </c>
      <c r="BH759" t="s">
        <v>691</v>
      </c>
      <c r="BL759">
        <v>5.0999999999999996</v>
      </c>
      <c r="BR759" s="10" t="s">
        <v>842</v>
      </c>
      <c r="BS759" s="10">
        <v>5.0999999999999996</v>
      </c>
      <c r="BY759" s="9" t="s">
        <v>842</v>
      </c>
      <c r="CD759" s="10" t="s">
        <v>842</v>
      </c>
      <c r="CE759" s="10" t="s">
        <v>843</v>
      </c>
      <c r="CF759" t="s">
        <v>857</v>
      </c>
      <c r="CG759" t="s">
        <v>651</v>
      </c>
      <c r="CH759" t="s">
        <v>765</v>
      </c>
    </row>
    <row r="760" spans="1:86" x14ac:dyDescent="0.3">
      <c r="A760">
        <v>930</v>
      </c>
      <c r="B760" t="s">
        <v>380</v>
      </c>
      <c r="C760" t="s">
        <v>6</v>
      </c>
      <c r="F760" t="s">
        <v>840</v>
      </c>
      <c r="G760" t="s">
        <v>856</v>
      </c>
      <c r="P760">
        <v>30</v>
      </c>
      <c r="Q760">
        <v>42</v>
      </c>
      <c r="AG760" s="83"/>
      <c r="AH760" s="83"/>
      <c r="AI760" s="83">
        <v>1.8</v>
      </c>
      <c r="AJ760" s="83"/>
      <c r="AK760" s="83"/>
      <c r="AL760" s="83">
        <v>0.6</v>
      </c>
      <c r="AM760" s="83"/>
      <c r="AN760" s="83"/>
      <c r="AO760" s="83"/>
      <c r="AP760" s="83"/>
      <c r="AQ760" s="83"/>
      <c r="AR760" s="83"/>
      <c r="AS760" s="83"/>
      <c r="AT760" s="83"/>
      <c r="AU760" s="83"/>
      <c r="AV760" s="83"/>
      <c r="BG760" t="s">
        <v>312</v>
      </c>
      <c r="BH760" t="s">
        <v>691</v>
      </c>
      <c r="BL760">
        <v>4.7</v>
      </c>
      <c r="BR760" s="10" t="s">
        <v>842</v>
      </c>
      <c r="BS760" s="10">
        <v>4.7</v>
      </c>
      <c r="BY760" s="9" t="s">
        <v>842</v>
      </c>
      <c r="CD760" s="10" t="s">
        <v>842</v>
      </c>
      <c r="CE760" s="10" t="s">
        <v>843</v>
      </c>
      <c r="CF760" t="s">
        <v>857</v>
      </c>
      <c r="CG760" t="s">
        <v>651</v>
      </c>
      <c r="CH760" t="s">
        <v>765</v>
      </c>
    </row>
    <row r="761" spans="1:86" x14ac:dyDescent="0.3">
      <c r="A761">
        <v>931</v>
      </c>
      <c r="B761" t="s">
        <v>380</v>
      </c>
      <c r="C761" t="s">
        <v>6</v>
      </c>
      <c r="F761" t="s">
        <v>840</v>
      </c>
      <c r="G761" t="s">
        <v>858</v>
      </c>
      <c r="P761">
        <v>30</v>
      </c>
      <c r="Q761">
        <v>42</v>
      </c>
      <c r="AG761" s="82"/>
      <c r="AH761" s="82"/>
      <c r="AI761" s="82">
        <v>1.1000000000000001</v>
      </c>
      <c r="AJ761" s="82"/>
      <c r="AK761" s="82"/>
      <c r="AL761" s="82">
        <v>0.2</v>
      </c>
      <c r="AM761" s="82"/>
      <c r="AN761" s="82"/>
      <c r="AO761" s="82"/>
      <c r="AP761" s="82"/>
      <c r="AQ761" s="82"/>
      <c r="AR761" s="82"/>
      <c r="AS761" s="82"/>
      <c r="AT761" s="82"/>
      <c r="AU761" s="82"/>
      <c r="AV761" s="82"/>
      <c r="BG761" t="s">
        <v>312</v>
      </c>
      <c r="BH761" t="s">
        <v>691</v>
      </c>
      <c r="BL761">
        <v>1.4</v>
      </c>
      <c r="BR761" s="10" t="s">
        <v>842</v>
      </c>
      <c r="BS761" s="10">
        <v>1.4</v>
      </c>
      <c r="BY761" s="9" t="s">
        <v>842</v>
      </c>
      <c r="CD761" s="10" t="s">
        <v>842</v>
      </c>
      <c r="CE761" s="10" t="s">
        <v>843</v>
      </c>
      <c r="CF761" t="s">
        <v>857</v>
      </c>
      <c r="CG761" t="s">
        <v>651</v>
      </c>
      <c r="CH761" t="s">
        <v>765</v>
      </c>
    </row>
    <row r="762" spans="1:86" x14ac:dyDescent="0.3">
      <c r="A762">
        <v>932</v>
      </c>
      <c r="B762" t="s">
        <v>376</v>
      </c>
      <c r="C762" t="s">
        <v>6</v>
      </c>
      <c r="F762" t="s">
        <v>840</v>
      </c>
      <c r="G762" t="s">
        <v>853</v>
      </c>
      <c r="P762">
        <v>30</v>
      </c>
      <c r="Q762">
        <v>15</v>
      </c>
      <c r="AG762" s="83"/>
      <c r="AH762" s="83"/>
      <c r="AI762" s="83">
        <v>3.7</v>
      </c>
      <c r="AJ762" s="83"/>
      <c r="AK762" s="83"/>
      <c r="AL762" s="83">
        <v>1.5</v>
      </c>
      <c r="AM762" s="83"/>
      <c r="AN762" s="83"/>
      <c r="AO762" s="83">
        <v>3.2000000000000001E-2</v>
      </c>
      <c r="AP762" s="83"/>
      <c r="AQ762" s="83"/>
      <c r="AR762" s="83"/>
      <c r="AS762" s="83"/>
      <c r="AT762" s="83"/>
      <c r="AU762" s="83"/>
      <c r="AV762" s="83"/>
      <c r="BG762" t="s">
        <v>312</v>
      </c>
      <c r="BH762" t="s">
        <v>859</v>
      </c>
      <c r="BL762">
        <v>1.9</v>
      </c>
      <c r="BR762" s="10" t="s">
        <v>842</v>
      </c>
      <c r="BS762" s="10">
        <v>1.9</v>
      </c>
      <c r="BY762" s="9" t="s">
        <v>842</v>
      </c>
      <c r="CD762" s="10" t="s">
        <v>842</v>
      </c>
      <c r="CF762" t="s">
        <v>860</v>
      </c>
      <c r="CG762" t="s">
        <v>651</v>
      </c>
      <c r="CH762" t="s">
        <v>765</v>
      </c>
    </row>
    <row r="763" spans="1:86" x14ac:dyDescent="0.3">
      <c r="A763">
        <v>933</v>
      </c>
      <c r="B763" t="s">
        <v>376</v>
      </c>
      <c r="C763" t="s">
        <v>6</v>
      </c>
      <c r="F763" t="s">
        <v>840</v>
      </c>
      <c r="G763" t="s">
        <v>853</v>
      </c>
      <c r="P763">
        <v>30</v>
      </c>
      <c r="Q763">
        <v>30</v>
      </c>
      <c r="AG763" s="82"/>
      <c r="AH763" s="82"/>
      <c r="AI763" s="82">
        <v>3.7</v>
      </c>
      <c r="AJ763" s="82"/>
      <c r="AK763" s="82"/>
      <c r="AL763" s="82">
        <v>1.5</v>
      </c>
      <c r="AM763" s="82"/>
      <c r="AN763" s="82"/>
      <c r="AO763" s="82"/>
      <c r="AP763" s="82"/>
      <c r="AQ763" s="82"/>
      <c r="AR763" s="82"/>
      <c r="AS763" s="82"/>
      <c r="AT763" s="82"/>
      <c r="AU763" s="82"/>
      <c r="AV763" s="82"/>
      <c r="BG763" t="s">
        <v>312</v>
      </c>
      <c r="BH763" t="s">
        <v>859</v>
      </c>
      <c r="BL763">
        <v>1.9</v>
      </c>
      <c r="BR763" s="10" t="s">
        <v>842</v>
      </c>
      <c r="BS763" s="10">
        <v>1.9</v>
      </c>
      <c r="BY763" s="9" t="s">
        <v>842</v>
      </c>
      <c r="CD763" s="10" t="s">
        <v>842</v>
      </c>
      <c r="CF763" t="s">
        <v>861</v>
      </c>
      <c r="CG763" t="s">
        <v>651</v>
      </c>
      <c r="CH763" t="s">
        <v>765</v>
      </c>
    </row>
    <row r="764" spans="1:86" x14ac:dyDescent="0.3">
      <c r="A764">
        <v>934</v>
      </c>
      <c r="B764" t="s">
        <v>376</v>
      </c>
      <c r="C764" t="s">
        <v>6</v>
      </c>
      <c r="F764" t="s">
        <v>840</v>
      </c>
      <c r="G764" t="s">
        <v>853</v>
      </c>
      <c r="P764">
        <v>30</v>
      </c>
      <c r="Q764">
        <v>15</v>
      </c>
      <c r="AG764" s="83"/>
      <c r="AH764" s="83"/>
      <c r="AI764" s="83">
        <v>3.7</v>
      </c>
      <c r="AJ764" s="83"/>
      <c r="AK764" s="83"/>
      <c r="AL764" s="83">
        <v>1.5</v>
      </c>
      <c r="AM764" s="83"/>
      <c r="AN764" s="83"/>
      <c r="AO764" s="83">
        <v>2.3E-2</v>
      </c>
      <c r="AP764" s="83"/>
      <c r="AQ764" s="83"/>
      <c r="AR764" s="83"/>
      <c r="AS764" s="83"/>
      <c r="AT764" s="83"/>
      <c r="AU764" s="83"/>
      <c r="AV764" s="83"/>
      <c r="BG764" t="s">
        <v>312</v>
      </c>
      <c r="BH764" t="s">
        <v>852</v>
      </c>
      <c r="BL764">
        <v>1</v>
      </c>
      <c r="BS764" s="10">
        <v>2.6</v>
      </c>
      <c r="BY764">
        <v>1.6</v>
      </c>
      <c r="CF764" t="s">
        <v>860</v>
      </c>
      <c r="CG764" t="s">
        <v>651</v>
      </c>
      <c r="CH764" t="s">
        <v>765</v>
      </c>
    </row>
    <row r="765" spans="1:86" x14ac:dyDescent="0.3">
      <c r="A765">
        <v>935</v>
      </c>
      <c r="B765" t="s">
        <v>376</v>
      </c>
      <c r="C765" t="s">
        <v>6</v>
      </c>
      <c r="F765" t="s">
        <v>840</v>
      </c>
      <c r="G765" t="s">
        <v>853</v>
      </c>
      <c r="P765">
        <v>30</v>
      </c>
      <c r="Q765">
        <v>30</v>
      </c>
      <c r="AG765" s="82"/>
      <c r="AH765" s="82"/>
      <c r="AI765" s="82">
        <v>3.7</v>
      </c>
      <c r="AJ765" s="82"/>
      <c r="AK765" s="82"/>
      <c r="AL765" s="82">
        <v>1.5</v>
      </c>
      <c r="AM765" s="82"/>
      <c r="AN765" s="82"/>
      <c r="AO765" s="82"/>
      <c r="AP765" s="82"/>
      <c r="AQ765" s="82"/>
      <c r="AR765" s="82"/>
      <c r="AS765" s="82"/>
      <c r="AT765" s="82"/>
      <c r="AU765" s="82"/>
      <c r="AV765" s="82"/>
      <c r="BG765" t="s">
        <v>312</v>
      </c>
      <c r="BH765" t="s">
        <v>852</v>
      </c>
      <c r="BL765">
        <v>1.3</v>
      </c>
      <c r="BS765" s="10">
        <v>2.6</v>
      </c>
      <c r="BY765">
        <v>1.3</v>
      </c>
      <c r="CF765" t="s">
        <v>861</v>
      </c>
      <c r="CG765" t="s">
        <v>651</v>
      </c>
      <c r="CH765" t="s">
        <v>765</v>
      </c>
    </row>
    <row r="766" spans="1:86" x14ac:dyDescent="0.3">
      <c r="A766">
        <v>936</v>
      </c>
      <c r="B766" t="s">
        <v>381</v>
      </c>
      <c r="C766" t="s">
        <v>6</v>
      </c>
      <c r="F766" t="s">
        <v>840</v>
      </c>
      <c r="P766">
        <v>30</v>
      </c>
      <c r="Q766">
        <v>60</v>
      </c>
      <c r="AG766" s="83"/>
      <c r="AH766" s="83"/>
      <c r="AI766" s="83">
        <v>20</v>
      </c>
      <c r="AJ766" s="83"/>
      <c r="AK766" s="83">
        <v>29</v>
      </c>
      <c r="AL766" s="83">
        <v>19.600000000000001</v>
      </c>
      <c r="AM766" s="83"/>
      <c r="AN766" s="83"/>
      <c r="AO766" s="83"/>
      <c r="AP766" s="83"/>
      <c r="AQ766" s="83"/>
      <c r="AR766" s="83"/>
      <c r="AS766" s="83"/>
      <c r="AT766" s="83"/>
      <c r="AU766" s="83"/>
      <c r="AV766" s="83"/>
      <c r="BG766" t="s">
        <v>312</v>
      </c>
      <c r="BH766" t="s">
        <v>599</v>
      </c>
      <c r="BL766">
        <v>1.5999999999999996</v>
      </c>
      <c r="BS766" s="10">
        <v>5.3</v>
      </c>
      <c r="BY766">
        <v>3.7</v>
      </c>
      <c r="CG766" t="s">
        <v>651</v>
      </c>
      <c r="CH766" t="s">
        <v>765</v>
      </c>
    </row>
    <row r="767" spans="1:86" x14ac:dyDescent="0.3">
      <c r="A767">
        <v>937</v>
      </c>
      <c r="B767" t="s">
        <v>381</v>
      </c>
      <c r="C767" t="s">
        <v>6</v>
      </c>
      <c r="F767" t="s">
        <v>840</v>
      </c>
      <c r="P767">
        <v>30</v>
      </c>
      <c r="Q767">
        <v>90</v>
      </c>
      <c r="AG767" s="82"/>
      <c r="AH767" s="82"/>
      <c r="AI767" s="82">
        <v>20</v>
      </c>
      <c r="AJ767" s="82">
        <v>49</v>
      </c>
      <c r="AK767" s="82">
        <v>29</v>
      </c>
      <c r="AL767" s="82">
        <v>19.600000000000001</v>
      </c>
      <c r="AM767" s="82"/>
      <c r="AN767" s="82"/>
      <c r="AO767" s="82"/>
      <c r="AP767" s="82"/>
      <c r="AQ767" s="82"/>
      <c r="AR767" s="82"/>
      <c r="AS767" s="82"/>
      <c r="AT767" s="82"/>
      <c r="AU767" s="82"/>
      <c r="AV767" s="82"/>
      <c r="BG767" t="s">
        <v>312</v>
      </c>
      <c r="BH767" t="s">
        <v>599</v>
      </c>
      <c r="BL767">
        <v>2.8</v>
      </c>
      <c r="BS767" s="10">
        <v>5.3</v>
      </c>
      <c r="BY767">
        <v>2.5</v>
      </c>
      <c r="CG767" t="s">
        <v>651</v>
      </c>
      <c r="CH767" t="s">
        <v>765</v>
      </c>
    </row>
    <row r="768" spans="1:86" x14ac:dyDescent="0.3">
      <c r="A768">
        <v>938</v>
      </c>
      <c r="B768" t="s">
        <v>381</v>
      </c>
      <c r="C768" t="s">
        <v>6</v>
      </c>
      <c r="F768" t="s">
        <v>840</v>
      </c>
      <c r="P768">
        <v>30</v>
      </c>
      <c r="Q768">
        <v>150</v>
      </c>
      <c r="AG768" s="83"/>
      <c r="AH768" s="83"/>
      <c r="AI768" s="83">
        <v>20</v>
      </c>
      <c r="AJ768" s="83"/>
      <c r="AK768" s="83">
        <v>29</v>
      </c>
      <c r="AL768" s="83">
        <v>19.600000000000001</v>
      </c>
      <c r="AM768" s="83"/>
      <c r="AN768" s="83"/>
      <c r="AO768" s="83"/>
      <c r="AP768" s="83"/>
      <c r="AQ768" s="83"/>
      <c r="AR768" s="83"/>
      <c r="AS768" s="83"/>
      <c r="AT768" s="83"/>
      <c r="AU768" s="83"/>
      <c r="AV768" s="83"/>
      <c r="BG768" t="s">
        <v>312</v>
      </c>
      <c r="BH768" t="s">
        <v>599</v>
      </c>
      <c r="BL768">
        <v>4.3999999999999995</v>
      </c>
      <c r="BS768" s="10">
        <v>5.3</v>
      </c>
      <c r="BY768">
        <v>0.9</v>
      </c>
      <c r="CG768" t="s">
        <v>651</v>
      </c>
      <c r="CH768" t="s">
        <v>765</v>
      </c>
    </row>
    <row r="769" spans="1:86" x14ac:dyDescent="0.3">
      <c r="A769">
        <v>939</v>
      </c>
      <c r="B769" t="s">
        <v>374</v>
      </c>
      <c r="C769" t="s">
        <v>335</v>
      </c>
      <c r="D769" t="s">
        <v>846</v>
      </c>
      <c r="F769" t="s">
        <v>840</v>
      </c>
      <c r="G769" t="s">
        <v>841</v>
      </c>
      <c r="Q769">
        <v>0.38</v>
      </c>
      <c r="AJ769">
        <v>4.53</v>
      </c>
      <c r="AL769">
        <v>2.2000000000000002</v>
      </c>
      <c r="AN769">
        <v>83.7</v>
      </c>
      <c r="AQ769">
        <v>3.1</v>
      </c>
      <c r="BG769" t="s">
        <v>312</v>
      </c>
      <c r="BH769" t="s">
        <v>599</v>
      </c>
      <c r="BL769">
        <v>0.76848294855393506</v>
      </c>
      <c r="BS769" s="10">
        <v>1.968482948553935</v>
      </c>
      <c r="BY769">
        <v>1.2</v>
      </c>
      <c r="CE769" s="10" t="s">
        <v>843</v>
      </c>
      <c r="CG769" t="s">
        <v>651</v>
      </c>
      <c r="CH769" t="s">
        <v>765</v>
      </c>
    </row>
    <row r="770" spans="1:86" x14ac:dyDescent="0.3">
      <c r="A770">
        <v>940</v>
      </c>
      <c r="B770" t="s">
        <v>374</v>
      </c>
      <c r="C770" t="s">
        <v>335</v>
      </c>
      <c r="D770" t="s">
        <v>845</v>
      </c>
      <c r="F770" t="s">
        <v>840</v>
      </c>
      <c r="G770" t="s">
        <v>841</v>
      </c>
      <c r="Q770">
        <v>0.1</v>
      </c>
      <c r="AJ770">
        <v>4.38</v>
      </c>
      <c r="AL770">
        <v>1.7</v>
      </c>
      <c r="AN770">
        <v>87</v>
      </c>
      <c r="AQ770">
        <v>2.84</v>
      </c>
      <c r="BG770" t="s">
        <v>312</v>
      </c>
      <c r="BH770" t="s">
        <v>599</v>
      </c>
      <c r="BL770">
        <v>1.6862389275310972</v>
      </c>
      <c r="BS770" s="10">
        <v>2.6404814369704219</v>
      </c>
      <c r="BY770">
        <v>0.95424250943932487</v>
      </c>
      <c r="CE770" s="10" t="s">
        <v>843</v>
      </c>
      <c r="CG770" t="s">
        <v>651</v>
      </c>
      <c r="CH770" t="s">
        <v>765</v>
      </c>
    </row>
    <row r="771" spans="1:86" x14ac:dyDescent="0.3">
      <c r="A771">
        <v>941</v>
      </c>
      <c r="B771" t="s">
        <v>374</v>
      </c>
      <c r="C771" t="s">
        <v>335</v>
      </c>
      <c r="D771" t="s">
        <v>839</v>
      </c>
      <c r="F771" t="s">
        <v>840</v>
      </c>
      <c r="G771" t="s">
        <v>841</v>
      </c>
      <c r="Q771">
        <v>0.1</v>
      </c>
      <c r="AJ771">
        <v>4.1900000000000004</v>
      </c>
      <c r="AL771">
        <v>1.4</v>
      </c>
      <c r="AN771">
        <v>89.6</v>
      </c>
      <c r="BG771" t="s">
        <v>312</v>
      </c>
      <c r="BH771" t="s">
        <v>599</v>
      </c>
      <c r="BL771">
        <v>0.32283531366052998</v>
      </c>
      <c r="BS771" s="10">
        <v>3.5228353136605302</v>
      </c>
      <c r="BY771">
        <v>3.2</v>
      </c>
      <c r="CE771" s="10" t="s">
        <v>843</v>
      </c>
      <c r="CG771" t="s">
        <v>651</v>
      </c>
      <c r="CH771" t="s">
        <v>765</v>
      </c>
    </row>
    <row r="772" spans="1:86" x14ac:dyDescent="0.3">
      <c r="A772">
        <v>942</v>
      </c>
      <c r="B772" t="s">
        <v>374</v>
      </c>
      <c r="C772" t="s">
        <v>335</v>
      </c>
      <c r="D772" t="s">
        <v>844</v>
      </c>
      <c r="F772" t="s">
        <v>840</v>
      </c>
      <c r="G772" t="s">
        <v>841</v>
      </c>
      <c r="Q772">
        <v>0.1</v>
      </c>
      <c r="AJ772">
        <v>4.0199999999999996</v>
      </c>
      <c r="AL772">
        <v>6</v>
      </c>
      <c r="AN772">
        <v>90.5</v>
      </c>
      <c r="AQ772">
        <v>4.13</v>
      </c>
      <c r="BG772" t="s">
        <v>312</v>
      </c>
      <c r="BH772" t="s">
        <v>599</v>
      </c>
      <c r="BL772">
        <v>0.51281182621208821</v>
      </c>
      <c r="BS772" s="10">
        <v>3.312811826212088</v>
      </c>
      <c r="BY772">
        <v>2.8</v>
      </c>
      <c r="CE772" s="10" t="s">
        <v>843</v>
      </c>
      <c r="CG772" t="s">
        <v>651</v>
      </c>
      <c r="CH772" t="s">
        <v>765</v>
      </c>
    </row>
    <row r="773" spans="1:86" x14ac:dyDescent="0.3">
      <c r="A773">
        <v>943</v>
      </c>
      <c r="B773" t="s">
        <v>374</v>
      </c>
      <c r="C773" t="s">
        <v>335</v>
      </c>
      <c r="D773" t="s">
        <v>846</v>
      </c>
      <c r="F773" t="s">
        <v>840</v>
      </c>
      <c r="G773" t="s">
        <v>841</v>
      </c>
      <c r="Q773">
        <v>1.2</v>
      </c>
      <c r="AJ773">
        <v>4.53</v>
      </c>
      <c r="AL773">
        <v>2.2000000000000002</v>
      </c>
      <c r="AN773">
        <v>83.7</v>
      </c>
      <c r="AQ773">
        <v>3.1</v>
      </c>
      <c r="BG773" t="s">
        <v>312</v>
      </c>
      <c r="BH773" t="s">
        <v>599</v>
      </c>
      <c r="BL773">
        <v>0.76848294855393506</v>
      </c>
      <c r="BS773" s="10">
        <v>1.968482948553935</v>
      </c>
      <c r="BY773">
        <v>1.2</v>
      </c>
      <c r="CE773" s="10" t="s">
        <v>843</v>
      </c>
      <c r="CG773" t="s">
        <v>651</v>
      </c>
      <c r="CH773" t="s">
        <v>765</v>
      </c>
    </row>
    <row r="774" spans="1:86" x14ac:dyDescent="0.3">
      <c r="A774">
        <v>944</v>
      </c>
      <c r="B774" t="s">
        <v>374</v>
      </c>
      <c r="C774" t="s">
        <v>335</v>
      </c>
      <c r="D774" t="s">
        <v>845</v>
      </c>
      <c r="F774" t="s">
        <v>840</v>
      </c>
      <c r="G774" t="s">
        <v>841</v>
      </c>
      <c r="Q774">
        <v>0.38</v>
      </c>
      <c r="AJ774">
        <v>4.38</v>
      </c>
      <c r="AL774">
        <v>1.7</v>
      </c>
      <c r="AN774">
        <v>87</v>
      </c>
      <c r="AQ774">
        <v>2.84</v>
      </c>
      <c r="BG774" t="s">
        <v>312</v>
      </c>
      <c r="BH774" t="s">
        <v>599</v>
      </c>
      <c r="BL774">
        <v>2.6404814369704219</v>
      </c>
      <c r="BR774" s="10" t="s">
        <v>842</v>
      </c>
      <c r="BS774" s="10">
        <v>2.6404814369704219</v>
      </c>
      <c r="BY774" s="9" t="s">
        <v>842</v>
      </c>
      <c r="CD774" s="10" t="s">
        <v>842</v>
      </c>
      <c r="CE774" s="10" t="s">
        <v>843</v>
      </c>
      <c r="CG774" t="s">
        <v>651</v>
      </c>
      <c r="CH774" t="s">
        <v>765</v>
      </c>
    </row>
    <row r="775" spans="1:86" x14ac:dyDescent="0.3">
      <c r="A775">
        <v>945</v>
      </c>
      <c r="B775" t="s">
        <v>374</v>
      </c>
      <c r="C775" t="s">
        <v>335</v>
      </c>
      <c r="D775" t="s">
        <v>839</v>
      </c>
      <c r="F775" t="s">
        <v>840</v>
      </c>
      <c r="G775" t="s">
        <v>841</v>
      </c>
      <c r="Q775">
        <v>0.3</v>
      </c>
      <c r="AJ775">
        <v>4.1900000000000004</v>
      </c>
      <c r="AL775">
        <v>1.4</v>
      </c>
      <c r="AN775">
        <v>89.6</v>
      </c>
      <c r="BG775" t="s">
        <v>312</v>
      </c>
      <c r="BH775" t="s">
        <v>599</v>
      </c>
      <c r="BL775">
        <v>0.82283531366052998</v>
      </c>
      <c r="BS775" s="10">
        <v>3.5228353136605302</v>
      </c>
      <c r="BY775">
        <v>2.7</v>
      </c>
      <c r="CE775" s="10" t="s">
        <v>843</v>
      </c>
      <c r="CG775" t="s">
        <v>651</v>
      </c>
      <c r="CH775" t="s">
        <v>765</v>
      </c>
    </row>
    <row r="776" spans="1:86" x14ac:dyDescent="0.3">
      <c r="A776">
        <v>946</v>
      </c>
      <c r="B776" t="s">
        <v>374</v>
      </c>
      <c r="C776" t="s">
        <v>335</v>
      </c>
      <c r="D776" t="s">
        <v>844</v>
      </c>
      <c r="F776" t="s">
        <v>840</v>
      </c>
      <c r="G776" t="s">
        <v>841</v>
      </c>
      <c r="Q776">
        <v>0.5</v>
      </c>
      <c r="AJ776">
        <v>4.0199999999999996</v>
      </c>
      <c r="AL776">
        <v>6</v>
      </c>
      <c r="AN776">
        <v>90.5</v>
      </c>
      <c r="AQ776">
        <v>4.13</v>
      </c>
      <c r="BG776" t="s">
        <v>312</v>
      </c>
      <c r="BH776" t="s">
        <v>599</v>
      </c>
      <c r="BL776">
        <v>2.2128118262120879</v>
      </c>
      <c r="BS776" s="10">
        <v>3.312811826212088</v>
      </c>
      <c r="BY776">
        <v>1.1000000000000001</v>
      </c>
      <c r="CE776" s="10" t="s">
        <v>843</v>
      </c>
      <c r="CG776" t="s">
        <v>651</v>
      </c>
      <c r="CH776" t="s">
        <v>765</v>
      </c>
    </row>
    <row r="777" spans="1:86" x14ac:dyDescent="0.3">
      <c r="A777">
        <v>947</v>
      </c>
      <c r="B777" t="s">
        <v>374</v>
      </c>
      <c r="C777" t="s">
        <v>335</v>
      </c>
      <c r="D777" t="s">
        <v>846</v>
      </c>
      <c r="F777" t="s">
        <v>840</v>
      </c>
      <c r="G777" t="s">
        <v>841</v>
      </c>
      <c r="Q777">
        <v>1.8</v>
      </c>
      <c r="AJ777">
        <v>4.53</v>
      </c>
      <c r="AL777">
        <v>2.2000000000000002</v>
      </c>
      <c r="AN777">
        <v>83.7</v>
      </c>
      <c r="AQ777">
        <v>3.1</v>
      </c>
      <c r="BG777" t="s">
        <v>312</v>
      </c>
      <c r="BH777" t="s">
        <v>599</v>
      </c>
      <c r="BL777">
        <v>2</v>
      </c>
      <c r="BR777" s="10" t="s">
        <v>842</v>
      </c>
      <c r="BS777" s="10">
        <v>1.968482948553935</v>
      </c>
      <c r="BY777" s="9" t="s">
        <v>842</v>
      </c>
      <c r="CD777" s="10" t="s">
        <v>842</v>
      </c>
      <c r="CE777" s="10" t="s">
        <v>843</v>
      </c>
      <c r="CG777" t="s">
        <v>651</v>
      </c>
      <c r="CH777" t="s">
        <v>765</v>
      </c>
    </row>
    <row r="778" spans="1:86" x14ac:dyDescent="0.3">
      <c r="A778">
        <v>948</v>
      </c>
      <c r="B778" t="s">
        <v>374</v>
      </c>
      <c r="C778" t="s">
        <v>335</v>
      </c>
      <c r="D778" t="s">
        <v>845</v>
      </c>
      <c r="F778" t="s">
        <v>840</v>
      </c>
      <c r="G778" t="s">
        <v>841</v>
      </c>
      <c r="Q778">
        <v>1.2</v>
      </c>
      <c r="AJ778">
        <v>4.38</v>
      </c>
      <c r="AL778">
        <v>1.7</v>
      </c>
      <c r="AN778">
        <v>87</v>
      </c>
      <c r="AQ778">
        <v>2.84</v>
      </c>
      <c r="BG778" t="s">
        <v>312</v>
      </c>
      <c r="BH778" t="s">
        <v>599</v>
      </c>
      <c r="BL778">
        <v>2.6404814369704219</v>
      </c>
      <c r="BR778" s="10" t="s">
        <v>842</v>
      </c>
      <c r="BS778" s="10">
        <v>2.6404814369704219</v>
      </c>
      <c r="BY778" s="9" t="s">
        <v>842</v>
      </c>
      <c r="CD778" s="10" t="s">
        <v>842</v>
      </c>
      <c r="CE778" s="10" t="s">
        <v>843</v>
      </c>
      <c r="CG778" t="s">
        <v>651</v>
      </c>
      <c r="CH778" t="s">
        <v>765</v>
      </c>
    </row>
    <row r="779" spans="1:86" x14ac:dyDescent="0.3">
      <c r="A779">
        <v>949</v>
      </c>
      <c r="B779" t="s">
        <v>374</v>
      </c>
      <c r="C779" t="s">
        <v>335</v>
      </c>
      <c r="D779" t="s">
        <v>839</v>
      </c>
      <c r="F779" t="s">
        <v>840</v>
      </c>
      <c r="G779" t="s">
        <v>841</v>
      </c>
      <c r="Q779">
        <v>1.2</v>
      </c>
      <c r="AJ779">
        <v>4.1900000000000004</v>
      </c>
      <c r="AL779">
        <v>1.4</v>
      </c>
      <c r="AN779">
        <v>89.6</v>
      </c>
      <c r="BG779" t="s">
        <v>312</v>
      </c>
      <c r="BH779" t="s">
        <v>599</v>
      </c>
      <c r="BL779">
        <v>1.8228353136605302</v>
      </c>
      <c r="BS779" s="10">
        <v>3.5228353136605302</v>
      </c>
      <c r="BY779">
        <v>1.7</v>
      </c>
      <c r="CE779" s="10" t="s">
        <v>843</v>
      </c>
      <c r="CG779" t="s">
        <v>651</v>
      </c>
      <c r="CH779" t="s">
        <v>765</v>
      </c>
    </row>
    <row r="780" spans="1:86" x14ac:dyDescent="0.3">
      <c r="A780">
        <v>950</v>
      </c>
      <c r="B780" t="s">
        <v>374</v>
      </c>
      <c r="C780" t="s">
        <v>335</v>
      </c>
      <c r="D780" t="s">
        <v>844</v>
      </c>
      <c r="F780" t="s">
        <v>840</v>
      </c>
      <c r="G780" t="s">
        <v>841</v>
      </c>
      <c r="Q780">
        <v>2</v>
      </c>
      <c r="AJ780">
        <v>4.0199999999999996</v>
      </c>
      <c r="AL780">
        <v>6</v>
      </c>
      <c r="AN780">
        <v>90.5</v>
      </c>
      <c r="AQ780">
        <v>4.13</v>
      </c>
      <c r="BG780" t="s">
        <v>312</v>
      </c>
      <c r="BH780" t="s">
        <v>599</v>
      </c>
      <c r="BL780">
        <v>2.8356905714924254</v>
      </c>
      <c r="BS780" s="10">
        <v>3.312811826212088</v>
      </c>
      <c r="BY780">
        <v>0.47712125471966244</v>
      </c>
      <c r="CE780" s="10" t="s">
        <v>843</v>
      </c>
      <c r="CG780" t="s">
        <v>651</v>
      </c>
      <c r="CH780" t="s">
        <v>765</v>
      </c>
    </row>
    <row r="781" spans="1:86" x14ac:dyDescent="0.3">
      <c r="A781">
        <v>951</v>
      </c>
      <c r="B781" t="s">
        <v>374</v>
      </c>
      <c r="C781" t="s">
        <v>329</v>
      </c>
      <c r="D781" t="s">
        <v>845</v>
      </c>
      <c r="F781" t="s">
        <v>840</v>
      </c>
      <c r="G781" t="s">
        <v>841</v>
      </c>
      <c r="S781">
        <v>10</v>
      </c>
      <c r="T781" t="s">
        <v>862</v>
      </c>
      <c r="AJ781" s="60">
        <v>4.38</v>
      </c>
      <c r="AL781">
        <v>1.7</v>
      </c>
      <c r="AN781" s="60">
        <v>87</v>
      </c>
      <c r="AQ781" s="60">
        <v>2.84</v>
      </c>
      <c r="BG781" t="s">
        <v>312</v>
      </c>
      <c r="BH781" t="s">
        <v>599</v>
      </c>
      <c r="BL781">
        <v>2.6404814369704219</v>
      </c>
      <c r="BR781" s="10" t="s">
        <v>842</v>
      </c>
      <c r="BS781" s="10">
        <v>2.6404814369704219</v>
      </c>
      <c r="BY781" s="9" t="s">
        <v>842</v>
      </c>
      <c r="CD781" s="10" t="s">
        <v>842</v>
      </c>
      <c r="CE781" s="10" t="s">
        <v>843</v>
      </c>
      <c r="CG781" t="s">
        <v>651</v>
      </c>
      <c r="CH781" t="s">
        <v>765</v>
      </c>
    </row>
    <row r="782" spans="1:86" x14ac:dyDescent="0.3">
      <c r="A782">
        <v>952</v>
      </c>
      <c r="B782" t="s">
        <v>374</v>
      </c>
      <c r="C782" t="s">
        <v>329</v>
      </c>
      <c r="D782" t="s">
        <v>839</v>
      </c>
      <c r="F782" t="s">
        <v>840</v>
      </c>
      <c r="G782" t="s">
        <v>841</v>
      </c>
      <c r="S782">
        <v>10</v>
      </c>
      <c r="T782" t="s">
        <v>862</v>
      </c>
      <c r="AJ782" s="60">
        <v>4.1900000000000004</v>
      </c>
      <c r="AL782">
        <v>1.4</v>
      </c>
      <c r="AN782" s="60">
        <v>89.6</v>
      </c>
      <c r="AQ782" s="60"/>
      <c r="BG782" t="s">
        <v>312</v>
      </c>
      <c r="BH782" t="s">
        <v>599</v>
      </c>
      <c r="BL782">
        <v>3.5228353136605302</v>
      </c>
      <c r="BR782" s="10" t="s">
        <v>842</v>
      </c>
      <c r="BS782" s="10">
        <v>3.5228353136605302</v>
      </c>
      <c r="BY782" s="9" t="s">
        <v>842</v>
      </c>
      <c r="CD782" s="10" t="s">
        <v>842</v>
      </c>
      <c r="CE782" s="10" t="s">
        <v>843</v>
      </c>
      <c r="CG782" t="s">
        <v>651</v>
      </c>
      <c r="CH782" t="s">
        <v>765</v>
      </c>
    </row>
    <row r="783" spans="1:86" x14ac:dyDescent="0.3">
      <c r="A783">
        <v>953</v>
      </c>
      <c r="B783" t="s">
        <v>374</v>
      </c>
      <c r="C783" t="s">
        <v>329</v>
      </c>
      <c r="D783" t="s">
        <v>844</v>
      </c>
      <c r="F783" t="s">
        <v>840</v>
      </c>
      <c r="G783" t="s">
        <v>841</v>
      </c>
      <c r="S783">
        <v>10</v>
      </c>
      <c r="T783" t="s">
        <v>862</v>
      </c>
      <c r="AJ783" s="60">
        <v>4.0199999999999996</v>
      </c>
      <c r="AL783">
        <v>6</v>
      </c>
      <c r="AN783" s="60">
        <v>90.5</v>
      </c>
      <c r="AQ783" s="60">
        <v>4.13</v>
      </c>
      <c r="BG783" t="s">
        <v>312</v>
      </c>
      <c r="BH783" t="s">
        <v>599</v>
      </c>
      <c r="BL783">
        <v>3.312811826212088</v>
      </c>
      <c r="BR783" s="10" t="s">
        <v>842</v>
      </c>
      <c r="BS783" s="10">
        <v>3.312811826212088</v>
      </c>
      <c r="BY783" s="9" t="s">
        <v>842</v>
      </c>
      <c r="CD783" s="10" t="s">
        <v>842</v>
      </c>
      <c r="CE783" s="10" t="s">
        <v>843</v>
      </c>
      <c r="CG783" t="s">
        <v>651</v>
      </c>
      <c r="CH783" t="s">
        <v>765</v>
      </c>
    </row>
    <row r="784" spans="1:86" x14ac:dyDescent="0.3">
      <c r="A784">
        <v>954</v>
      </c>
      <c r="B784" t="s">
        <v>374</v>
      </c>
      <c r="C784" t="s">
        <v>329</v>
      </c>
      <c r="D784" t="s">
        <v>846</v>
      </c>
      <c r="F784" t="s">
        <v>840</v>
      </c>
      <c r="G784" t="s">
        <v>841</v>
      </c>
      <c r="S784">
        <v>30</v>
      </c>
      <c r="T784" t="s">
        <v>862</v>
      </c>
      <c r="AJ784" s="60">
        <v>4.53</v>
      </c>
      <c r="AL784">
        <v>2.2000000000000002</v>
      </c>
      <c r="AN784" s="60">
        <v>83.7</v>
      </c>
      <c r="AQ784" s="60">
        <v>3.1</v>
      </c>
      <c r="BG784" t="s">
        <v>312</v>
      </c>
      <c r="BH784" t="s">
        <v>599</v>
      </c>
      <c r="BL784">
        <v>1.968482948553935</v>
      </c>
      <c r="BR784" s="10" t="s">
        <v>842</v>
      </c>
      <c r="BS784" s="10">
        <v>1.968482948553935</v>
      </c>
      <c r="BY784" s="9" t="s">
        <v>842</v>
      </c>
      <c r="CD784" s="10" t="s">
        <v>842</v>
      </c>
      <c r="CE784" s="10" t="s">
        <v>843</v>
      </c>
      <c r="CG784" t="s">
        <v>651</v>
      </c>
      <c r="CH784" t="s">
        <v>765</v>
      </c>
    </row>
    <row r="785" spans="1:86" x14ac:dyDescent="0.3">
      <c r="A785">
        <v>955</v>
      </c>
      <c r="B785" t="s">
        <v>374</v>
      </c>
      <c r="C785" t="s">
        <v>329</v>
      </c>
      <c r="D785" t="s">
        <v>845</v>
      </c>
      <c r="F785" t="s">
        <v>840</v>
      </c>
      <c r="G785" t="s">
        <v>841</v>
      </c>
      <c r="S785">
        <v>30</v>
      </c>
      <c r="T785" t="s">
        <v>862</v>
      </c>
      <c r="AJ785" s="60">
        <v>4.38</v>
      </c>
      <c r="AL785">
        <v>1.7</v>
      </c>
      <c r="AN785" s="60">
        <v>87</v>
      </c>
      <c r="AQ785" s="60">
        <v>2.84</v>
      </c>
      <c r="BG785" t="s">
        <v>312</v>
      </c>
      <c r="BH785" t="s">
        <v>599</v>
      </c>
      <c r="BL785">
        <v>2.6404814369704219</v>
      </c>
      <c r="BR785" s="10" t="s">
        <v>842</v>
      </c>
      <c r="BS785" s="10">
        <v>2.6404814369704219</v>
      </c>
      <c r="BY785" s="9" t="s">
        <v>842</v>
      </c>
      <c r="CD785" s="10" t="s">
        <v>842</v>
      </c>
      <c r="CE785" s="10" t="s">
        <v>843</v>
      </c>
      <c r="CG785" t="s">
        <v>651</v>
      </c>
      <c r="CH785" t="s">
        <v>765</v>
      </c>
    </row>
    <row r="786" spans="1:86" x14ac:dyDescent="0.3">
      <c r="A786">
        <v>956</v>
      </c>
      <c r="B786" t="s">
        <v>374</v>
      </c>
      <c r="C786" t="s">
        <v>329</v>
      </c>
      <c r="D786" t="s">
        <v>839</v>
      </c>
      <c r="F786" t="s">
        <v>840</v>
      </c>
      <c r="G786" t="s">
        <v>841</v>
      </c>
      <c r="S786">
        <v>30</v>
      </c>
      <c r="T786" t="s">
        <v>862</v>
      </c>
      <c r="AJ786" s="60">
        <v>4.1900000000000004</v>
      </c>
      <c r="AL786">
        <v>1.4</v>
      </c>
      <c r="AN786" s="60">
        <v>89.6</v>
      </c>
      <c r="AQ786" s="60"/>
      <c r="BG786" t="s">
        <v>312</v>
      </c>
      <c r="BH786" t="s">
        <v>599</v>
      </c>
      <c r="BL786">
        <v>3.5228353136605302</v>
      </c>
      <c r="BR786" s="10" t="s">
        <v>842</v>
      </c>
      <c r="BS786" s="10">
        <v>3.5228353136605302</v>
      </c>
      <c r="BY786" s="9" t="s">
        <v>842</v>
      </c>
      <c r="CD786" s="10" t="s">
        <v>842</v>
      </c>
      <c r="CE786" s="10" t="s">
        <v>843</v>
      </c>
      <c r="CG786" t="s">
        <v>651</v>
      </c>
      <c r="CH786" t="s">
        <v>765</v>
      </c>
    </row>
    <row r="787" spans="1:86" x14ac:dyDescent="0.3">
      <c r="A787">
        <v>957</v>
      </c>
      <c r="B787" t="s">
        <v>374</v>
      </c>
      <c r="C787" t="s">
        <v>329</v>
      </c>
      <c r="D787" t="s">
        <v>844</v>
      </c>
      <c r="F787" t="s">
        <v>840</v>
      </c>
      <c r="G787" t="s">
        <v>841</v>
      </c>
      <c r="S787">
        <v>30</v>
      </c>
      <c r="T787" t="s">
        <v>862</v>
      </c>
      <c r="AJ787" s="60">
        <v>4.0199999999999996</v>
      </c>
      <c r="AL787">
        <v>6</v>
      </c>
      <c r="AN787" s="60">
        <v>90.5</v>
      </c>
      <c r="AQ787" s="60">
        <v>4.13</v>
      </c>
      <c r="BG787" t="s">
        <v>312</v>
      </c>
      <c r="BH787" t="s">
        <v>599</v>
      </c>
      <c r="BL787">
        <v>3.312811826212088</v>
      </c>
      <c r="BR787" s="10" t="s">
        <v>842</v>
      </c>
      <c r="BS787" s="10">
        <v>3.312811826212088</v>
      </c>
      <c r="BY787" s="9" t="s">
        <v>842</v>
      </c>
      <c r="CD787" s="10" t="s">
        <v>842</v>
      </c>
      <c r="CE787" s="10" t="s">
        <v>843</v>
      </c>
      <c r="CG787" t="s">
        <v>651</v>
      </c>
      <c r="CH787" t="s">
        <v>765</v>
      </c>
    </row>
    <row r="788" spans="1:86" x14ac:dyDescent="0.3">
      <c r="A788">
        <v>958</v>
      </c>
      <c r="B788" t="s">
        <v>374</v>
      </c>
      <c r="C788" t="s">
        <v>329</v>
      </c>
      <c r="D788" t="s">
        <v>846</v>
      </c>
      <c r="F788" t="s">
        <v>840</v>
      </c>
      <c r="G788" t="s">
        <v>841</v>
      </c>
      <c r="S788">
        <v>50</v>
      </c>
      <c r="T788" t="s">
        <v>862</v>
      </c>
      <c r="AJ788" s="60">
        <v>4.53</v>
      </c>
      <c r="AL788">
        <v>2.2000000000000002</v>
      </c>
      <c r="AN788" s="60">
        <v>83.7</v>
      </c>
      <c r="AQ788" s="60">
        <v>3.1</v>
      </c>
      <c r="BG788" t="s">
        <v>312</v>
      </c>
      <c r="BH788" t="s">
        <v>599</v>
      </c>
      <c r="BL788">
        <v>1.968482948553935</v>
      </c>
      <c r="BR788" s="10" t="s">
        <v>842</v>
      </c>
      <c r="BS788" s="10">
        <v>1.968482948553935</v>
      </c>
      <c r="BY788" s="9" t="s">
        <v>842</v>
      </c>
      <c r="CD788" s="10" t="s">
        <v>842</v>
      </c>
      <c r="CE788" s="10" t="s">
        <v>843</v>
      </c>
      <c r="CG788" t="s">
        <v>651</v>
      </c>
      <c r="CH788" t="s">
        <v>810</v>
      </c>
    </row>
    <row r="789" spans="1:86" x14ac:dyDescent="0.3">
      <c r="A789">
        <v>959</v>
      </c>
      <c r="B789" t="s">
        <v>374</v>
      </c>
      <c r="C789" t="s">
        <v>329</v>
      </c>
      <c r="D789" t="s">
        <v>846</v>
      </c>
      <c r="F789" t="s">
        <v>840</v>
      </c>
      <c r="G789" t="s">
        <v>841</v>
      </c>
      <c r="S789">
        <v>100</v>
      </c>
      <c r="T789" t="s">
        <v>862</v>
      </c>
      <c r="AJ789">
        <v>4.53</v>
      </c>
      <c r="AL789">
        <v>2.2000000000000002</v>
      </c>
      <c r="AN789">
        <v>83.7</v>
      </c>
      <c r="AQ789">
        <v>3.1</v>
      </c>
      <c r="BG789" t="s">
        <v>312</v>
      </c>
      <c r="BH789" t="s">
        <v>599</v>
      </c>
      <c r="BL789">
        <v>1.968482948553935</v>
      </c>
      <c r="BR789" s="10" t="s">
        <v>842</v>
      </c>
      <c r="BS789" s="10">
        <v>1.968482948553935</v>
      </c>
      <c r="BY789" s="9" t="s">
        <v>842</v>
      </c>
      <c r="CD789" s="10" t="s">
        <v>842</v>
      </c>
      <c r="CE789" s="10" t="s">
        <v>843</v>
      </c>
      <c r="CG789" t="s">
        <v>651</v>
      </c>
      <c r="CH789" t="s">
        <v>765</v>
      </c>
    </row>
    <row r="790" spans="1:86" x14ac:dyDescent="0.3">
      <c r="A790">
        <v>960</v>
      </c>
      <c r="B790" t="s">
        <v>374</v>
      </c>
      <c r="C790" t="s">
        <v>335</v>
      </c>
      <c r="D790" t="s">
        <v>846</v>
      </c>
      <c r="F790" t="s">
        <v>840</v>
      </c>
      <c r="G790" t="s">
        <v>841</v>
      </c>
      <c r="Q790">
        <v>0.38</v>
      </c>
      <c r="AJ790">
        <v>4.53</v>
      </c>
      <c r="AL790">
        <v>2.2000000000000002</v>
      </c>
      <c r="AM790">
        <v>4.1900000000000004</v>
      </c>
      <c r="AN790">
        <v>83.7</v>
      </c>
      <c r="AQ790">
        <v>3.1</v>
      </c>
      <c r="BG790" t="s">
        <v>312</v>
      </c>
      <c r="BH790" t="s">
        <v>779</v>
      </c>
      <c r="BL790">
        <v>2.9</v>
      </c>
      <c r="BR790" s="10" t="s">
        <v>842</v>
      </c>
      <c r="BS790" s="10">
        <v>2.8615344108590377</v>
      </c>
      <c r="BY790" s="9" t="s">
        <v>842</v>
      </c>
      <c r="CD790" s="10" t="s">
        <v>842</v>
      </c>
      <c r="CE790" s="10" t="s">
        <v>843</v>
      </c>
      <c r="CG790" t="s">
        <v>651</v>
      </c>
      <c r="CH790" t="s">
        <v>765</v>
      </c>
    </row>
    <row r="791" spans="1:86" x14ac:dyDescent="0.3">
      <c r="A791">
        <v>961</v>
      </c>
      <c r="B791" t="s">
        <v>374</v>
      </c>
      <c r="C791" t="s">
        <v>335</v>
      </c>
      <c r="D791" t="s">
        <v>845</v>
      </c>
      <c r="F791" t="s">
        <v>840</v>
      </c>
      <c r="G791" t="s">
        <v>841</v>
      </c>
      <c r="Q791">
        <v>0.1</v>
      </c>
      <c r="AJ791">
        <v>4.38</v>
      </c>
      <c r="AL791">
        <v>1.7</v>
      </c>
      <c r="AM791">
        <v>4.0199999999999996</v>
      </c>
      <c r="AN791">
        <v>87</v>
      </c>
      <c r="AQ791">
        <v>2.84</v>
      </c>
      <c r="BG791" t="s">
        <v>312</v>
      </c>
      <c r="BH791" t="s">
        <v>779</v>
      </c>
      <c r="BL791">
        <v>1.8450980400142569</v>
      </c>
      <c r="BR791" s="10" t="s">
        <v>842</v>
      </c>
      <c r="BS791" s="10">
        <v>1.8450980400142569</v>
      </c>
      <c r="BY791" s="9" t="s">
        <v>842</v>
      </c>
      <c r="CD791" s="10" t="s">
        <v>842</v>
      </c>
      <c r="CE791" s="10" t="s">
        <v>843</v>
      </c>
      <c r="CG791" t="s">
        <v>651</v>
      </c>
      <c r="CH791" t="s">
        <v>765</v>
      </c>
    </row>
    <row r="792" spans="1:86" x14ac:dyDescent="0.3">
      <c r="A792">
        <v>962</v>
      </c>
      <c r="B792" t="s">
        <v>374</v>
      </c>
      <c r="C792" t="s">
        <v>335</v>
      </c>
      <c r="D792" t="s">
        <v>839</v>
      </c>
      <c r="F792" t="s">
        <v>840</v>
      </c>
      <c r="G792" t="s">
        <v>841</v>
      </c>
      <c r="Q792">
        <v>0.1</v>
      </c>
      <c r="AJ792">
        <v>4.1900000000000004</v>
      </c>
      <c r="AL792">
        <v>1.4</v>
      </c>
      <c r="AM792">
        <v>4.53</v>
      </c>
      <c r="AN792">
        <v>89.6</v>
      </c>
      <c r="BG792" t="s">
        <v>312</v>
      </c>
      <c r="BH792" t="s">
        <v>779</v>
      </c>
      <c r="BL792">
        <v>1.8976270912904414</v>
      </c>
      <c r="BR792" s="10" t="s">
        <v>842</v>
      </c>
      <c r="BS792" s="10">
        <v>1.8976270912904414</v>
      </c>
      <c r="BY792" s="9" t="s">
        <v>842</v>
      </c>
      <c r="CD792" s="10" t="s">
        <v>842</v>
      </c>
      <c r="CE792" s="10" t="s">
        <v>843</v>
      </c>
      <c r="CG792" t="s">
        <v>651</v>
      </c>
      <c r="CH792" t="s">
        <v>765</v>
      </c>
    </row>
    <row r="793" spans="1:86" x14ac:dyDescent="0.3">
      <c r="A793">
        <v>963</v>
      </c>
      <c r="B793" t="s">
        <v>374</v>
      </c>
      <c r="C793" t="s">
        <v>335</v>
      </c>
      <c r="D793" t="s">
        <v>844</v>
      </c>
      <c r="F793" t="s">
        <v>840</v>
      </c>
      <c r="G793" t="s">
        <v>841</v>
      </c>
      <c r="Q793">
        <v>0.1</v>
      </c>
      <c r="AJ793">
        <v>4.0199999999999996</v>
      </c>
      <c r="AL793">
        <v>6</v>
      </c>
      <c r="AM793">
        <v>4.38</v>
      </c>
      <c r="AN793">
        <v>90.5</v>
      </c>
      <c r="AQ793">
        <v>4.13</v>
      </c>
      <c r="BG793" t="s">
        <v>312</v>
      </c>
      <c r="BH793" t="s">
        <v>779</v>
      </c>
      <c r="BL793">
        <v>1.9084850188786497</v>
      </c>
      <c r="BR793" s="10" t="s">
        <v>842</v>
      </c>
      <c r="BS793" s="10">
        <v>1.9084850188786497</v>
      </c>
      <c r="BY793" s="9" t="s">
        <v>842</v>
      </c>
      <c r="CD793" s="10" t="s">
        <v>842</v>
      </c>
      <c r="CE793" s="10" t="s">
        <v>843</v>
      </c>
      <c r="CG793" t="s">
        <v>651</v>
      </c>
      <c r="CH793" t="s">
        <v>765</v>
      </c>
    </row>
    <row r="794" spans="1:86" x14ac:dyDescent="0.3">
      <c r="A794">
        <v>964</v>
      </c>
      <c r="B794" t="s">
        <v>374</v>
      </c>
      <c r="C794" t="s">
        <v>329</v>
      </c>
      <c r="D794" t="s">
        <v>845</v>
      </c>
      <c r="F794" t="s">
        <v>840</v>
      </c>
      <c r="G794" t="s">
        <v>841</v>
      </c>
      <c r="S794">
        <v>10</v>
      </c>
      <c r="T794" t="s">
        <v>862</v>
      </c>
      <c r="AJ794">
        <v>4.38</v>
      </c>
      <c r="AL794">
        <v>1.7</v>
      </c>
      <c r="AN794">
        <v>87</v>
      </c>
      <c r="AQ794">
        <v>2.84</v>
      </c>
      <c r="BG794" t="s">
        <v>312</v>
      </c>
      <c r="BH794" t="s">
        <v>779</v>
      </c>
      <c r="BL794">
        <v>1.8450980400142569</v>
      </c>
      <c r="BR794" s="10" t="s">
        <v>842</v>
      </c>
      <c r="BS794" s="10">
        <v>1.8450980400142569</v>
      </c>
      <c r="BY794" s="9" t="s">
        <v>842</v>
      </c>
      <c r="CD794" s="10" t="s">
        <v>842</v>
      </c>
      <c r="CE794" s="10" t="s">
        <v>843</v>
      </c>
      <c r="CG794" t="s">
        <v>651</v>
      </c>
      <c r="CH794" t="s">
        <v>765</v>
      </c>
    </row>
    <row r="795" spans="1:86" x14ac:dyDescent="0.3">
      <c r="A795">
        <v>965</v>
      </c>
      <c r="B795" t="s">
        <v>374</v>
      </c>
      <c r="C795" t="s">
        <v>329</v>
      </c>
      <c r="D795" t="s">
        <v>839</v>
      </c>
      <c r="F795" t="s">
        <v>840</v>
      </c>
      <c r="G795" t="s">
        <v>841</v>
      </c>
      <c r="S795">
        <v>10</v>
      </c>
      <c r="T795" t="s">
        <v>862</v>
      </c>
      <c r="AJ795">
        <v>4.16</v>
      </c>
      <c r="AL795">
        <v>1.4</v>
      </c>
      <c r="AN795">
        <v>89.6</v>
      </c>
      <c r="BG795" t="s">
        <v>312</v>
      </c>
      <c r="BH795" t="s">
        <v>779</v>
      </c>
      <c r="BL795">
        <v>1.8976270912904414</v>
      </c>
      <c r="BR795" s="10" t="s">
        <v>842</v>
      </c>
      <c r="BS795" s="10">
        <v>1.8976270912904414</v>
      </c>
      <c r="BY795" s="9" t="s">
        <v>842</v>
      </c>
      <c r="CD795" s="10" t="s">
        <v>842</v>
      </c>
      <c r="CE795" s="10" t="s">
        <v>843</v>
      </c>
      <c r="CG795" t="s">
        <v>651</v>
      </c>
      <c r="CH795" t="s">
        <v>765</v>
      </c>
    </row>
    <row r="796" spans="1:86" x14ac:dyDescent="0.3">
      <c r="A796">
        <v>966</v>
      </c>
      <c r="B796" t="s">
        <v>374</v>
      </c>
      <c r="C796" t="s">
        <v>329</v>
      </c>
      <c r="D796" t="s">
        <v>844</v>
      </c>
      <c r="F796" t="s">
        <v>840</v>
      </c>
      <c r="G796" t="s">
        <v>841</v>
      </c>
      <c r="S796">
        <v>10</v>
      </c>
      <c r="T796" t="s">
        <v>862</v>
      </c>
      <c r="AJ796">
        <v>4.0199999999999996</v>
      </c>
      <c r="AL796">
        <v>6</v>
      </c>
      <c r="AN796">
        <v>90.5</v>
      </c>
      <c r="AQ796">
        <v>4.13</v>
      </c>
      <c r="BG796" t="s">
        <v>312</v>
      </c>
      <c r="BH796" t="s">
        <v>779</v>
      </c>
      <c r="BL796">
        <v>1.9084850188786497</v>
      </c>
      <c r="BR796" s="10" t="s">
        <v>842</v>
      </c>
      <c r="BS796" s="10">
        <v>1.9084850188786497</v>
      </c>
      <c r="BY796" s="9" t="s">
        <v>842</v>
      </c>
      <c r="CD796" s="10" t="s">
        <v>842</v>
      </c>
      <c r="CE796" s="10" t="s">
        <v>843</v>
      </c>
      <c r="CG796" t="s">
        <v>651</v>
      </c>
      <c r="CH796" t="s">
        <v>765</v>
      </c>
    </row>
    <row r="797" spans="1:86" x14ac:dyDescent="0.3">
      <c r="A797">
        <v>967</v>
      </c>
      <c r="B797" t="s">
        <v>374</v>
      </c>
      <c r="C797" t="s">
        <v>329</v>
      </c>
      <c r="D797" t="s">
        <v>846</v>
      </c>
      <c r="F797" t="s">
        <v>840</v>
      </c>
      <c r="G797" t="s">
        <v>841</v>
      </c>
      <c r="S797">
        <v>30</v>
      </c>
      <c r="T797" t="s">
        <v>862</v>
      </c>
      <c r="AJ797" s="84">
        <v>4.53</v>
      </c>
      <c r="AL797">
        <v>2.2000000000000002</v>
      </c>
      <c r="AN797" s="84">
        <v>83.7</v>
      </c>
      <c r="AQ797" s="84">
        <v>3.1</v>
      </c>
      <c r="BG797" t="s">
        <v>312</v>
      </c>
      <c r="BH797" t="s">
        <v>779</v>
      </c>
      <c r="BL797">
        <v>2.8615344108590377</v>
      </c>
      <c r="BR797" s="10" t="s">
        <v>842</v>
      </c>
      <c r="BS797" s="10">
        <v>2.8615344108590377</v>
      </c>
      <c r="BY797" s="9" t="s">
        <v>842</v>
      </c>
      <c r="CD797" s="10" t="s">
        <v>842</v>
      </c>
      <c r="CE797" s="10" t="s">
        <v>843</v>
      </c>
      <c r="CG797" t="s">
        <v>651</v>
      </c>
      <c r="CH797" t="s">
        <v>765</v>
      </c>
    </row>
    <row r="798" spans="1:86" x14ac:dyDescent="0.3">
      <c r="A798">
        <v>968</v>
      </c>
      <c r="B798" t="s">
        <v>374</v>
      </c>
      <c r="C798" t="s">
        <v>335</v>
      </c>
      <c r="D798" t="s">
        <v>846</v>
      </c>
      <c r="F798" t="s">
        <v>840</v>
      </c>
      <c r="G798" t="s">
        <v>841</v>
      </c>
      <c r="Q798">
        <v>0.38</v>
      </c>
      <c r="AJ798">
        <v>4.53</v>
      </c>
      <c r="AL798">
        <v>2.2000000000000002</v>
      </c>
      <c r="AN798">
        <v>83.7</v>
      </c>
      <c r="AQ798">
        <v>3.1</v>
      </c>
      <c r="BG798" t="s">
        <v>311</v>
      </c>
      <c r="BH798" t="s">
        <v>315</v>
      </c>
      <c r="BL798">
        <v>5.6</v>
      </c>
      <c r="BR798" s="10" t="s">
        <v>842</v>
      </c>
      <c r="BS798" s="10">
        <v>5.6</v>
      </c>
      <c r="BY798" s="9" t="s">
        <v>842</v>
      </c>
      <c r="CD798" s="10" t="s">
        <v>842</v>
      </c>
      <c r="CE798" s="10" t="s">
        <v>843</v>
      </c>
      <c r="CG798" t="s">
        <v>651</v>
      </c>
      <c r="CH798" t="s">
        <v>765</v>
      </c>
    </row>
    <row r="799" spans="1:86" x14ac:dyDescent="0.3">
      <c r="A799">
        <v>969</v>
      </c>
      <c r="B799" t="s">
        <v>374</v>
      </c>
      <c r="C799" t="s">
        <v>335</v>
      </c>
      <c r="D799" t="s">
        <v>845</v>
      </c>
      <c r="F799" t="s">
        <v>840</v>
      </c>
      <c r="G799" t="s">
        <v>841</v>
      </c>
      <c r="Q799">
        <v>0.1</v>
      </c>
      <c r="AJ799">
        <v>4.38</v>
      </c>
      <c r="AL799">
        <v>1.7</v>
      </c>
      <c r="AN799">
        <v>87</v>
      </c>
      <c r="AQ799">
        <v>2.84</v>
      </c>
      <c r="BG799" t="s">
        <v>311</v>
      </c>
      <c r="BH799" t="s">
        <v>315</v>
      </c>
      <c r="BL799">
        <v>2</v>
      </c>
      <c r="BS799" s="10">
        <v>6.2</v>
      </c>
      <c r="BY799">
        <v>4.2</v>
      </c>
      <c r="CE799" s="10" t="s">
        <v>843</v>
      </c>
      <c r="CG799" t="s">
        <v>651</v>
      </c>
      <c r="CH799" t="s">
        <v>765</v>
      </c>
    </row>
    <row r="800" spans="1:86" x14ac:dyDescent="0.3">
      <c r="A800">
        <v>970</v>
      </c>
      <c r="B800" t="s">
        <v>374</v>
      </c>
      <c r="C800" t="s">
        <v>335</v>
      </c>
      <c r="D800" t="s">
        <v>845</v>
      </c>
      <c r="F800" t="s">
        <v>840</v>
      </c>
      <c r="G800" t="s">
        <v>841</v>
      </c>
      <c r="Q800">
        <v>0.2</v>
      </c>
      <c r="AJ800">
        <v>4.38</v>
      </c>
      <c r="AL800">
        <v>1.7</v>
      </c>
      <c r="AN800">
        <v>87</v>
      </c>
      <c r="AQ800">
        <v>2.84</v>
      </c>
      <c r="BG800" t="s">
        <v>311</v>
      </c>
      <c r="BH800" t="s">
        <v>315</v>
      </c>
      <c r="BL800">
        <v>3.2</v>
      </c>
      <c r="BS800" s="10">
        <v>6.2</v>
      </c>
      <c r="BY800">
        <v>3</v>
      </c>
      <c r="CE800" s="10" t="s">
        <v>843</v>
      </c>
      <c r="CG800" t="s">
        <v>651</v>
      </c>
      <c r="CH800" t="s">
        <v>765</v>
      </c>
    </row>
    <row r="801" spans="1:86" x14ac:dyDescent="0.3">
      <c r="A801">
        <v>971</v>
      </c>
      <c r="B801" t="s">
        <v>374</v>
      </c>
      <c r="C801" t="s">
        <v>335</v>
      </c>
      <c r="D801" t="s">
        <v>839</v>
      </c>
      <c r="F801" t="s">
        <v>840</v>
      </c>
      <c r="G801" t="s">
        <v>841</v>
      </c>
      <c r="Q801">
        <v>0.1</v>
      </c>
      <c r="AJ801">
        <v>4.1900000000000004</v>
      </c>
      <c r="AL801">
        <v>1.4</v>
      </c>
      <c r="AN801">
        <v>89.6</v>
      </c>
      <c r="BG801" t="s">
        <v>311</v>
      </c>
      <c r="BH801" t="s">
        <v>315</v>
      </c>
      <c r="BL801">
        <v>2</v>
      </c>
      <c r="BS801" s="10">
        <v>5.5</v>
      </c>
      <c r="BY801">
        <v>3.5</v>
      </c>
      <c r="CE801" s="10" t="s">
        <v>843</v>
      </c>
      <c r="CG801" t="s">
        <v>651</v>
      </c>
      <c r="CH801" t="s">
        <v>765</v>
      </c>
    </row>
    <row r="802" spans="1:86" x14ac:dyDescent="0.3">
      <c r="A802">
        <v>972</v>
      </c>
      <c r="B802" t="s">
        <v>374</v>
      </c>
      <c r="C802" t="s">
        <v>335</v>
      </c>
      <c r="D802" t="s">
        <v>839</v>
      </c>
      <c r="F802" t="s">
        <v>840</v>
      </c>
      <c r="G802" t="s">
        <v>841</v>
      </c>
      <c r="Q802">
        <v>0.2</v>
      </c>
      <c r="AJ802">
        <v>4.1900000000000004</v>
      </c>
      <c r="AL802">
        <v>1.4</v>
      </c>
      <c r="AN802">
        <v>89.6</v>
      </c>
      <c r="BG802" t="s">
        <v>311</v>
      </c>
      <c r="BH802" t="s">
        <v>315</v>
      </c>
      <c r="BL802">
        <v>3</v>
      </c>
      <c r="BS802" s="10">
        <v>5.5</v>
      </c>
      <c r="BY802">
        <v>2.5</v>
      </c>
      <c r="CE802" s="10" t="s">
        <v>843</v>
      </c>
      <c r="CG802" t="s">
        <v>651</v>
      </c>
      <c r="CH802" t="s">
        <v>765</v>
      </c>
    </row>
    <row r="803" spans="1:86" x14ac:dyDescent="0.3">
      <c r="A803">
        <v>973</v>
      </c>
      <c r="B803" t="s">
        <v>374</v>
      </c>
      <c r="C803" t="s">
        <v>335</v>
      </c>
      <c r="D803" t="s">
        <v>839</v>
      </c>
      <c r="F803" t="s">
        <v>840</v>
      </c>
      <c r="G803" t="s">
        <v>841</v>
      </c>
      <c r="Q803">
        <v>0.7</v>
      </c>
      <c r="AJ803">
        <v>4.1900000000000004</v>
      </c>
      <c r="AL803">
        <v>1.4</v>
      </c>
      <c r="AN803">
        <v>89.6</v>
      </c>
      <c r="BG803" t="s">
        <v>311</v>
      </c>
      <c r="BH803" t="s">
        <v>315</v>
      </c>
      <c r="BL803">
        <v>5</v>
      </c>
      <c r="BS803" s="10">
        <v>5.5</v>
      </c>
      <c r="BY803">
        <v>0.5</v>
      </c>
      <c r="CE803" s="10" t="s">
        <v>843</v>
      </c>
      <c r="CG803" t="s">
        <v>651</v>
      </c>
      <c r="CH803" t="s">
        <v>765</v>
      </c>
    </row>
    <row r="804" spans="1:86" x14ac:dyDescent="0.3">
      <c r="A804">
        <v>974</v>
      </c>
      <c r="B804" t="s">
        <v>374</v>
      </c>
      <c r="C804" t="s">
        <v>335</v>
      </c>
      <c r="D804" t="s">
        <v>844</v>
      </c>
      <c r="F804" t="s">
        <v>840</v>
      </c>
      <c r="G804" t="s">
        <v>841</v>
      </c>
      <c r="Q804">
        <v>0.1</v>
      </c>
      <c r="AJ804">
        <v>4.0199999999999996</v>
      </c>
      <c r="AL804">
        <v>6</v>
      </c>
      <c r="AN804">
        <v>90.5</v>
      </c>
      <c r="AQ804">
        <v>4.13</v>
      </c>
      <c r="BG804" t="s">
        <v>311</v>
      </c>
      <c r="BH804" t="s">
        <v>315</v>
      </c>
      <c r="BL804">
        <v>0.2</v>
      </c>
      <c r="BS804" s="10">
        <v>6.1</v>
      </c>
      <c r="BY804">
        <v>5.8999999999999995</v>
      </c>
      <c r="CE804" s="10" t="s">
        <v>843</v>
      </c>
      <c r="CG804" t="s">
        <v>651</v>
      </c>
      <c r="CH804" t="s">
        <v>765</v>
      </c>
    </row>
    <row r="805" spans="1:86" x14ac:dyDescent="0.3">
      <c r="A805">
        <v>975</v>
      </c>
      <c r="B805" t="s">
        <v>374</v>
      </c>
      <c r="C805" t="s">
        <v>335</v>
      </c>
      <c r="D805" t="s">
        <v>844</v>
      </c>
      <c r="F805" t="s">
        <v>840</v>
      </c>
      <c r="G805" t="s">
        <v>841</v>
      </c>
      <c r="Q805">
        <v>0.27</v>
      </c>
      <c r="AJ805">
        <v>4.0199999999999996</v>
      </c>
      <c r="AL805">
        <v>6</v>
      </c>
      <c r="AN805">
        <v>90.5</v>
      </c>
      <c r="AQ805">
        <v>4.13</v>
      </c>
      <c r="BG805" t="s">
        <v>311</v>
      </c>
      <c r="BH805" t="s">
        <v>315</v>
      </c>
      <c r="BL805">
        <v>2</v>
      </c>
      <c r="BS805" s="10">
        <v>6.1</v>
      </c>
      <c r="BY805">
        <v>4.0999999999999996</v>
      </c>
      <c r="CE805" s="10" t="s">
        <v>843</v>
      </c>
      <c r="CG805" t="s">
        <v>651</v>
      </c>
      <c r="CH805" t="s">
        <v>765</v>
      </c>
    </row>
    <row r="806" spans="1:86" x14ac:dyDescent="0.3">
      <c r="A806">
        <v>976</v>
      </c>
      <c r="B806" t="s">
        <v>374</v>
      </c>
      <c r="C806" t="s">
        <v>335</v>
      </c>
      <c r="D806" t="s">
        <v>845</v>
      </c>
      <c r="F806" t="s">
        <v>840</v>
      </c>
      <c r="G806" t="s">
        <v>841</v>
      </c>
      <c r="Q806">
        <v>0.38</v>
      </c>
      <c r="AJ806">
        <v>4.38</v>
      </c>
      <c r="AL806">
        <v>1.7</v>
      </c>
      <c r="AN806">
        <v>87</v>
      </c>
      <c r="AQ806">
        <v>2.84</v>
      </c>
      <c r="BG806" t="s">
        <v>311</v>
      </c>
      <c r="BH806" t="s">
        <v>315</v>
      </c>
      <c r="BL806">
        <v>5</v>
      </c>
      <c r="BS806" s="10">
        <v>6.2</v>
      </c>
      <c r="BY806">
        <v>1.2000000000000002</v>
      </c>
      <c r="CE806" s="10" t="s">
        <v>843</v>
      </c>
      <c r="CG806" t="s">
        <v>651</v>
      </c>
      <c r="CH806" t="s">
        <v>765</v>
      </c>
    </row>
    <row r="807" spans="1:86" x14ac:dyDescent="0.3">
      <c r="A807">
        <v>977</v>
      </c>
      <c r="B807" t="s">
        <v>374</v>
      </c>
      <c r="C807" t="s">
        <v>335</v>
      </c>
      <c r="D807" t="s">
        <v>844</v>
      </c>
      <c r="F807" t="s">
        <v>840</v>
      </c>
      <c r="G807" t="s">
        <v>841</v>
      </c>
      <c r="Q807">
        <v>1.2</v>
      </c>
      <c r="AJ807">
        <v>4.0199999999999996</v>
      </c>
      <c r="AL807">
        <v>6</v>
      </c>
      <c r="AN807">
        <v>90.5</v>
      </c>
      <c r="BG807" t="s">
        <v>311</v>
      </c>
      <c r="BH807" t="s">
        <v>315</v>
      </c>
      <c r="BL807">
        <v>5.6</v>
      </c>
      <c r="BS807" s="10">
        <v>6.1</v>
      </c>
      <c r="BY807">
        <v>0.5</v>
      </c>
      <c r="CE807" s="10" t="s">
        <v>843</v>
      </c>
      <c r="CG807" t="s">
        <v>651</v>
      </c>
      <c r="CH807" t="s">
        <v>765</v>
      </c>
    </row>
    <row r="808" spans="1:86" x14ac:dyDescent="0.3">
      <c r="A808">
        <v>978</v>
      </c>
      <c r="B808" t="s">
        <v>374</v>
      </c>
      <c r="C808" t="s">
        <v>329</v>
      </c>
      <c r="D808" t="s">
        <v>846</v>
      </c>
      <c r="F808" t="s">
        <v>840</v>
      </c>
      <c r="G808" t="s">
        <v>841</v>
      </c>
      <c r="S808">
        <v>30</v>
      </c>
      <c r="T808" t="s">
        <v>862</v>
      </c>
      <c r="AJ808" s="84">
        <v>4.53</v>
      </c>
      <c r="AL808">
        <v>2.2000000000000002</v>
      </c>
      <c r="AN808" s="84">
        <v>83.7</v>
      </c>
      <c r="AQ808" s="84">
        <v>3.1</v>
      </c>
      <c r="BG808" t="s">
        <v>311</v>
      </c>
      <c r="BH808" t="s">
        <v>315</v>
      </c>
      <c r="BL808">
        <v>1.5</v>
      </c>
      <c r="BS808" s="10">
        <v>5.6</v>
      </c>
      <c r="BY808">
        <v>4.0999999999999996</v>
      </c>
      <c r="CE808" s="10" t="s">
        <v>843</v>
      </c>
      <c r="CG808" t="s">
        <v>651</v>
      </c>
      <c r="CH808" t="s">
        <v>765</v>
      </c>
    </row>
    <row r="809" spans="1:86" x14ac:dyDescent="0.3">
      <c r="A809">
        <v>979</v>
      </c>
      <c r="B809" t="s">
        <v>374</v>
      </c>
      <c r="C809" t="s">
        <v>329</v>
      </c>
      <c r="D809" t="s">
        <v>845</v>
      </c>
      <c r="F809" t="s">
        <v>840</v>
      </c>
      <c r="G809" t="s">
        <v>841</v>
      </c>
      <c r="S809">
        <v>30</v>
      </c>
      <c r="T809" t="s">
        <v>862</v>
      </c>
      <c r="AJ809" s="84">
        <v>4.38</v>
      </c>
      <c r="AL809">
        <v>1.7</v>
      </c>
      <c r="AN809" s="84">
        <v>87</v>
      </c>
      <c r="AQ809" s="84">
        <v>2.84</v>
      </c>
      <c r="BG809" t="s">
        <v>311</v>
      </c>
      <c r="BH809" t="s">
        <v>315</v>
      </c>
      <c r="BL809">
        <v>1.2</v>
      </c>
      <c r="BS809" s="10">
        <v>6.2</v>
      </c>
      <c r="BY809">
        <v>5</v>
      </c>
      <c r="CE809" s="10" t="s">
        <v>843</v>
      </c>
      <c r="CG809" t="s">
        <v>651</v>
      </c>
      <c r="CH809" t="s">
        <v>765</v>
      </c>
    </row>
    <row r="810" spans="1:86" x14ac:dyDescent="0.3">
      <c r="A810">
        <v>980</v>
      </c>
      <c r="B810" t="s">
        <v>374</v>
      </c>
      <c r="C810" t="s">
        <v>329</v>
      </c>
      <c r="D810" t="s">
        <v>839</v>
      </c>
      <c r="F810" t="s">
        <v>840</v>
      </c>
      <c r="G810" t="s">
        <v>841</v>
      </c>
      <c r="S810">
        <v>30</v>
      </c>
      <c r="T810" t="s">
        <v>862</v>
      </c>
      <c r="AJ810" s="84">
        <v>4.1900000000000004</v>
      </c>
      <c r="AL810">
        <v>1.4</v>
      </c>
      <c r="AN810" s="84">
        <v>89.6</v>
      </c>
      <c r="AQ810" s="84"/>
      <c r="BG810" t="s">
        <v>311</v>
      </c>
      <c r="BH810" t="s">
        <v>315</v>
      </c>
      <c r="BL810">
        <v>1.8</v>
      </c>
      <c r="BS810" s="10">
        <v>5.5</v>
      </c>
      <c r="BY810">
        <v>3.7</v>
      </c>
      <c r="CE810" s="10" t="s">
        <v>843</v>
      </c>
      <c r="CG810" t="s">
        <v>651</v>
      </c>
      <c r="CH810" t="s">
        <v>765</v>
      </c>
    </row>
    <row r="811" spans="1:86" x14ac:dyDescent="0.3">
      <c r="A811">
        <v>981</v>
      </c>
      <c r="B811" t="s">
        <v>374</v>
      </c>
      <c r="C811" t="s">
        <v>329</v>
      </c>
      <c r="D811" t="s">
        <v>844</v>
      </c>
      <c r="F811" t="s">
        <v>840</v>
      </c>
      <c r="G811" t="s">
        <v>841</v>
      </c>
      <c r="S811">
        <v>30</v>
      </c>
      <c r="T811" t="s">
        <v>862</v>
      </c>
      <c r="AJ811" s="84">
        <v>4.0199999999999996</v>
      </c>
      <c r="AL811">
        <v>6</v>
      </c>
      <c r="AN811" s="84">
        <v>90.5</v>
      </c>
      <c r="AQ811" s="84">
        <v>4.13</v>
      </c>
      <c r="BG811" t="s">
        <v>311</v>
      </c>
      <c r="BH811" t="s">
        <v>315</v>
      </c>
      <c r="BL811">
        <v>1.2</v>
      </c>
      <c r="BS811" s="10">
        <v>6.1</v>
      </c>
      <c r="BY811">
        <v>4.8999999999999995</v>
      </c>
      <c r="CE811" s="10" t="s">
        <v>843</v>
      </c>
      <c r="CG811" t="s">
        <v>651</v>
      </c>
      <c r="CH811" t="s">
        <v>765</v>
      </c>
    </row>
    <row r="812" spans="1:86" x14ac:dyDescent="0.3">
      <c r="A812">
        <v>982</v>
      </c>
      <c r="B812" t="s">
        <v>374</v>
      </c>
      <c r="C812" t="s">
        <v>329</v>
      </c>
      <c r="D812" t="s">
        <v>846</v>
      </c>
      <c r="F812" t="s">
        <v>840</v>
      </c>
      <c r="G812" t="s">
        <v>841</v>
      </c>
      <c r="S812">
        <v>50</v>
      </c>
      <c r="T812" t="s">
        <v>862</v>
      </c>
      <c r="AJ812" s="84">
        <v>4.53</v>
      </c>
      <c r="AL812">
        <v>2.2000000000000002</v>
      </c>
      <c r="AN812" s="84">
        <v>83.7</v>
      </c>
      <c r="AQ812" s="84">
        <v>3.1</v>
      </c>
      <c r="BG812" t="s">
        <v>311</v>
      </c>
      <c r="BH812" t="s">
        <v>315</v>
      </c>
      <c r="BL812">
        <v>2.5</v>
      </c>
      <c r="BS812" s="10">
        <v>5.6</v>
      </c>
      <c r="BY812">
        <v>3.0999999999999996</v>
      </c>
      <c r="CE812" s="10" t="s">
        <v>843</v>
      </c>
      <c r="CG812" t="s">
        <v>651</v>
      </c>
      <c r="CH812" t="s">
        <v>810</v>
      </c>
    </row>
    <row r="813" spans="1:86" x14ac:dyDescent="0.3">
      <c r="A813">
        <v>983</v>
      </c>
      <c r="B813" t="s">
        <v>374</v>
      </c>
      <c r="C813" t="s">
        <v>329</v>
      </c>
      <c r="D813" t="s">
        <v>845</v>
      </c>
      <c r="F813" t="s">
        <v>840</v>
      </c>
      <c r="G813" t="s">
        <v>841</v>
      </c>
      <c r="S813">
        <v>50</v>
      </c>
      <c r="T813" t="s">
        <v>862</v>
      </c>
      <c r="AJ813">
        <v>4.38</v>
      </c>
      <c r="AL813">
        <v>1.7</v>
      </c>
      <c r="AN813">
        <v>87</v>
      </c>
      <c r="AQ813">
        <v>2.84</v>
      </c>
      <c r="BG813" t="s">
        <v>311</v>
      </c>
      <c r="BH813" t="s">
        <v>315</v>
      </c>
      <c r="BL813">
        <v>3</v>
      </c>
      <c r="BS813" s="10">
        <v>6.2</v>
      </c>
      <c r="BY813">
        <v>3.2</v>
      </c>
      <c r="CE813" s="10" t="s">
        <v>843</v>
      </c>
      <c r="CG813" t="s">
        <v>651</v>
      </c>
      <c r="CH813" t="s">
        <v>810</v>
      </c>
    </row>
    <row r="814" spans="1:86" x14ac:dyDescent="0.3">
      <c r="A814">
        <v>984</v>
      </c>
      <c r="B814" t="s">
        <v>374</v>
      </c>
      <c r="C814" t="s">
        <v>329</v>
      </c>
      <c r="D814" t="s">
        <v>839</v>
      </c>
      <c r="F814" t="s">
        <v>840</v>
      </c>
      <c r="G814" t="s">
        <v>841</v>
      </c>
      <c r="S814">
        <v>50</v>
      </c>
      <c r="T814" t="s">
        <v>862</v>
      </c>
      <c r="AJ814">
        <v>4.1900000000000004</v>
      </c>
      <c r="AL814">
        <v>1.4</v>
      </c>
      <c r="AN814">
        <v>89.6</v>
      </c>
      <c r="BG814" t="s">
        <v>311</v>
      </c>
      <c r="BH814" t="s">
        <v>315</v>
      </c>
      <c r="BL814">
        <v>2.8</v>
      </c>
      <c r="BS814" s="10">
        <v>5.5</v>
      </c>
      <c r="BY814">
        <v>2.7</v>
      </c>
      <c r="CE814" s="10" t="s">
        <v>843</v>
      </c>
      <c r="CG814" t="s">
        <v>651</v>
      </c>
      <c r="CH814" t="s">
        <v>810</v>
      </c>
    </row>
    <row r="815" spans="1:86" x14ac:dyDescent="0.3">
      <c r="A815">
        <v>985</v>
      </c>
      <c r="B815" t="s">
        <v>374</v>
      </c>
      <c r="C815" t="s">
        <v>329</v>
      </c>
      <c r="D815" t="s">
        <v>844</v>
      </c>
      <c r="F815" t="s">
        <v>840</v>
      </c>
      <c r="G815" t="s">
        <v>841</v>
      </c>
      <c r="S815">
        <v>50</v>
      </c>
      <c r="T815" t="s">
        <v>862</v>
      </c>
      <c r="AJ815">
        <v>4.0199999999999996</v>
      </c>
      <c r="AL815">
        <v>6</v>
      </c>
      <c r="AN815">
        <v>90.5</v>
      </c>
      <c r="AQ815">
        <v>4.13</v>
      </c>
      <c r="BG815" t="s">
        <v>311</v>
      </c>
      <c r="BH815" t="s">
        <v>315</v>
      </c>
      <c r="BL815">
        <v>2.2000000000000002</v>
      </c>
      <c r="BS815" s="10">
        <v>6.1</v>
      </c>
      <c r="BY815">
        <v>3.8999999999999995</v>
      </c>
      <c r="CE815" s="10" t="s">
        <v>843</v>
      </c>
      <c r="CG815" t="s">
        <v>651</v>
      </c>
      <c r="CH815" t="s">
        <v>810</v>
      </c>
    </row>
    <row r="816" spans="1:86" x14ac:dyDescent="0.3">
      <c r="A816">
        <v>986</v>
      </c>
      <c r="B816" t="s">
        <v>374</v>
      </c>
      <c r="C816" t="s">
        <v>329</v>
      </c>
      <c r="D816" t="s">
        <v>846</v>
      </c>
      <c r="F816" t="s">
        <v>840</v>
      </c>
      <c r="G816" t="s">
        <v>841</v>
      </c>
      <c r="S816">
        <v>100</v>
      </c>
      <c r="T816" t="s">
        <v>862</v>
      </c>
      <c r="AJ816">
        <v>4.53</v>
      </c>
      <c r="AL816">
        <v>2.2000000000000002</v>
      </c>
      <c r="AN816">
        <v>83.7</v>
      </c>
      <c r="AQ816">
        <v>3.1</v>
      </c>
      <c r="BG816" t="s">
        <v>311</v>
      </c>
      <c r="BH816" t="s">
        <v>315</v>
      </c>
      <c r="BL816">
        <v>5.6</v>
      </c>
      <c r="BR816" s="10" t="s">
        <v>842</v>
      </c>
      <c r="BS816" s="10">
        <v>5.6</v>
      </c>
      <c r="BY816" s="9" t="s">
        <v>842</v>
      </c>
      <c r="CD816" s="10" t="s">
        <v>842</v>
      </c>
      <c r="CE816" s="10" t="s">
        <v>843</v>
      </c>
      <c r="CG816" t="s">
        <v>651</v>
      </c>
      <c r="CH816" t="s">
        <v>765</v>
      </c>
    </row>
    <row r="817" spans="1:86" x14ac:dyDescent="0.3">
      <c r="A817">
        <v>987</v>
      </c>
      <c r="B817" t="s">
        <v>374</v>
      </c>
      <c r="C817" t="s">
        <v>329</v>
      </c>
      <c r="D817" t="s">
        <v>845</v>
      </c>
      <c r="F817" t="s">
        <v>840</v>
      </c>
      <c r="G817" t="s">
        <v>841</v>
      </c>
      <c r="S817">
        <v>100</v>
      </c>
      <c r="T817" t="s">
        <v>862</v>
      </c>
      <c r="AJ817">
        <v>4.38</v>
      </c>
      <c r="AL817">
        <v>1.7</v>
      </c>
      <c r="AN817">
        <v>87</v>
      </c>
      <c r="AQ817">
        <v>2.84</v>
      </c>
      <c r="BG817" t="s">
        <v>311</v>
      </c>
      <c r="BH817" t="s">
        <v>315</v>
      </c>
      <c r="BL817">
        <v>5.8</v>
      </c>
      <c r="BS817" s="10">
        <v>6.2</v>
      </c>
      <c r="BY817">
        <v>0.40000000000000036</v>
      </c>
      <c r="CE817" s="10" t="s">
        <v>843</v>
      </c>
      <c r="CG817" t="s">
        <v>651</v>
      </c>
      <c r="CH817" t="s">
        <v>765</v>
      </c>
    </row>
    <row r="818" spans="1:86" x14ac:dyDescent="0.3">
      <c r="A818">
        <v>988</v>
      </c>
      <c r="B818" t="s">
        <v>374</v>
      </c>
      <c r="C818" t="s">
        <v>329</v>
      </c>
      <c r="D818" t="s">
        <v>839</v>
      </c>
      <c r="F818" t="s">
        <v>840</v>
      </c>
      <c r="G818" t="s">
        <v>841</v>
      </c>
      <c r="S818">
        <v>100</v>
      </c>
      <c r="T818" t="s">
        <v>862</v>
      </c>
      <c r="AJ818">
        <v>4.1900000000000004</v>
      </c>
      <c r="AL818">
        <v>1.4</v>
      </c>
      <c r="AN818">
        <v>89.6</v>
      </c>
      <c r="BG818" t="s">
        <v>311</v>
      </c>
      <c r="BH818" t="s">
        <v>315</v>
      </c>
      <c r="BL818">
        <v>4.0999999999999996</v>
      </c>
      <c r="BS818" s="10">
        <v>5.5</v>
      </c>
      <c r="BY818">
        <v>1.4000000000000004</v>
      </c>
      <c r="CE818" s="10" t="s">
        <v>843</v>
      </c>
      <c r="CG818" t="s">
        <v>651</v>
      </c>
      <c r="CH818" t="s">
        <v>765</v>
      </c>
    </row>
    <row r="819" spans="1:86" x14ac:dyDescent="0.3">
      <c r="A819">
        <v>989</v>
      </c>
      <c r="B819" t="s">
        <v>374</v>
      </c>
      <c r="C819" t="s">
        <v>329</v>
      </c>
      <c r="D819" t="s">
        <v>844</v>
      </c>
      <c r="F819" t="s">
        <v>840</v>
      </c>
      <c r="G819" t="s">
        <v>841</v>
      </c>
      <c r="S819">
        <v>100</v>
      </c>
      <c r="T819" t="s">
        <v>862</v>
      </c>
      <c r="AJ819">
        <v>4.0199999999999996</v>
      </c>
      <c r="AL819">
        <v>6</v>
      </c>
      <c r="AN819">
        <v>90.5</v>
      </c>
      <c r="AQ819">
        <v>4.13</v>
      </c>
      <c r="BG819" t="s">
        <v>311</v>
      </c>
      <c r="BH819" t="s">
        <v>315</v>
      </c>
      <c r="BL819">
        <v>3.9</v>
      </c>
      <c r="BS819" s="10">
        <v>6.1</v>
      </c>
      <c r="BY819">
        <v>2.1999999999999997</v>
      </c>
      <c r="CE819" s="10" t="s">
        <v>843</v>
      </c>
      <c r="CG819" t="s">
        <v>651</v>
      </c>
      <c r="CH819" t="s">
        <v>765</v>
      </c>
    </row>
    <row r="820" spans="1:86" x14ac:dyDescent="0.3">
      <c r="A820">
        <v>990</v>
      </c>
      <c r="B820" t="s">
        <v>383</v>
      </c>
      <c r="C820" t="s">
        <v>329</v>
      </c>
      <c r="F820" t="s">
        <v>863</v>
      </c>
      <c r="S820">
        <v>400</v>
      </c>
      <c r="AI820">
        <v>10</v>
      </c>
      <c r="AK820">
        <v>17.600000000000001</v>
      </c>
      <c r="AL820">
        <v>2</v>
      </c>
      <c r="AQ820">
        <v>13.5</v>
      </c>
      <c r="BG820" t="s">
        <v>312</v>
      </c>
      <c r="BH820" t="s">
        <v>691</v>
      </c>
      <c r="BL820">
        <v>4.0413926851582254</v>
      </c>
      <c r="BR820" s="10" t="s">
        <v>842</v>
      </c>
      <c r="BS820" s="10">
        <v>4.0413926851582254</v>
      </c>
      <c r="BY820" s="9" t="s">
        <v>842</v>
      </c>
      <c r="CD820" s="10" t="s">
        <v>842</v>
      </c>
      <c r="CE820" s="10" t="s">
        <v>843</v>
      </c>
      <c r="CG820" t="s">
        <v>651</v>
      </c>
      <c r="CH820" t="s">
        <v>765</v>
      </c>
    </row>
    <row r="821" spans="1:86" x14ac:dyDescent="0.3">
      <c r="A821">
        <v>991</v>
      </c>
      <c r="B821" t="s">
        <v>375</v>
      </c>
      <c r="C821" s="61" t="s">
        <v>329</v>
      </c>
      <c r="F821" t="s">
        <v>840</v>
      </c>
      <c r="G821" t="s">
        <v>847</v>
      </c>
      <c r="S821">
        <v>21</v>
      </c>
      <c r="AJ821">
        <v>27.5</v>
      </c>
      <c r="AL821">
        <v>28.4</v>
      </c>
      <c r="AN821">
        <v>38</v>
      </c>
      <c r="BG821" t="s">
        <v>312</v>
      </c>
      <c r="BH821" t="s">
        <v>314</v>
      </c>
      <c r="BL821" s="17">
        <v>5.5</v>
      </c>
      <c r="BY821" s="9"/>
      <c r="CE821" s="10" t="s">
        <v>843</v>
      </c>
      <c r="CG821" t="s">
        <v>651</v>
      </c>
      <c r="CH821" t="s">
        <v>765</v>
      </c>
    </row>
    <row r="822" spans="1:86" x14ac:dyDescent="0.3">
      <c r="A822">
        <v>992</v>
      </c>
      <c r="B822" t="s">
        <v>375</v>
      </c>
      <c r="C822" s="61" t="s">
        <v>329</v>
      </c>
      <c r="F822" t="s">
        <v>840</v>
      </c>
      <c r="G822" t="s">
        <v>849</v>
      </c>
      <c r="S822">
        <v>26</v>
      </c>
      <c r="AJ822">
        <v>27.5</v>
      </c>
      <c r="AL822">
        <v>28.4</v>
      </c>
      <c r="AN822">
        <v>38</v>
      </c>
      <c r="BG822" t="s">
        <v>312</v>
      </c>
      <c r="BH822" t="s">
        <v>314</v>
      </c>
      <c r="BL822" s="17">
        <v>5.5</v>
      </c>
      <c r="BY822" s="9"/>
      <c r="CE822" s="10" t="s">
        <v>843</v>
      </c>
      <c r="CG822" t="s">
        <v>651</v>
      </c>
      <c r="CH822" t="s">
        <v>765</v>
      </c>
    </row>
    <row r="823" spans="1:86" x14ac:dyDescent="0.3">
      <c r="A823">
        <v>993</v>
      </c>
      <c r="B823" t="s">
        <v>375</v>
      </c>
      <c r="C823" s="61" t="s">
        <v>329</v>
      </c>
      <c r="F823" t="s">
        <v>840</v>
      </c>
      <c r="G823" t="s">
        <v>850</v>
      </c>
      <c r="S823">
        <v>28</v>
      </c>
      <c r="AJ823">
        <v>27.5</v>
      </c>
      <c r="AL823">
        <v>28.4</v>
      </c>
      <c r="AN823">
        <v>38</v>
      </c>
      <c r="BG823" t="s">
        <v>312</v>
      </c>
      <c r="BH823" t="s">
        <v>314</v>
      </c>
      <c r="BL823" s="17">
        <v>5.6</v>
      </c>
      <c r="BY823" s="9"/>
      <c r="CE823" s="10" t="s">
        <v>843</v>
      </c>
      <c r="CG823" t="s">
        <v>651</v>
      </c>
      <c r="CH823" t="s">
        <v>765</v>
      </c>
    </row>
    <row r="824" spans="1:86" x14ac:dyDescent="0.3">
      <c r="A824">
        <v>994</v>
      </c>
      <c r="B824" t="s">
        <v>375</v>
      </c>
      <c r="C824" s="61" t="s">
        <v>329</v>
      </c>
      <c r="F824" t="s">
        <v>840</v>
      </c>
      <c r="G824" t="s">
        <v>847</v>
      </c>
      <c r="S824">
        <v>21</v>
      </c>
      <c r="AJ824">
        <v>45</v>
      </c>
      <c r="AL824">
        <v>25.8</v>
      </c>
      <c r="AN824">
        <v>38</v>
      </c>
      <c r="BG824" t="s">
        <v>312</v>
      </c>
      <c r="BH824" t="s">
        <v>851</v>
      </c>
      <c r="BL824">
        <v>7.4</v>
      </c>
      <c r="BR824" s="10" t="s">
        <v>842</v>
      </c>
      <c r="BS824" s="10">
        <v>7.4</v>
      </c>
      <c r="BY824" s="9" t="s">
        <v>842</v>
      </c>
      <c r="CD824" s="10" t="s">
        <v>842</v>
      </c>
      <c r="CE824" s="10" t="s">
        <v>843</v>
      </c>
      <c r="CG824" t="s">
        <v>651</v>
      </c>
      <c r="CH824" t="s">
        <v>765</v>
      </c>
    </row>
    <row r="825" spans="1:86" x14ac:dyDescent="0.3">
      <c r="A825">
        <v>995</v>
      </c>
      <c r="B825" t="s">
        <v>375</v>
      </c>
      <c r="C825" s="61" t="s">
        <v>329</v>
      </c>
      <c r="F825" t="s">
        <v>840</v>
      </c>
      <c r="G825" t="s">
        <v>849</v>
      </c>
      <c r="S825">
        <v>26</v>
      </c>
      <c r="AJ825">
        <v>45</v>
      </c>
      <c r="AL825">
        <v>25.8</v>
      </c>
      <c r="AN825">
        <v>38</v>
      </c>
      <c r="BG825" t="s">
        <v>312</v>
      </c>
      <c r="BH825" t="s">
        <v>851</v>
      </c>
      <c r="BL825">
        <v>8.3000000000000007</v>
      </c>
      <c r="BR825" s="10" t="s">
        <v>842</v>
      </c>
      <c r="BS825" s="10">
        <v>8.3000000000000007</v>
      </c>
      <c r="BY825" s="9" t="s">
        <v>842</v>
      </c>
      <c r="CD825" s="10" t="s">
        <v>842</v>
      </c>
      <c r="CE825" s="10" t="s">
        <v>843</v>
      </c>
      <c r="CG825" t="s">
        <v>651</v>
      </c>
      <c r="CH825" t="s">
        <v>765</v>
      </c>
    </row>
    <row r="826" spans="1:86" x14ac:dyDescent="0.3">
      <c r="A826">
        <v>996</v>
      </c>
      <c r="B826" t="s">
        <v>375</v>
      </c>
      <c r="C826" s="61" t="s">
        <v>329</v>
      </c>
      <c r="F826" t="s">
        <v>840</v>
      </c>
      <c r="G826" t="s">
        <v>850</v>
      </c>
      <c r="S826">
        <v>28</v>
      </c>
      <c r="AJ826">
        <v>45</v>
      </c>
      <c r="AL826">
        <v>25.8</v>
      </c>
      <c r="AN826">
        <v>38</v>
      </c>
      <c r="BG826" t="s">
        <v>312</v>
      </c>
      <c r="BH826" t="s">
        <v>851</v>
      </c>
      <c r="BL826">
        <v>8</v>
      </c>
      <c r="BR826" s="10" t="s">
        <v>842</v>
      </c>
      <c r="BS826" s="10">
        <v>8</v>
      </c>
      <c r="BY826" s="9" t="s">
        <v>842</v>
      </c>
      <c r="CD826" s="10" t="s">
        <v>842</v>
      </c>
      <c r="CE826" s="10" t="s">
        <v>843</v>
      </c>
      <c r="CG826" t="s">
        <v>651</v>
      </c>
      <c r="CH826" t="s">
        <v>765</v>
      </c>
    </row>
    <row r="827" spans="1:86" x14ac:dyDescent="0.3">
      <c r="A827">
        <v>997</v>
      </c>
      <c r="B827" t="s">
        <v>375</v>
      </c>
      <c r="C827" s="61" t="s">
        <v>329</v>
      </c>
      <c r="F827" t="s">
        <v>840</v>
      </c>
      <c r="G827" t="s">
        <v>849</v>
      </c>
      <c r="S827">
        <v>26</v>
      </c>
      <c r="AJ827">
        <v>49.2</v>
      </c>
      <c r="AL827">
        <v>30.7</v>
      </c>
      <c r="AN827">
        <v>38</v>
      </c>
      <c r="BG827" t="s">
        <v>312</v>
      </c>
      <c r="BH827" t="s">
        <v>852</v>
      </c>
      <c r="BL827">
        <v>7.1</v>
      </c>
      <c r="BR827" s="10" t="s">
        <v>842</v>
      </c>
      <c r="BS827" s="10">
        <v>7.1</v>
      </c>
      <c r="BY827" s="9" t="s">
        <v>842</v>
      </c>
      <c r="CD827" s="10" t="s">
        <v>842</v>
      </c>
      <c r="CE827" s="10" t="s">
        <v>843</v>
      </c>
      <c r="CG827" t="s">
        <v>651</v>
      </c>
      <c r="CH827" t="s">
        <v>765</v>
      </c>
    </row>
    <row r="828" spans="1:86" x14ac:dyDescent="0.3">
      <c r="A828">
        <v>998</v>
      </c>
      <c r="B828" t="s">
        <v>375</v>
      </c>
      <c r="C828" s="61" t="s">
        <v>329</v>
      </c>
      <c r="F828" t="s">
        <v>840</v>
      </c>
      <c r="G828" t="s">
        <v>849</v>
      </c>
      <c r="S828">
        <v>26</v>
      </c>
      <c r="AJ828">
        <v>85.3</v>
      </c>
      <c r="AL828">
        <v>36.799999999999997</v>
      </c>
      <c r="AN828">
        <v>38</v>
      </c>
      <c r="BG828" t="s">
        <v>311</v>
      </c>
      <c r="BH828" t="s">
        <v>315</v>
      </c>
      <c r="BL828" s="17">
        <v>2.7</v>
      </c>
      <c r="BY828" s="9"/>
      <c r="CE828" s="10" t="s">
        <v>843</v>
      </c>
      <c r="CG828" t="s">
        <v>651</v>
      </c>
      <c r="CH828" t="s">
        <v>765</v>
      </c>
    </row>
    <row r="829" spans="1:86" x14ac:dyDescent="0.3">
      <c r="A829">
        <v>999</v>
      </c>
      <c r="B829" t="s">
        <v>384</v>
      </c>
      <c r="C829" t="s">
        <v>329</v>
      </c>
      <c r="F829" t="s">
        <v>840</v>
      </c>
      <c r="G829" t="s">
        <v>853</v>
      </c>
      <c r="S829">
        <v>19</v>
      </c>
      <c r="AI829">
        <v>3.7</v>
      </c>
      <c r="AL829">
        <v>1.5</v>
      </c>
      <c r="AO829">
        <v>3.2000000000000001E-2</v>
      </c>
      <c r="BG829" t="s">
        <v>312</v>
      </c>
      <c r="BH829" t="s">
        <v>691</v>
      </c>
      <c r="BL829">
        <v>0.79999999999999982</v>
      </c>
      <c r="BS829" s="10">
        <v>2.8</v>
      </c>
      <c r="BY829">
        <v>2</v>
      </c>
      <c r="CG829" t="s">
        <v>651</v>
      </c>
      <c r="CH829" t="s">
        <v>765</v>
      </c>
    </row>
    <row r="830" spans="1:86" x14ac:dyDescent="0.3">
      <c r="A830">
        <v>1000</v>
      </c>
      <c r="B830" t="s">
        <v>384</v>
      </c>
      <c r="C830" t="s">
        <v>329</v>
      </c>
      <c r="F830" t="s">
        <v>840</v>
      </c>
      <c r="G830" t="s">
        <v>853</v>
      </c>
      <c r="S830">
        <v>39</v>
      </c>
      <c r="AI830">
        <v>3.7</v>
      </c>
      <c r="AL830">
        <v>1.5</v>
      </c>
      <c r="AO830">
        <v>3.2000000000000001E-2</v>
      </c>
      <c r="BG830" t="s">
        <v>312</v>
      </c>
      <c r="BH830" t="s">
        <v>691</v>
      </c>
      <c r="BL830">
        <v>1.7999999999999998</v>
      </c>
      <c r="BS830" s="10">
        <v>2.8</v>
      </c>
      <c r="BY830">
        <v>1</v>
      </c>
      <c r="CG830" t="s">
        <v>651</v>
      </c>
      <c r="CH830" t="s">
        <v>765</v>
      </c>
    </row>
    <row r="831" spans="1:86" x14ac:dyDescent="0.3">
      <c r="A831">
        <v>1001</v>
      </c>
      <c r="B831" t="s">
        <v>384</v>
      </c>
      <c r="C831" t="s">
        <v>329</v>
      </c>
      <c r="F831" t="s">
        <v>840</v>
      </c>
      <c r="G831" t="s">
        <v>853</v>
      </c>
      <c r="S831">
        <v>44</v>
      </c>
      <c r="AI831">
        <v>3.7</v>
      </c>
      <c r="AL831">
        <v>1.5</v>
      </c>
      <c r="AO831">
        <v>3.2000000000000001E-2</v>
      </c>
      <c r="BG831" t="s">
        <v>312</v>
      </c>
      <c r="BH831" t="s">
        <v>691</v>
      </c>
      <c r="BL831">
        <v>1.6999999999999997</v>
      </c>
      <c r="BS831" s="10">
        <v>2.8</v>
      </c>
      <c r="BY831">
        <v>1.1000000000000001</v>
      </c>
      <c r="CG831" t="s">
        <v>651</v>
      </c>
      <c r="CH831" t="s">
        <v>765</v>
      </c>
    </row>
    <row r="832" spans="1:86" x14ac:dyDescent="0.3">
      <c r="A832">
        <v>1002</v>
      </c>
      <c r="B832" t="s">
        <v>384</v>
      </c>
      <c r="C832" t="s">
        <v>329</v>
      </c>
      <c r="F832" t="s">
        <v>840</v>
      </c>
      <c r="G832" t="s">
        <v>853</v>
      </c>
      <c r="S832">
        <v>69</v>
      </c>
      <c r="AI832">
        <v>3.7</v>
      </c>
      <c r="AL832">
        <v>1.5</v>
      </c>
      <c r="AO832">
        <v>3.2000000000000001E-2</v>
      </c>
      <c r="BG832" t="s">
        <v>312</v>
      </c>
      <c r="BH832" t="s">
        <v>691</v>
      </c>
      <c r="BL832">
        <v>2.8</v>
      </c>
      <c r="BR832" s="10" t="s">
        <v>842</v>
      </c>
      <c r="BS832" s="10">
        <v>2.8</v>
      </c>
      <c r="BY832" s="9" t="s">
        <v>842</v>
      </c>
      <c r="CD832" s="10" t="s">
        <v>842</v>
      </c>
      <c r="CG832" t="s">
        <v>651</v>
      </c>
      <c r="CH832" t="s">
        <v>765</v>
      </c>
    </row>
    <row r="833" spans="1:86" x14ac:dyDescent="0.3">
      <c r="A833">
        <v>1003</v>
      </c>
      <c r="B833" t="s">
        <v>384</v>
      </c>
      <c r="C833" t="s">
        <v>329</v>
      </c>
      <c r="F833" t="s">
        <v>840</v>
      </c>
      <c r="G833" t="s">
        <v>853</v>
      </c>
      <c r="S833">
        <v>147</v>
      </c>
      <c r="AI833">
        <v>3.7</v>
      </c>
      <c r="AL833">
        <v>1.5</v>
      </c>
      <c r="AO833">
        <v>3.2000000000000001E-2</v>
      </c>
      <c r="BG833" t="s">
        <v>312</v>
      </c>
      <c r="BH833" t="s">
        <v>691</v>
      </c>
      <c r="BL833">
        <v>2.8</v>
      </c>
      <c r="BR833" s="10" t="s">
        <v>842</v>
      </c>
      <c r="BS833" s="10">
        <v>2.8</v>
      </c>
      <c r="BY833" s="9" t="s">
        <v>842</v>
      </c>
      <c r="CD833" s="10" t="s">
        <v>842</v>
      </c>
      <c r="CG833" t="s">
        <v>651</v>
      </c>
      <c r="CH833" t="s">
        <v>765</v>
      </c>
    </row>
    <row r="834" spans="1:86" x14ac:dyDescent="0.3">
      <c r="A834">
        <v>1004</v>
      </c>
      <c r="B834" t="s">
        <v>384</v>
      </c>
      <c r="C834" t="s">
        <v>329</v>
      </c>
      <c r="F834" t="s">
        <v>840</v>
      </c>
      <c r="G834" t="s">
        <v>853</v>
      </c>
      <c r="S834">
        <v>439</v>
      </c>
      <c r="AI834">
        <v>3.7</v>
      </c>
      <c r="AL834">
        <v>1.5</v>
      </c>
      <c r="AO834">
        <v>3.2000000000000001E-2</v>
      </c>
      <c r="BG834" t="s">
        <v>312</v>
      </c>
      <c r="BH834" t="s">
        <v>691</v>
      </c>
      <c r="BL834">
        <v>2.8</v>
      </c>
      <c r="BR834" s="10" t="s">
        <v>842</v>
      </c>
      <c r="BS834" s="10">
        <v>2.8</v>
      </c>
      <c r="BY834" s="9" t="s">
        <v>842</v>
      </c>
      <c r="CD834" s="10" t="s">
        <v>842</v>
      </c>
      <c r="CG834" t="s">
        <v>651</v>
      </c>
      <c r="CH834" t="s">
        <v>765</v>
      </c>
    </row>
    <row r="835" spans="1:86" x14ac:dyDescent="0.3">
      <c r="A835">
        <v>1005</v>
      </c>
      <c r="B835" t="s">
        <v>384</v>
      </c>
      <c r="C835" t="s">
        <v>329</v>
      </c>
      <c r="F835" t="s">
        <v>840</v>
      </c>
      <c r="G835" t="s">
        <v>853</v>
      </c>
      <c r="S835">
        <v>19</v>
      </c>
      <c r="AI835">
        <v>3.7</v>
      </c>
      <c r="AL835">
        <v>1.5</v>
      </c>
      <c r="AO835">
        <v>3.2000000000000001E-2</v>
      </c>
      <c r="BG835" t="s">
        <v>312</v>
      </c>
      <c r="BH835" t="s">
        <v>859</v>
      </c>
      <c r="BL835">
        <v>1.9</v>
      </c>
      <c r="BR835" s="10" t="s">
        <v>842</v>
      </c>
      <c r="BS835" s="10">
        <v>1.9</v>
      </c>
      <c r="BY835" s="9" t="s">
        <v>842</v>
      </c>
      <c r="CD835" s="10" t="s">
        <v>842</v>
      </c>
      <c r="CG835" t="s">
        <v>651</v>
      </c>
      <c r="CH835" t="s">
        <v>765</v>
      </c>
    </row>
    <row r="836" spans="1:86" x14ac:dyDescent="0.3">
      <c r="A836">
        <v>1006</v>
      </c>
      <c r="B836" t="s">
        <v>384</v>
      </c>
      <c r="C836" t="s">
        <v>329</v>
      </c>
      <c r="F836" t="s">
        <v>840</v>
      </c>
      <c r="G836" t="s">
        <v>853</v>
      </c>
      <c r="S836">
        <v>39</v>
      </c>
      <c r="AI836">
        <v>3.7</v>
      </c>
      <c r="AL836">
        <v>1.5</v>
      </c>
      <c r="AO836">
        <v>3.2000000000000001E-2</v>
      </c>
      <c r="BG836" t="s">
        <v>312</v>
      </c>
      <c r="BH836" t="s">
        <v>859</v>
      </c>
      <c r="BL836">
        <v>1.9</v>
      </c>
      <c r="BR836" s="10" t="s">
        <v>842</v>
      </c>
      <c r="BS836" s="10">
        <v>1.9</v>
      </c>
      <c r="BY836" s="9" t="s">
        <v>842</v>
      </c>
      <c r="CD836" s="10" t="s">
        <v>842</v>
      </c>
      <c r="CG836" t="s">
        <v>651</v>
      </c>
      <c r="CH836" t="s">
        <v>765</v>
      </c>
    </row>
    <row r="837" spans="1:86" x14ac:dyDescent="0.3">
      <c r="A837">
        <v>1007</v>
      </c>
      <c r="B837" t="s">
        <v>384</v>
      </c>
      <c r="C837" t="s">
        <v>329</v>
      </c>
      <c r="F837" t="s">
        <v>840</v>
      </c>
      <c r="G837" t="s">
        <v>853</v>
      </c>
      <c r="S837">
        <v>44</v>
      </c>
      <c r="AI837">
        <v>3.7</v>
      </c>
      <c r="AL837">
        <v>1.5</v>
      </c>
      <c r="AO837">
        <v>3.2000000000000001E-2</v>
      </c>
      <c r="BG837" t="s">
        <v>312</v>
      </c>
      <c r="BH837" t="s">
        <v>859</v>
      </c>
      <c r="BL837">
        <v>1.9</v>
      </c>
      <c r="BR837" s="10" t="s">
        <v>842</v>
      </c>
      <c r="BS837" s="10">
        <v>1.9</v>
      </c>
      <c r="BY837" s="9" t="s">
        <v>842</v>
      </c>
      <c r="CD837" s="10" t="s">
        <v>842</v>
      </c>
      <c r="CG837" t="s">
        <v>651</v>
      </c>
      <c r="CH837" t="s">
        <v>765</v>
      </c>
    </row>
    <row r="838" spans="1:86" x14ac:dyDescent="0.3">
      <c r="A838">
        <v>1008</v>
      </c>
      <c r="B838" t="s">
        <v>384</v>
      </c>
      <c r="C838" t="s">
        <v>329</v>
      </c>
      <c r="F838" t="s">
        <v>840</v>
      </c>
      <c r="G838" t="s">
        <v>853</v>
      </c>
      <c r="S838">
        <v>69</v>
      </c>
      <c r="AI838">
        <v>3.7</v>
      </c>
      <c r="AL838">
        <v>1.5</v>
      </c>
      <c r="AO838">
        <v>3.2000000000000001E-2</v>
      </c>
      <c r="BG838" t="s">
        <v>312</v>
      </c>
      <c r="BH838" t="s">
        <v>859</v>
      </c>
      <c r="BL838">
        <v>1.9</v>
      </c>
      <c r="BR838" s="10" t="s">
        <v>842</v>
      </c>
      <c r="BS838" s="10">
        <v>1.9</v>
      </c>
      <c r="BY838" s="9" t="s">
        <v>842</v>
      </c>
      <c r="CD838" s="10" t="s">
        <v>842</v>
      </c>
      <c r="CG838" t="s">
        <v>651</v>
      </c>
      <c r="CH838" t="s">
        <v>765</v>
      </c>
    </row>
    <row r="839" spans="1:86" x14ac:dyDescent="0.3">
      <c r="A839">
        <v>1009</v>
      </c>
      <c r="B839" t="s">
        <v>384</v>
      </c>
      <c r="C839" t="s">
        <v>329</v>
      </c>
      <c r="F839" t="s">
        <v>840</v>
      </c>
      <c r="G839" t="s">
        <v>853</v>
      </c>
      <c r="S839">
        <v>147</v>
      </c>
      <c r="AI839">
        <v>3.7</v>
      </c>
      <c r="AL839">
        <v>1.5</v>
      </c>
      <c r="AO839">
        <v>3.2000000000000001E-2</v>
      </c>
      <c r="BG839" t="s">
        <v>312</v>
      </c>
      <c r="BH839" t="s">
        <v>859</v>
      </c>
      <c r="BL839">
        <v>1.9</v>
      </c>
      <c r="BR839" s="10" t="s">
        <v>842</v>
      </c>
      <c r="BS839" s="10">
        <v>1.9</v>
      </c>
      <c r="BY839" s="9" t="s">
        <v>842</v>
      </c>
      <c r="CD839" s="10" t="s">
        <v>842</v>
      </c>
      <c r="CG839" t="s">
        <v>651</v>
      </c>
      <c r="CH839" t="s">
        <v>765</v>
      </c>
    </row>
    <row r="840" spans="1:86" x14ac:dyDescent="0.3">
      <c r="A840">
        <v>1010</v>
      </c>
      <c r="B840" t="s">
        <v>384</v>
      </c>
      <c r="C840" t="s">
        <v>329</v>
      </c>
      <c r="F840" t="s">
        <v>840</v>
      </c>
      <c r="G840" t="s">
        <v>853</v>
      </c>
      <c r="S840">
        <v>439</v>
      </c>
      <c r="AI840">
        <v>3.7</v>
      </c>
      <c r="AL840">
        <v>1.5</v>
      </c>
      <c r="AO840">
        <v>3.2000000000000001E-2</v>
      </c>
      <c r="BG840" t="s">
        <v>312</v>
      </c>
      <c r="BH840" t="s">
        <v>859</v>
      </c>
      <c r="BL840">
        <v>1.9</v>
      </c>
      <c r="BR840" s="10" t="s">
        <v>842</v>
      </c>
      <c r="BS840" s="10">
        <v>1.9</v>
      </c>
      <c r="BY840" s="9" t="s">
        <v>842</v>
      </c>
      <c r="CD840" s="10" t="s">
        <v>842</v>
      </c>
      <c r="CG840" t="s">
        <v>651</v>
      </c>
      <c r="CH840" t="s">
        <v>765</v>
      </c>
    </row>
    <row r="841" spans="1:86" x14ac:dyDescent="0.3">
      <c r="A841">
        <v>1011</v>
      </c>
      <c r="B841" t="s">
        <v>384</v>
      </c>
      <c r="C841" t="s">
        <v>329</v>
      </c>
      <c r="F841" t="s">
        <v>840</v>
      </c>
      <c r="G841" t="s">
        <v>853</v>
      </c>
      <c r="S841">
        <v>19</v>
      </c>
      <c r="AI841">
        <v>3.7</v>
      </c>
      <c r="AL841">
        <v>1.5</v>
      </c>
      <c r="AO841">
        <v>3.2000000000000001E-2</v>
      </c>
      <c r="BG841" t="s">
        <v>312</v>
      </c>
      <c r="BH841" t="s">
        <v>852</v>
      </c>
      <c r="BL841">
        <v>1.1000000000000001</v>
      </c>
      <c r="BS841" s="10">
        <v>2.1</v>
      </c>
      <c r="BY841">
        <v>1</v>
      </c>
      <c r="CG841" t="s">
        <v>651</v>
      </c>
      <c r="CH841" t="s">
        <v>765</v>
      </c>
    </row>
    <row r="842" spans="1:86" x14ac:dyDescent="0.3">
      <c r="A842">
        <v>1012</v>
      </c>
      <c r="B842" t="s">
        <v>384</v>
      </c>
      <c r="C842" t="s">
        <v>329</v>
      </c>
      <c r="F842" t="s">
        <v>840</v>
      </c>
      <c r="G842" t="s">
        <v>853</v>
      </c>
      <c r="S842">
        <v>39</v>
      </c>
      <c r="AI842">
        <v>3.7</v>
      </c>
      <c r="AL842">
        <v>1.5</v>
      </c>
      <c r="AO842">
        <v>3.2000000000000001E-2</v>
      </c>
      <c r="BG842" t="s">
        <v>312</v>
      </c>
      <c r="BH842" t="s">
        <v>852</v>
      </c>
      <c r="BL842">
        <v>2.1</v>
      </c>
      <c r="BR842" s="10" t="s">
        <v>842</v>
      </c>
      <c r="BS842" s="10">
        <v>2.1</v>
      </c>
      <c r="BY842" t="s">
        <v>842</v>
      </c>
      <c r="CD842" s="10" t="s">
        <v>842</v>
      </c>
      <c r="CG842" t="s">
        <v>651</v>
      </c>
      <c r="CH842" t="s">
        <v>765</v>
      </c>
    </row>
    <row r="843" spans="1:86" x14ac:dyDescent="0.3">
      <c r="A843">
        <v>1013</v>
      </c>
      <c r="B843" t="s">
        <v>384</v>
      </c>
      <c r="C843" t="s">
        <v>329</v>
      </c>
      <c r="F843" t="s">
        <v>840</v>
      </c>
      <c r="G843" t="s">
        <v>853</v>
      </c>
      <c r="S843">
        <v>44</v>
      </c>
      <c r="AI843">
        <v>3.7</v>
      </c>
      <c r="AL843">
        <v>1.5</v>
      </c>
      <c r="AO843">
        <v>3.2000000000000001E-2</v>
      </c>
      <c r="BG843" t="s">
        <v>312</v>
      </c>
      <c r="BH843" t="s">
        <v>852</v>
      </c>
      <c r="BL843">
        <v>2.1</v>
      </c>
      <c r="BR843" s="10" t="s">
        <v>842</v>
      </c>
      <c r="BS843" s="10">
        <v>2.1</v>
      </c>
      <c r="BY843" t="s">
        <v>842</v>
      </c>
      <c r="CD843" s="10" t="s">
        <v>842</v>
      </c>
      <c r="CG843" t="s">
        <v>651</v>
      </c>
      <c r="CH843" t="s">
        <v>765</v>
      </c>
    </row>
    <row r="844" spans="1:86" x14ac:dyDescent="0.3">
      <c r="A844">
        <v>1014</v>
      </c>
      <c r="B844" t="s">
        <v>384</v>
      </c>
      <c r="C844" t="s">
        <v>329</v>
      </c>
      <c r="F844" t="s">
        <v>840</v>
      </c>
      <c r="G844" t="s">
        <v>853</v>
      </c>
      <c r="S844">
        <v>69</v>
      </c>
      <c r="AI844">
        <v>3.7</v>
      </c>
      <c r="AL844">
        <v>1.5</v>
      </c>
      <c r="AO844">
        <v>3.2000000000000001E-2</v>
      </c>
      <c r="BG844" t="s">
        <v>312</v>
      </c>
      <c r="BH844" t="s">
        <v>852</v>
      </c>
      <c r="BL844">
        <v>2.1</v>
      </c>
      <c r="BR844" s="10" t="s">
        <v>842</v>
      </c>
      <c r="BS844" s="10">
        <v>2.1</v>
      </c>
      <c r="BY844" t="s">
        <v>842</v>
      </c>
      <c r="CD844" s="10" t="s">
        <v>842</v>
      </c>
      <c r="CG844" t="s">
        <v>651</v>
      </c>
      <c r="CH844" t="s">
        <v>765</v>
      </c>
    </row>
    <row r="845" spans="1:86" x14ac:dyDescent="0.3">
      <c r="A845">
        <v>1015</v>
      </c>
      <c r="B845" t="s">
        <v>384</v>
      </c>
      <c r="C845" t="s">
        <v>329</v>
      </c>
      <c r="F845" t="s">
        <v>840</v>
      </c>
      <c r="G845" t="s">
        <v>853</v>
      </c>
      <c r="S845">
        <v>147</v>
      </c>
      <c r="AI845">
        <v>3.7</v>
      </c>
      <c r="AL845">
        <v>1.5</v>
      </c>
      <c r="AO845">
        <v>3.2000000000000001E-2</v>
      </c>
      <c r="BG845" t="s">
        <v>312</v>
      </c>
      <c r="BH845" t="s">
        <v>852</v>
      </c>
      <c r="BL845">
        <v>2.1</v>
      </c>
      <c r="BR845" s="10" t="s">
        <v>842</v>
      </c>
      <c r="BS845" s="10">
        <v>2.1</v>
      </c>
      <c r="BY845" t="s">
        <v>842</v>
      </c>
      <c r="CD845" s="10" t="s">
        <v>842</v>
      </c>
      <c r="CG845" t="s">
        <v>651</v>
      </c>
      <c r="CH845" t="s">
        <v>765</v>
      </c>
    </row>
    <row r="846" spans="1:86" x14ac:dyDescent="0.3">
      <c r="A846">
        <v>1016</v>
      </c>
      <c r="B846" t="s">
        <v>384</v>
      </c>
      <c r="C846" t="s">
        <v>329</v>
      </c>
      <c r="F846" t="s">
        <v>840</v>
      </c>
      <c r="G846" t="s">
        <v>853</v>
      </c>
      <c r="S846">
        <v>439</v>
      </c>
      <c r="AI846">
        <v>3.7</v>
      </c>
      <c r="AL846">
        <v>1.5</v>
      </c>
      <c r="AO846">
        <v>3.2000000000000001E-2</v>
      </c>
      <c r="BG846" t="s">
        <v>312</v>
      </c>
      <c r="BH846" t="s">
        <v>852</v>
      </c>
      <c r="BL846">
        <v>2.1</v>
      </c>
      <c r="BR846" s="10" t="s">
        <v>842</v>
      </c>
      <c r="BS846" s="10">
        <v>2.1</v>
      </c>
      <c r="BY846" t="s">
        <v>842</v>
      </c>
      <c r="CD846" s="10" t="s">
        <v>842</v>
      </c>
      <c r="CG846" t="s">
        <v>651</v>
      </c>
      <c r="CH846" t="s">
        <v>765</v>
      </c>
    </row>
    <row r="847" spans="1:86" x14ac:dyDescent="0.3">
      <c r="A847">
        <v>1017</v>
      </c>
      <c r="B847" t="s">
        <v>385</v>
      </c>
      <c r="C847" t="s">
        <v>329</v>
      </c>
      <c r="F847" t="s">
        <v>840</v>
      </c>
      <c r="G847" t="s">
        <v>853</v>
      </c>
      <c r="S847">
        <v>69</v>
      </c>
      <c r="AI847">
        <v>3.7</v>
      </c>
      <c r="AL847">
        <v>1.5</v>
      </c>
      <c r="AN847">
        <v>93</v>
      </c>
      <c r="AO847">
        <v>3.2000000000000001E-2</v>
      </c>
      <c r="BG847" t="s">
        <v>312</v>
      </c>
      <c r="BH847" t="s">
        <v>691</v>
      </c>
      <c r="BL847">
        <v>0.5</v>
      </c>
      <c r="BS847" s="10">
        <v>2.2999999999999998</v>
      </c>
      <c r="BY847">
        <v>1.8</v>
      </c>
      <c r="CG847" t="s">
        <v>651</v>
      </c>
      <c r="CH847" t="s">
        <v>765</v>
      </c>
    </row>
    <row r="848" spans="1:86" x14ac:dyDescent="0.3">
      <c r="A848">
        <v>1018</v>
      </c>
      <c r="B848" t="s">
        <v>385</v>
      </c>
      <c r="C848" t="s">
        <v>329</v>
      </c>
      <c r="F848" t="s">
        <v>840</v>
      </c>
      <c r="G848" t="s">
        <v>853</v>
      </c>
      <c r="S848">
        <v>69</v>
      </c>
      <c r="AI848">
        <v>3.7</v>
      </c>
      <c r="AL848">
        <v>1.5</v>
      </c>
      <c r="AN848">
        <v>93</v>
      </c>
      <c r="AO848">
        <v>3.2000000000000001E-2</v>
      </c>
      <c r="BG848" t="s">
        <v>312</v>
      </c>
      <c r="BH848" t="s">
        <v>859</v>
      </c>
      <c r="BL848">
        <v>1.4</v>
      </c>
      <c r="BR848" s="10" t="s">
        <v>842</v>
      </c>
      <c r="BS848" s="10">
        <v>1.4</v>
      </c>
      <c r="BY848" t="s">
        <v>842</v>
      </c>
      <c r="CD848" s="10" t="s">
        <v>842</v>
      </c>
      <c r="CG848" t="s">
        <v>651</v>
      </c>
      <c r="CH848" t="s">
        <v>765</v>
      </c>
    </row>
    <row r="849" spans="1:86" x14ac:dyDescent="0.3">
      <c r="A849">
        <v>1019</v>
      </c>
      <c r="B849" t="s">
        <v>385</v>
      </c>
      <c r="C849" t="s">
        <v>329</v>
      </c>
      <c r="F849" t="s">
        <v>840</v>
      </c>
      <c r="G849" t="s">
        <v>853</v>
      </c>
      <c r="S849">
        <v>69</v>
      </c>
      <c r="AI849">
        <v>3.7</v>
      </c>
      <c r="AL849">
        <v>1.5</v>
      </c>
      <c r="AN849">
        <v>93</v>
      </c>
      <c r="AO849">
        <v>3.2000000000000001E-2</v>
      </c>
      <c r="BG849" t="s">
        <v>312</v>
      </c>
      <c r="BH849" t="s">
        <v>852</v>
      </c>
      <c r="BL849">
        <v>-0.1</v>
      </c>
      <c r="BS849" s="10">
        <v>3.8</v>
      </c>
      <c r="BY849">
        <v>3.9</v>
      </c>
      <c r="CG849" t="s">
        <v>651</v>
      </c>
      <c r="CH849" t="s">
        <v>765</v>
      </c>
    </row>
    <row r="850" spans="1:86" x14ac:dyDescent="0.3">
      <c r="A850">
        <v>1020</v>
      </c>
      <c r="B850" t="s">
        <v>385</v>
      </c>
      <c r="C850" t="s">
        <v>329</v>
      </c>
      <c r="F850" t="s">
        <v>840</v>
      </c>
      <c r="G850" t="s">
        <v>853</v>
      </c>
      <c r="S850">
        <v>69</v>
      </c>
      <c r="AI850">
        <v>3.7</v>
      </c>
      <c r="AL850">
        <v>1.5</v>
      </c>
      <c r="AN850">
        <v>93</v>
      </c>
      <c r="AO850">
        <v>3.2000000000000001E-2</v>
      </c>
      <c r="BG850" t="s">
        <v>311</v>
      </c>
      <c r="BH850" t="s">
        <v>315</v>
      </c>
      <c r="BL850">
        <v>4.9000000000000004</v>
      </c>
      <c r="BR850" s="10" t="s">
        <v>842</v>
      </c>
      <c r="BS850" s="10">
        <v>4.9000000000000004</v>
      </c>
      <c r="BY850" t="s">
        <v>842</v>
      </c>
      <c r="CD850" s="10" t="s">
        <v>842</v>
      </c>
      <c r="CG850" t="s">
        <v>651</v>
      </c>
      <c r="CH850" t="s">
        <v>765</v>
      </c>
    </row>
    <row r="851" spans="1:86" x14ac:dyDescent="0.3">
      <c r="A851">
        <v>1021</v>
      </c>
      <c r="B851" t="s">
        <v>387</v>
      </c>
      <c r="C851" t="s">
        <v>329</v>
      </c>
      <c r="F851" t="s">
        <v>840</v>
      </c>
      <c r="S851">
        <v>5.8</v>
      </c>
      <c r="AI851">
        <v>20</v>
      </c>
      <c r="AK851">
        <v>19</v>
      </c>
      <c r="AL851">
        <v>18</v>
      </c>
      <c r="BG851" t="s">
        <v>312</v>
      </c>
      <c r="BH851" t="s">
        <v>599</v>
      </c>
      <c r="BL851">
        <v>3.2</v>
      </c>
      <c r="BS851" s="10">
        <v>5.8</v>
      </c>
      <c r="BY851">
        <v>2.5999999999999996</v>
      </c>
      <c r="CG851" t="s">
        <v>651</v>
      </c>
      <c r="CH851" t="s">
        <v>765</v>
      </c>
    </row>
    <row r="852" spans="1:86" x14ac:dyDescent="0.3">
      <c r="A852">
        <v>1022</v>
      </c>
      <c r="B852" t="s">
        <v>387</v>
      </c>
      <c r="C852" t="s">
        <v>329</v>
      </c>
      <c r="F852" t="s">
        <v>840</v>
      </c>
      <c r="S852">
        <v>69</v>
      </c>
      <c r="AI852">
        <v>20</v>
      </c>
      <c r="AK852">
        <v>19</v>
      </c>
      <c r="AL852">
        <v>18</v>
      </c>
      <c r="AN852">
        <v>47</v>
      </c>
      <c r="BG852" t="s">
        <v>312</v>
      </c>
      <c r="BH852" t="s">
        <v>599</v>
      </c>
      <c r="BL852">
        <v>4.0999999999999996</v>
      </c>
      <c r="BS852" s="10">
        <v>5.8</v>
      </c>
      <c r="BY852">
        <v>1.7000000000000002</v>
      </c>
      <c r="CG852" t="s">
        <v>651</v>
      </c>
      <c r="CH852" t="s">
        <v>765</v>
      </c>
    </row>
    <row r="853" spans="1:86" x14ac:dyDescent="0.3">
      <c r="A853">
        <v>1023</v>
      </c>
      <c r="B853" t="s">
        <v>387</v>
      </c>
      <c r="C853" t="s">
        <v>329</v>
      </c>
      <c r="F853" t="s">
        <v>840</v>
      </c>
      <c r="S853">
        <v>277</v>
      </c>
      <c r="AI853">
        <v>20</v>
      </c>
      <c r="AK853">
        <v>19</v>
      </c>
      <c r="AL853">
        <v>18</v>
      </c>
      <c r="AN853">
        <v>47</v>
      </c>
      <c r="BG853" t="s">
        <v>312</v>
      </c>
      <c r="BH853" t="s">
        <v>599</v>
      </c>
      <c r="BL853">
        <v>4.8</v>
      </c>
      <c r="BS853" s="10">
        <v>5.8</v>
      </c>
      <c r="BY853">
        <v>1</v>
      </c>
      <c r="CG853" t="s">
        <v>651</v>
      </c>
      <c r="CH853" t="s">
        <v>765</v>
      </c>
    </row>
    <row r="854" spans="1:86" x14ac:dyDescent="0.3">
      <c r="A854">
        <v>1024</v>
      </c>
      <c r="B854" t="s">
        <v>387</v>
      </c>
      <c r="C854" t="s">
        <v>329</v>
      </c>
      <c r="F854" t="s">
        <v>840</v>
      </c>
      <c r="G854" t="s">
        <v>863</v>
      </c>
      <c r="S854">
        <v>10</v>
      </c>
      <c r="AI854">
        <v>2</v>
      </c>
      <c r="AK854">
        <v>4</v>
      </c>
      <c r="AL854">
        <v>6</v>
      </c>
      <c r="BG854" t="s">
        <v>312</v>
      </c>
      <c r="BH854" t="s">
        <v>599</v>
      </c>
      <c r="BL854">
        <v>2.4</v>
      </c>
      <c r="BS854" s="10">
        <v>2.6</v>
      </c>
      <c r="BY854">
        <v>0.2</v>
      </c>
      <c r="CG854" t="s">
        <v>651</v>
      </c>
      <c r="CH854" t="s">
        <v>765</v>
      </c>
    </row>
    <row r="855" spans="1:86" x14ac:dyDescent="0.3">
      <c r="A855">
        <v>1025</v>
      </c>
      <c r="B855" t="s">
        <v>387</v>
      </c>
      <c r="C855" t="s">
        <v>329</v>
      </c>
      <c r="F855" t="s">
        <v>840</v>
      </c>
      <c r="G855" t="s">
        <v>863</v>
      </c>
      <c r="S855">
        <v>11</v>
      </c>
      <c r="AI855">
        <v>2</v>
      </c>
      <c r="AK855">
        <v>4</v>
      </c>
      <c r="AL855">
        <v>6</v>
      </c>
      <c r="BG855" t="s">
        <v>312</v>
      </c>
      <c r="BH855" t="s">
        <v>599</v>
      </c>
      <c r="BL855">
        <v>2.6</v>
      </c>
      <c r="BR855" s="10" t="s">
        <v>842</v>
      </c>
      <c r="BS855" s="10">
        <v>2.6</v>
      </c>
      <c r="BY855" t="s">
        <v>842</v>
      </c>
      <c r="CD855" s="10" t="s">
        <v>842</v>
      </c>
      <c r="CG855" t="s">
        <v>651</v>
      </c>
      <c r="CH855" t="s">
        <v>765</v>
      </c>
    </row>
    <row r="856" spans="1:86" x14ac:dyDescent="0.3">
      <c r="A856">
        <v>1026</v>
      </c>
      <c r="B856" t="s">
        <v>387</v>
      </c>
      <c r="C856" t="s">
        <v>329</v>
      </c>
      <c r="F856" t="s">
        <v>840</v>
      </c>
      <c r="G856" t="s">
        <v>863</v>
      </c>
      <c r="S856">
        <v>277</v>
      </c>
      <c r="AI856">
        <v>2</v>
      </c>
      <c r="AK856">
        <v>4</v>
      </c>
      <c r="AL856">
        <v>6</v>
      </c>
      <c r="BG856" t="s">
        <v>312</v>
      </c>
      <c r="BH856" t="s">
        <v>599</v>
      </c>
      <c r="BL856">
        <v>2.6</v>
      </c>
      <c r="BR856" s="10" t="s">
        <v>842</v>
      </c>
      <c r="BS856" s="10">
        <v>2.6</v>
      </c>
      <c r="BY856" t="s">
        <v>842</v>
      </c>
      <c r="CD856" s="10" t="s">
        <v>842</v>
      </c>
      <c r="CG856" t="s">
        <v>651</v>
      </c>
      <c r="CH856" t="s">
        <v>765</v>
      </c>
    </row>
    <row r="857" spans="1:86" x14ac:dyDescent="0.3">
      <c r="A857">
        <v>1027</v>
      </c>
      <c r="B857" t="s">
        <v>387</v>
      </c>
      <c r="C857" t="s">
        <v>329</v>
      </c>
      <c r="F857" t="s">
        <v>840</v>
      </c>
      <c r="S857">
        <v>5.8</v>
      </c>
      <c r="AI857">
        <v>20</v>
      </c>
      <c r="AK857">
        <v>19</v>
      </c>
      <c r="AL857">
        <v>18</v>
      </c>
      <c r="BG857" t="s">
        <v>312</v>
      </c>
      <c r="BH857" t="s">
        <v>314</v>
      </c>
      <c r="BL857">
        <v>2.4</v>
      </c>
      <c r="BS857" s="10">
        <v>2.6</v>
      </c>
      <c r="BY857">
        <v>0.20000000000000018</v>
      </c>
      <c r="CG857" t="s">
        <v>651</v>
      </c>
      <c r="CH857" t="s">
        <v>765</v>
      </c>
    </row>
    <row r="858" spans="1:86" x14ac:dyDescent="0.3">
      <c r="A858">
        <v>1028</v>
      </c>
      <c r="B858" t="s">
        <v>387</v>
      </c>
      <c r="C858" t="s">
        <v>329</v>
      </c>
      <c r="F858" t="s">
        <v>840</v>
      </c>
      <c r="S858">
        <v>69</v>
      </c>
      <c r="AI858">
        <v>20</v>
      </c>
      <c r="AK858">
        <v>19</v>
      </c>
      <c r="AL858">
        <v>18</v>
      </c>
      <c r="AN858">
        <v>47</v>
      </c>
      <c r="BG858" t="s">
        <v>312</v>
      </c>
      <c r="BH858" t="s">
        <v>314</v>
      </c>
      <c r="BL858">
        <v>2.5</v>
      </c>
      <c r="BS858" s="10">
        <v>2.6</v>
      </c>
      <c r="BY858">
        <v>0.10000000000000009</v>
      </c>
      <c r="CG858" t="s">
        <v>651</v>
      </c>
      <c r="CH858" t="s">
        <v>765</v>
      </c>
    </row>
    <row r="859" spans="1:86" x14ac:dyDescent="0.3">
      <c r="A859">
        <v>1029</v>
      </c>
      <c r="B859" t="s">
        <v>387</v>
      </c>
      <c r="C859" t="s">
        <v>329</v>
      </c>
      <c r="F859" t="s">
        <v>840</v>
      </c>
      <c r="S859">
        <v>277</v>
      </c>
      <c r="AI859">
        <v>20</v>
      </c>
      <c r="AK859">
        <v>19</v>
      </c>
      <c r="AL859">
        <v>18</v>
      </c>
      <c r="AN859">
        <v>47</v>
      </c>
      <c r="BG859" t="s">
        <v>312</v>
      </c>
      <c r="BH859" t="s">
        <v>314</v>
      </c>
      <c r="BL859">
        <v>2.6</v>
      </c>
      <c r="BR859" s="10" t="s">
        <v>842</v>
      </c>
      <c r="BS859" s="10">
        <v>2.6</v>
      </c>
      <c r="BY859" t="s">
        <v>842</v>
      </c>
      <c r="CD859" s="10" t="s">
        <v>842</v>
      </c>
      <c r="CG859" t="s">
        <v>651</v>
      </c>
      <c r="CH859" t="s">
        <v>765</v>
      </c>
    </row>
    <row r="860" spans="1:86" x14ac:dyDescent="0.3">
      <c r="A860">
        <v>1030</v>
      </c>
      <c r="B860" t="s">
        <v>387</v>
      </c>
      <c r="C860" t="s">
        <v>329</v>
      </c>
      <c r="F860" t="s">
        <v>840</v>
      </c>
      <c r="S860">
        <v>5.8</v>
      </c>
      <c r="AI860">
        <v>20</v>
      </c>
      <c r="AK860">
        <v>19</v>
      </c>
      <c r="AL860">
        <v>18</v>
      </c>
      <c r="BG860" t="s">
        <v>312</v>
      </c>
      <c r="BH860" t="s">
        <v>779</v>
      </c>
      <c r="BL860">
        <v>3</v>
      </c>
      <c r="BS860" s="10">
        <v>3.8</v>
      </c>
      <c r="BY860">
        <v>0.79999999999999982</v>
      </c>
      <c r="CG860" t="s">
        <v>651</v>
      </c>
      <c r="CH860" t="s">
        <v>765</v>
      </c>
    </row>
    <row r="861" spans="1:86" x14ac:dyDescent="0.3">
      <c r="A861">
        <v>1031</v>
      </c>
      <c r="B861" t="s">
        <v>387</v>
      </c>
      <c r="C861" t="s">
        <v>329</v>
      </c>
      <c r="F861" t="s">
        <v>840</v>
      </c>
      <c r="S861">
        <v>69</v>
      </c>
      <c r="AI861">
        <v>20</v>
      </c>
      <c r="AK861">
        <v>19</v>
      </c>
      <c r="AL861">
        <v>18</v>
      </c>
      <c r="AN861">
        <v>47</v>
      </c>
      <c r="BG861" t="s">
        <v>312</v>
      </c>
      <c r="BH861" t="s">
        <v>779</v>
      </c>
      <c r="BL861">
        <v>3.4</v>
      </c>
      <c r="BS861" s="10">
        <v>3.8</v>
      </c>
      <c r="BY861">
        <v>0.39999999999999991</v>
      </c>
      <c r="CG861" t="s">
        <v>651</v>
      </c>
      <c r="CH861" t="s">
        <v>765</v>
      </c>
    </row>
    <row r="862" spans="1:86" x14ac:dyDescent="0.3">
      <c r="A862">
        <v>1032</v>
      </c>
      <c r="B862" t="s">
        <v>387</v>
      </c>
      <c r="C862" t="s">
        <v>329</v>
      </c>
      <c r="F862" t="s">
        <v>840</v>
      </c>
      <c r="S862">
        <v>277</v>
      </c>
      <c r="AI862">
        <v>20</v>
      </c>
      <c r="AK862">
        <v>19</v>
      </c>
      <c r="AL862">
        <v>18</v>
      </c>
      <c r="AN862">
        <v>47</v>
      </c>
      <c r="BG862" t="s">
        <v>312</v>
      </c>
      <c r="BH862" t="s">
        <v>779</v>
      </c>
      <c r="BL862">
        <v>3.8</v>
      </c>
      <c r="BR862" s="10" t="s">
        <v>842</v>
      </c>
      <c r="BS862" s="10">
        <v>3.8</v>
      </c>
      <c r="BY862" t="s">
        <v>842</v>
      </c>
      <c r="CD862" s="10" t="s">
        <v>842</v>
      </c>
      <c r="CG862" t="s">
        <v>651</v>
      </c>
      <c r="CH862" t="s">
        <v>765</v>
      </c>
    </row>
    <row r="863" spans="1:86" x14ac:dyDescent="0.3">
      <c r="A863">
        <v>1033</v>
      </c>
      <c r="B863" t="s">
        <v>388</v>
      </c>
      <c r="C863" t="s">
        <v>346</v>
      </c>
      <c r="D863" t="s">
        <v>864</v>
      </c>
      <c r="E863" t="s">
        <v>865</v>
      </c>
      <c r="F863" t="s">
        <v>577</v>
      </c>
      <c r="G863" t="s">
        <v>866</v>
      </c>
      <c r="Z863">
        <v>20</v>
      </c>
      <c r="AC863" t="s">
        <v>867</v>
      </c>
      <c r="AD863">
        <v>1</v>
      </c>
      <c r="AE863" t="s">
        <v>868</v>
      </c>
      <c r="AI863">
        <v>8</v>
      </c>
      <c r="AK863">
        <v>10</v>
      </c>
      <c r="AQ863">
        <v>10.5</v>
      </c>
      <c r="AU863">
        <v>4.8</v>
      </c>
      <c r="AV863">
        <v>4.4000000000000004</v>
      </c>
      <c r="AW863">
        <v>21</v>
      </c>
      <c r="AY863">
        <v>39</v>
      </c>
      <c r="BD863">
        <v>10.6</v>
      </c>
      <c r="BE863">
        <v>5.2</v>
      </c>
      <c r="BG863" t="s">
        <v>312</v>
      </c>
      <c r="BH863" t="s">
        <v>314</v>
      </c>
      <c r="BK863" s="10" t="s">
        <v>41</v>
      </c>
      <c r="BL863" s="17">
        <v>1.9</v>
      </c>
      <c r="BN863" s="17">
        <v>0.4</v>
      </c>
      <c r="BS863" s="10">
        <v>3.8</v>
      </c>
      <c r="BT863" s="10">
        <v>0.7</v>
      </c>
      <c r="BY863" s="10">
        <v>1.8</v>
      </c>
      <c r="BZ863" s="10">
        <v>0.5</v>
      </c>
      <c r="CE863" s="10" t="s">
        <v>869</v>
      </c>
      <c r="CF863" t="s">
        <v>870</v>
      </c>
      <c r="CG863" t="s">
        <v>651</v>
      </c>
      <c r="CH863" t="s">
        <v>786</v>
      </c>
    </row>
    <row r="864" spans="1:86" x14ac:dyDescent="0.3">
      <c r="A864">
        <v>1034</v>
      </c>
      <c r="B864" t="s">
        <v>388</v>
      </c>
      <c r="C864" t="s">
        <v>346</v>
      </c>
      <c r="D864" t="s">
        <v>864</v>
      </c>
      <c r="E864" t="s">
        <v>865</v>
      </c>
      <c r="F864" t="s">
        <v>577</v>
      </c>
      <c r="G864" t="s">
        <v>866</v>
      </c>
      <c r="Z864">
        <v>20</v>
      </c>
      <c r="AC864" t="s">
        <v>867</v>
      </c>
      <c r="AD864">
        <v>1</v>
      </c>
      <c r="AE864" t="s">
        <v>868</v>
      </c>
      <c r="AI864">
        <v>10</v>
      </c>
      <c r="AK864">
        <v>9</v>
      </c>
      <c r="AQ864">
        <v>10.199999999999999</v>
      </c>
      <c r="AU864">
        <v>5.8</v>
      </c>
      <c r="AV864">
        <v>4.5999999999999996</v>
      </c>
      <c r="AW864">
        <v>32</v>
      </c>
      <c r="AY864">
        <v>61</v>
      </c>
      <c r="BD864">
        <v>11.3</v>
      </c>
      <c r="BE864">
        <v>5.8</v>
      </c>
      <c r="BG864" t="s">
        <v>312</v>
      </c>
      <c r="BH864" t="s">
        <v>314</v>
      </c>
      <c r="BK864" s="10" t="s">
        <v>41</v>
      </c>
      <c r="BL864" s="17">
        <v>2</v>
      </c>
      <c r="BN864" s="17">
        <v>0.3</v>
      </c>
      <c r="BS864" s="10">
        <v>3.6</v>
      </c>
      <c r="BT864" s="10">
        <v>0.6</v>
      </c>
      <c r="BY864" s="10">
        <v>1.6</v>
      </c>
      <c r="BZ864" s="10">
        <v>0.4</v>
      </c>
      <c r="CE864" s="10" t="s">
        <v>869</v>
      </c>
      <c r="CF864" t="s">
        <v>871</v>
      </c>
      <c r="CG864" t="s">
        <v>651</v>
      </c>
      <c r="CH864" t="s">
        <v>786</v>
      </c>
    </row>
    <row r="865" spans="1:86" x14ac:dyDescent="0.3">
      <c r="A865">
        <v>1035</v>
      </c>
      <c r="B865" t="s">
        <v>388</v>
      </c>
      <c r="C865" t="s">
        <v>346</v>
      </c>
      <c r="D865" t="s">
        <v>864</v>
      </c>
      <c r="E865" t="s">
        <v>865</v>
      </c>
      <c r="F865" t="s">
        <v>577</v>
      </c>
      <c r="G865" t="s">
        <v>866</v>
      </c>
      <c r="Z865">
        <v>20</v>
      </c>
      <c r="AC865" t="s">
        <v>867</v>
      </c>
      <c r="AD865">
        <v>1</v>
      </c>
      <c r="AE865" t="s">
        <v>868</v>
      </c>
      <c r="AI865">
        <v>7</v>
      </c>
      <c r="AK865">
        <v>10</v>
      </c>
      <c r="AQ865">
        <v>10.8</v>
      </c>
      <c r="AU865">
        <v>4</v>
      </c>
      <c r="AV865">
        <v>4.3</v>
      </c>
      <c r="AW865">
        <v>12</v>
      </c>
      <c r="AY865">
        <v>23</v>
      </c>
      <c r="BD865">
        <v>10.1</v>
      </c>
      <c r="BE865">
        <v>4.8</v>
      </c>
      <c r="BG865" t="s">
        <v>312</v>
      </c>
      <c r="BH865" t="s">
        <v>314</v>
      </c>
      <c r="BK865" s="10" t="s">
        <v>41</v>
      </c>
      <c r="BL865" s="17">
        <v>1.9</v>
      </c>
      <c r="BN865" s="17">
        <v>0.5</v>
      </c>
      <c r="BS865" s="10">
        <v>4</v>
      </c>
      <c r="BT865" s="10">
        <v>0.7</v>
      </c>
      <c r="BY865" s="10">
        <v>2.1</v>
      </c>
      <c r="BZ865" s="10">
        <v>0.3</v>
      </c>
      <c r="CE865" s="10" t="s">
        <v>869</v>
      </c>
      <c r="CF865" t="s">
        <v>872</v>
      </c>
      <c r="CG865" t="s">
        <v>651</v>
      </c>
      <c r="CH865" t="s">
        <v>786</v>
      </c>
    </row>
    <row r="866" spans="1:86" x14ac:dyDescent="0.3">
      <c r="A866">
        <v>1036</v>
      </c>
      <c r="B866" t="s">
        <v>388</v>
      </c>
      <c r="C866" t="s">
        <v>346</v>
      </c>
      <c r="D866" t="s">
        <v>864</v>
      </c>
      <c r="E866" t="s">
        <v>865</v>
      </c>
      <c r="F866" t="s">
        <v>577</v>
      </c>
      <c r="G866" t="s">
        <v>866</v>
      </c>
      <c r="Z866">
        <v>20</v>
      </c>
      <c r="AC866" t="s">
        <v>867</v>
      </c>
      <c r="AD866">
        <v>1</v>
      </c>
      <c r="AE866" t="s">
        <v>868</v>
      </c>
      <c r="AI866">
        <v>8</v>
      </c>
      <c r="AK866">
        <v>10</v>
      </c>
      <c r="AQ866">
        <v>10.5</v>
      </c>
      <c r="AU866">
        <v>4.8</v>
      </c>
      <c r="AV866">
        <v>4.4000000000000004</v>
      </c>
      <c r="AW866">
        <v>21</v>
      </c>
      <c r="AY866">
        <v>39</v>
      </c>
      <c r="BD866">
        <v>10.6</v>
      </c>
      <c r="BE866">
        <v>5.2</v>
      </c>
      <c r="BG866" t="s">
        <v>312</v>
      </c>
      <c r="BH866" t="s">
        <v>599</v>
      </c>
      <c r="BK866" s="10" t="s">
        <v>41</v>
      </c>
      <c r="BL866" s="17">
        <v>1.8</v>
      </c>
      <c r="BN866" s="17">
        <v>0.6</v>
      </c>
      <c r="BS866" s="10">
        <v>4.0999999999999996</v>
      </c>
      <c r="BT866" s="10">
        <v>0.6</v>
      </c>
      <c r="BY866" s="10">
        <v>2.4</v>
      </c>
      <c r="BZ866" s="10">
        <v>0.4</v>
      </c>
      <c r="CE866" s="10" t="s">
        <v>869</v>
      </c>
      <c r="CF866" t="s">
        <v>870</v>
      </c>
      <c r="CG866" t="s">
        <v>651</v>
      </c>
      <c r="CH866" t="s">
        <v>786</v>
      </c>
    </row>
    <row r="867" spans="1:86" x14ac:dyDescent="0.3">
      <c r="A867">
        <v>1037</v>
      </c>
      <c r="B867" t="s">
        <v>388</v>
      </c>
      <c r="C867" t="s">
        <v>346</v>
      </c>
      <c r="D867" t="s">
        <v>864</v>
      </c>
      <c r="E867" t="s">
        <v>865</v>
      </c>
      <c r="F867" t="s">
        <v>577</v>
      </c>
      <c r="G867" t="s">
        <v>866</v>
      </c>
      <c r="Z867">
        <v>20</v>
      </c>
      <c r="AC867" t="s">
        <v>867</v>
      </c>
      <c r="AD867">
        <v>1</v>
      </c>
      <c r="AE867" t="s">
        <v>868</v>
      </c>
      <c r="AI867">
        <v>10</v>
      </c>
      <c r="AK867">
        <v>9</v>
      </c>
      <c r="AQ867">
        <v>10.199999999999999</v>
      </c>
      <c r="AU867">
        <v>5.8</v>
      </c>
      <c r="AV867">
        <v>4.5999999999999996</v>
      </c>
      <c r="AW867">
        <v>32</v>
      </c>
      <c r="AY867">
        <v>61</v>
      </c>
      <c r="BD867">
        <v>11.3</v>
      </c>
      <c r="BE867">
        <v>5.8</v>
      </c>
      <c r="BG867" t="s">
        <v>312</v>
      </c>
      <c r="BH867" t="s">
        <v>599</v>
      </c>
      <c r="BK867" s="10" t="s">
        <v>41</v>
      </c>
      <c r="BL867" s="17">
        <v>1.8</v>
      </c>
      <c r="BN867" s="17">
        <v>0.6</v>
      </c>
      <c r="BS867" s="10">
        <v>4</v>
      </c>
      <c r="BT867" s="10">
        <v>0.5</v>
      </c>
      <c r="BY867" s="10">
        <v>2.2000000000000002</v>
      </c>
      <c r="BZ867" s="10">
        <v>0.4</v>
      </c>
      <c r="CE867" s="10" t="s">
        <v>869</v>
      </c>
      <c r="CF867" t="s">
        <v>871</v>
      </c>
      <c r="CG867" t="s">
        <v>651</v>
      </c>
      <c r="CH867" t="s">
        <v>786</v>
      </c>
    </row>
    <row r="868" spans="1:86" x14ac:dyDescent="0.3">
      <c r="A868">
        <v>1038</v>
      </c>
      <c r="B868" t="s">
        <v>388</v>
      </c>
      <c r="C868" t="s">
        <v>346</v>
      </c>
      <c r="D868" t="s">
        <v>864</v>
      </c>
      <c r="E868" t="s">
        <v>865</v>
      </c>
      <c r="F868" t="s">
        <v>577</v>
      </c>
      <c r="G868" t="s">
        <v>866</v>
      </c>
      <c r="Z868">
        <v>20</v>
      </c>
      <c r="AC868" t="s">
        <v>867</v>
      </c>
      <c r="AD868">
        <v>1</v>
      </c>
      <c r="AE868" t="s">
        <v>868</v>
      </c>
      <c r="AI868">
        <v>7</v>
      </c>
      <c r="AK868">
        <v>10</v>
      </c>
      <c r="AQ868">
        <v>10.8</v>
      </c>
      <c r="AU868">
        <v>4</v>
      </c>
      <c r="AV868">
        <v>4.3</v>
      </c>
      <c r="AW868">
        <v>12</v>
      </c>
      <c r="AY868">
        <v>23</v>
      </c>
      <c r="BD868">
        <v>10.1</v>
      </c>
      <c r="BE868">
        <v>4.8</v>
      </c>
      <c r="BG868" t="s">
        <v>312</v>
      </c>
      <c r="BH868" t="s">
        <v>599</v>
      </c>
      <c r="BK868" s="10" t="s">
        <v>41</v>
      </c>
      <c r="BL868" s="17">
        <v>1.7</v>
      </c>
      <c r="BN868" s="17">
        <v>0.6</v>
      </c>
      <c r="BS868" s="10">
        <v>4.2</v>
      </c>
      <c r="BT868" s="10">
        <v>0.6</v>
      </c>
      <c r="BY868" s="10">
        <v>2.5</v>
      </c>
      <c r="BZ868" s="10">
        <v>0.3</v>
      </c>
      <c r="CE868" s="10" t="s">
        <v>869</v>
      </c>
      <c r="CF868" t="s">
        <v>872</v>
      </c>
      <c r="CG868" t="s">
        <v>651</v>
      </c>
      <c r="CH868" t="s">
        <v>786</v>
      </c>
    </row>
    <row r="869" spans="1:86" x14ac:dyDescent="0.3">
      <c r="A869">
        <v>1039</v>
      </c>
      <c r="B869" t="s">
        <v>388</v>
      </c>
      <c r="C869" t="s">
        <v>346</v>
      </c>
      <c r="D869" t="s">
        <v>864</v>
      </c>
      <c r="E869" t="s">
        <v>865</v>
      </c>
      <c r="F869" t="s">
        <v>577</v>
      </c>
      <c r="G869" t="s">
        <v>866</v>
      </c>
      <c r="Z869">
        <v>20</v>
      </c>
      <c r="AC869" t="s">
        <v>867</v>
      </c>
      <c r="AD869">
        <v>1</v>
      </c>
      <c r="AE869" t="s">
        <v>868</v>
      </c>
      <c r="AI869">
        <v>8</v>
      </c>
      <c r="AK869">
        <v>10</v>
      </c>
      <c r="AQ869">
        <v>10.5</v>
      </c>
      <c r="AU869">
        <v>4.8</v>
      </c>
      <c r="AV869">
        <v>4.4000000000000004</v>
      </c>
      <c r="AW869">
        <v>21</v>
      </c>
      <c r="AY869">
        <v>39</v>
      </c>
      <c r="BD869">
        <v>10.6</v>
      </c>
      <c r="BE869">
        <v>5.2</v>
      </c>
      <c r="BG869" t="s">
        <v>312</v>
      </c>
      <c r="BH869" t="s">
        <v>779</v>
      </c>
      <c r="BK869" s="10" t="s">
        <v>41</v>
      </c>
      <c r="BL869" s="17">
        <v>1</v>
      </c>
      <c r="BN869" s="17">
        <v>1.3</v>
      </c>
      <c r="BS869" s="10">
        <v>2.8</v>
      </c>
      <c r="BT869" s="10">
        <v>1.1000000000000001</v>
      </c>
      <c r="BY869" s="10">
        <v>1.6</v>
      </c>
      <c r="BZ869" s="10">
        <v>0.5</v>
      </c>
      <c r="CE869" s="10" t="s">
        <v>869</v>
      </c>
      <c r="CF869" t="s">
        <v>870</v>
      </c>
      <c r="CG869" t="s">
        <v>651</v>
      </c>
      <c r="CH869" t="s">
        <v>786</v>
      </c>
    </row>
    <row r="870" spans="1:86" x14ac:dyDescent="0.3">
      <c r="A870">
        <v>1040</v>
      </c>
      <c r="B870" t="s">
        <v>388</v>
      </c>
      <c r="C870" t="s">
        <v>346</v>
      </c>
      <c r="D870" t="s">
        <v>864</v>
      </c>
      <c r="E870" t="s">
        <v>865</v>
      </c>
      <c r="F870" t="s">
        <v>577</v>
      </c>
      <c r="G870" t="s">
        <v>866</v>
      </c>
      <c r="Z870">
        <v>20</v>
      </c>
      <c r="AC870" t="s">
        <v>867</v>
      </c>
      <c r="AD870">
        <v>1</v>
      </c>
      <c r="AE870" t="s">
        <v>868</v>
      </c>
      <c r="AI870">
        <v>10</v>
      </c>
      <c r="AK870">
        <v>9</v>
      </c>
      <c r="AQ870">
        <v>10.199999999999999</v>
      </c>
      <c r="AU870">
        <v>5.8</v>
      </c>
      <c r="AV870">
        <v>4.5999999999999996</v>
      </c>
      <c r="AW870">
        <v>32</v>
      </c>
      <c r="AY870">
        <v>61</v>
      </c>
      <c r="BD870">
        <v>11.3</v>
      </c>
      <c r="BE870">
        <v>5.8</v>
      </c>
      <c r="BG870" t="s">
        <v>312</v>
      </c>
      <c r="BH870" t="s">
        <v>779</v>
      </c>
      <c r="BK870" s="10" t="s">
        <v>41</v>
      </c>
      <c r="BL870" s="17">
        <v>0.9</v>
      </c>
      <c r="BN870" s="17">
        <v>1.3</v>
      </c>
      <c r="BS870" s="10">
        <v>2.8</v>
      </c>
      <c r="BT870" s="10">
        <v>1.2</v>
      </c>
      <c r="BY870" s="10">
        <v>1.4</v>
      </c>
      <c r="BZ870" s="10">
        <v>0.4</v>
      </c>
      <c r="CE870" s="10" t="s">
        <v>869</v>
      </c>
      <c r="CF870" t="s">
        <v>871</v>
      </c>
      <c r="CG870" t="s">
        <v>651</v>
      </c>
      <c r="CH870" t="s">
        <v>786</v>
      </c>
    </row>
    <row r="871" spans="1:86" x14ac:dyDescent="0.3">
      <c r="A871">
        <v>1041</v>
      </c>
      <c r="B871" t="s">
        <v>388</v>
      </c>
      <c r="C871" t="s">
        <v>346</v>
      </c>
      <c r="D871" t="s">
        <v>864</v>
      </c>
      <c r="E871" t="s">
        <v>865</v>
      </c>
      <c r="F871" t="s">
        <v>577</v>
      </c>
      <c r="G871" t="s">
        <v>866</v>
      </c>
      <c r="Z871">
        <v>20</v>
      </c>
      <c r="AC871" t="s">
        <v>867</v>
      </c>
      <c r="AD871">
        <v>1</v>
      </c>
      <c r="AE871" t="s">
        <v>868</v>
      </c>
      <c r="AI871">
        <v>7</v>
      </c>
      <c r="AK871">
        <v>10</v>
      </c>
      <c r="AQ871">
        <v>10.8</v>
      </c>
      <c r="AU871">
        <v>4</v>
      </c>
      <c r="AV871">
        <v>4.3</v>
      </c>
      <c r="AW871">
        <v>12</v>
      </c>
      <c r="AY871">
        <v>23</v>
      </c>
      <c r="BD871">
        <v>10.1</v>
      </c>
      <c r="BE871">
        <v>4.8</v>
      </c>
      <c r="BG871" t="s">
        <v>312</v>
      </c>
      <c r="BH871" t="s">
        <v>779</v>
      </c>
      <c r="BK871" s="10" t="s">
        <v>41</v>
      </c>
      <c r="BL871" s="17">
        <v>1.1000000000000001</v>
      </c>
      <c r="BN871" s="17">
        <v>1.4</v>
      </c>
      <c r="BS871" s="10">
        <v>2.7</v>
      </c>
      <c r="BT871" s="10">
        <v>1</v>
      </c>
      <c r="BY871" s="10">
        <v>1.8</v>
      </c>
      <c r="BZ871" s="10">
        <v>0.6</v>
      </c>
      <c r="CE871" s="10" t="s">
        <v>869</v>
      </c>
      <c r="CF871" t="s">
        <v>872</v>
      </c>
      <c r="CG871" t="s">
        <v>651</v>
      </c>
      <c r="CH871" t="s">
        <v>786</v>
      </c>
    </row>
    <row r="872" spans="1:86" x14ac:dyDescent="0.3">
      <c r="A872">
        <v>1042</v>
      </c>
      <c r="B872" t="s">
        <v>388</v>
      </c>
      <c r="C872" t="s">
        <v>346</v>
      </c>
      <c r="D872" t="s">
        <v>864</v>
      </c>
      <c r="E872" t="s">
        <v>865</v>
      </c>
      <c r="F872" t="s">
        <v>577</v>
      </c>
      <c r="G872" t="s">
        <v>866</v>
      </c>
      <c r="Z872">
        <v>20</v>
      </c>
      <c r="AC872" t="s">
        <v>867</v>
      </c>
      <c r="AD872">
        <v>1</v>
      </c>
      <c r="AE872" t="s">
        <v>868</v>
      </c>
      <c r="AI872">
        <v>8</v>
      </c>
      <c r="AK872">
        <v>10</v>
      </c>
      <c r="AQ872">
        <v>10.5</v>
      </c>
      <c r="AU872">
        <v>4.8</v>
      </c>
      <c r="AV872">
        <v>4.4000000000000004</v>
      </c>
      <c r="AW872">
        <v>21</v>
      </c>
      <c r="AY872">
        <v>39</v>
      </c>
      <c r="BD872">
        <v>10.6</v>
      </c>
      <c r="BE872">
        <v>5.2</v>
      </c>
      <c r="BG872" t="s">
        <v>311</v>
      </c>
      <c r="BH872" t="s">
        <v>631</v>
      </c>
      <c r="BK872" s="10" t="s">
        <v>41</v>
      </c>
      <c r="BL872" s="17">
        <v>1</v>
      </c>
      <c r="BN872" s="17">
        <v>0.9</v>
      </c>
      <c r="BS872" s="10">
        <v>2.1</v>
      </c>
      <c r="BT872" s="10">
        <v>0.7</v>
      </c>
      <c r="BY872" s="10">
        <v>1</v>
      </c>
      <c r="BZ872" s="10">
        <v>0.4</v>
      </c>
      <c r="CE872" s="10" t="s">
        <v>869</v>
      </c>
      <c r="CF872" t="s">
        <v>870</v>
      </c>
      <c r="CG872" t="s">
        <v>651</v>
      </c>
      <c r="CH872" t="s">
        <v>786</v>
      </c>
    </row>
    <row r="873" spans="1:86" x14ac:dyDescent="0.3">
      <c r="A873">
        <v>1043</v>
      </c>
      <c r="B873" t="s">
        <v>388</v>
      </c>
      <c r="C873" t="s">
        <v>346</v>
      </c>
      <c r="D873" t="s">
        <v>864</v>
      </c>
      <c r="E873" t="s">
        <v>865</v>
      </c>
      <c r="F873" t="s">
        <v>577</v>
      </c>
      <c r="G873" t="s">
        <v>866</v>
      </c>
      <c r="Z873">
        <v>20</v>
      </c>
      <c r="AC873" t="s">
        <v>867</v>
      </c>
      <c r="AD873">
        <v>1</v>
      </c>
      <c r="AE873" t="s">
        <v>868</v>
      </c>
      <c r="AI873">
        <v>10</v>
      </c>
      <c r="AK873">
        <v>9</v>
      </c>
      <c r="AQ873">
        <v>10.199999999999999</v>
      </c>
      <c r="AU873">
        <v>5.8</v>
      </c>
      <c r="AV873">
        <v>4.5999999999999996</v>
      </c>
      <c r="AW873">
        <v>32</v>
      </c>
      <c r="AY873">
        <v>61</v>
      </c>
      <c r="BD873">
        <v>11.3</v>
      </c>
      <c r="BE873">
        <v>5.8</v>
      </c>
      <c r="BG873" t="s">
        <v>311</v>
      </c>
      <c r="BH873" t="s">
        <v>631</v>
      </c>
      <c r="BK873" s="10" t="s">
        <v>41</v>
      </c>
      <c r="BL873" s="17">
        <v>1.1000000000000001</v>
      </c>
      <c r="BN873" s="17">
        <v>0.9</v>
      </c>
      <c r="BS873" s="10">
        <v>2.1</v>
      </c>
      <c r="BT873" s="10">
        <v>0.8</v>
      </c>
      <c r="BY873" s="10">
        <v>1</v>
      </c>
      <c r="BZ873" s="10">
        <v>0.3</v>
      </c>
      <c r="CE873" s="10" t="s">
        <v>869</v>
      </c>
      <c r="CF873" t="s">
        <v>871</v>
      </c>
      <c r="CG873" t="s">
        <v>651</v>
      </c>
      <c r="CH873" t="s">
        <v>786</v>
      </c>
    </row>
    <row r="874" spans="1:86" x14ac:dyDescent="0.3">
      <c r="A874">
        <v>1044</v>
      </c>
      <c r="B874" t="s">
        <v>388</v>
      </c>
      <c r="C874" t="s">
        <v>346</v>
      </c>
      <c r="D874" t="s">
        <v>864</v>
      </c>
      <c r="E874" t="s">
        <v>865</v>
      </c>
      <c r="F874" t="s">
        <v>577</v>
      </c>
      <c r="G874" t="s">
        <v>866</v>
      </c>
      <c r="Z874">
        <v>20</v>
      </c>
      <c r="AC874" t="s">
        <v>867</v>
      </c>
      <c r="AD874">
        <v>1</v>
      </c>
      <c r="AE874" t="s">
        <v>868</v>
      </c>
      <c r="AI874">
        <v>7</v>
      </c>
      <c r="AK874">
        <v>10</v>
      </c>
      <c r="AQ874">
        <v>10.8</v>
      </c>
      <c r="AU874">
        <v>4</v>
      </c>
      <c r="AV874">
        <v>4.3</v>
      </c>
      <c r="AW874">
        <v>12</v>
      </c>
      <c r="AY874">
        <v>23</v>
      </c>
      <c r="BD874">
        <v>10.1</v>
      </c>
      <c r="BE874">
        <v>4.8</v>
      </c>
      <c r="BG874" t="s">
        <v>311</v>
      </c>
      <c r="BH874" t="s">
        <v>631</v>
      </c>
      <c r="BK874" s="10" t="s">
        <v>41</v>
      </c>
      <c r="BL874" s="17">
        <v>1</v>
      </c>
      <c r="BN874" s="17">
        <v>0.8</v>
      </c>
      <c r="BS874" s="10">
        <v>2</v>
      </c>
      <c r="BT874" s="10">
        <v>0.7</v>
      </c>
      <c r="BY874" s="10">
        <v>1.2</v>
      </c>
      <c r="BZ874" s="10">
        <v>0.5</v>
      </c>
      <c r="CE874" s="10" t="s">
        <v>869</v>
      </c>
      <c r="CF874" t="s">
        <v>872</v>
      </c>
      <c r="CG874" t="s">
        <v>651</v>
      </c>
      <c r="CH874" t="s">
        <v>786</v>
      </c>
    </row>
    <row r="875" spans="1:86" x14ac:dyDescent="0.3">
      <c r="A875">
        <v>1045</v>
      </c>
      <c r="B875" t="s">
        <v>388</v>
      </c>
      <c r="C875" t="s">
        <v>346</v>
      </c>
      <c r="D875" t="s">
        <v>864</v>
      </c>
      <c r="E875" t="s">
        <v>865</v>
      </c>
      <c r="F875" t="s">
        <v>577</v>
      </c>
      <c r="G875" t="s">
        <v>866</v>
      </c>
      <c r="Z875">
        <v>20</v>
      </c>
      <c r="AC875" t="s">
        <v>867</v>
      </c>
      <c r="AD875">
        <v>1</v>
      </c>
      <c r="AE875" t="s">
        <v>868</v>
      </c>
      <c r="AI875">
        <v>8</v>
      </c>
      <c r="AK875">
        <v>10</v>
      </c>
      <c r="AQ875">
        <v>10.5</v>
      </c>
      <c r="AU875">
        <v>4.8</v>
      </c>
      <c r="AV875">
        <v>4.4000000000000004</v>
      </c>
      <c r="AW875">
        <v>21</v>
      </c>
      <c r="AY875">
        <v>39</v>
      </c>
      <c r="BD875">
        <v>10.6</v>
      </c>
      <c r="BE875">
        <v>5.2</v>
      </c>
      <c r="BG875" t="s">
        <v>313</v>
      </c>
      <c r="BH875" t="s">
        <v>623</v>
      </c>
      <c r="BK875" s="10" t="s">
        <v>41</v>
      </c>
      <c r="BL875" s="17">
        <v>0.2</v>
      </c>
      <c r="BN875" s="17">
        <v>0.3</v>
      </c>
      <c r="BS875" s="10">
        <v>1</v>
      </c>
      <c r="BT875" s="10">
        <v>0.4</v>
      </c>
      <c r="BY875" s="10">
        <v>1</v>
      </c>
      <c r="BZ875" s="10">
        <v>0</v>
      </c>
      <c r="CE875" s="10" t="s">
        <v>869</v>
      </c>
      <c r="CF875" t="s">
        <v>870</v>
      </c>
      <c r="CG875" t="s">
        <v>651</v>
      </c>
      <c r="CH875" t="s">
        <v>786</v>
      </c>
    </row>
    <row r="876" spans="1:86" x14ac:dyDescent="0.3">
      <c r="A876">
        <v>1046</v>
      </c>
      <c r="B876" t="s">
        <v>388</v>
      </c>
      <c r="C876" t="s">
        <v>346</v>
      </c>
      <c r="D876" t="s">
        <v>864</v>
      </c>
      <c r="E876" t="s">
        <v>865</v>
      </c>
      <c r="F876" t="s">
        <v>577</v>
      </c>
      <c r="G876" t="s">
        <v>866</v>
      </c>
      <c r="Z876">
        <v>20</v>
      </c>
      <c r="AC876" t="s">
        <v>867</v>
      </c>
      <c r="AD876">
        <v>1</v>
      </c>
      <c r="AE876" t="s">
        <v>868</v>
      </c>
      <c r="AI876">
        <v>10</v>
      </c>
      <c r="AK876">
        <v>9</v>
      </c>
      <c r="AQ876">
        <v>10.199999999999999</v>
      </c>
      <c r="AU876">
        <v>5.8</v>
      </c>
      <c r="AV876">
        <v>4.5999999999999996</v>
      </c>
      <c r="AW876">
        <v>32</v>
      </c>
      <c r="AY876">
        <v>61</v>
      </c>
      <c r="BD876">
        <v>11.3</v>
      </c>
      <c r="BE876">
        <v>5.8</v>
      </c>
      <c r="BG876" t="s">
        <v>313</v>
      </c>
      <c r="BH876" t="s">
        <v>623</v>
      </c>
      <c r="BK876" s="10" t="s">
        <v>41</v>
      </c>
      <c r="BL876" s="17">
        <v>0.1</v>
      </c>
      <c r="BN876" s="17">
        <v>0.2</v>
      </c>
      <c r="BS876" s="10">
        <v>0.9</v>
      </c>
      <c r="BT876" s="10">
        <v>0.4</v>
      </c>
      <c r="BY876" s="10">
        <v>1</v>
      </c>
      <c r="BZ876" s="10">
        <v>0</v>
      </c>
      <c r="CE876" s="10" t="s">
        <v>869</v>
      </c>
      <c r="CF876" t="s">
        <v>871</v>
      </c>
      <c r="CG876" t="s">
        <v>651</v>
      </c>
      <c r="CH876" t="s">
        <v>786</v>
      </c>
    </row>
    <row r="877" spans="1:86" x14ac:dyDescent="0.3">
      <c r="A877">
        <v>1047</v>
      </c>
      <c r="B877" t="s">
        <v>388</v>
      </c>
      <c r="C877" t="s">
        <v>346</v>
      </c>
      <c r="D877" t="s">
        <v>864</v>
      </c>
      <c r="E877" t="s">
        <v>865</v>
      </c>
      <c r="F877" t="s">
        <v>577</v>
      </c>
      <c r="G877" t="s">
        <v>866</v>
      </c>
      <c r="Z877">
        <v>20</v>
      </c>
      <c r="AC877" t="s">
        <v>867</v>
      </c>
      <c r="AD877">
        <v>1</v>
      </c>
      <c r="AE877" t="s">
        <v>868</v>
      </c>
      <c r="AI877">
        <v>7</v>
      </c>
      <c r="AK877">
        <v>10</v>
      </c>
      <c r="AQ877">
        <v>10.8</v>
      </c>
      <c r="AU877">
        <v>4</v>
      </c>
      <c r="AV877">
        <v>4.3</v>
      </c>
      <c r="AW877">
        <v>12</v>
      </c>
      <c r="AY877">
        <v>23</v>
      </c>
      <c r="BD877">
        <v>10.1</v>
      </c>
      <c r="BE877">
        <v>4.8</v>
      </c>
      <c r="BG877" t="s">
        <v>313</v>
      </c>
      <c r="BH877" t="s">
        <v>623</v>
      </c>
      <c r="BK877" s="10" t="s">
        <v>41</v>
      </c>
      <c r="BL877" s="17">
        <v>0.3</v>
      </c>
      <c r="BN877" s="17">
        <v>0.3</v>
      </c>
      <c r="BS877" s="10">
        <v>1.1000000000000001</v>
      </c>
      <c r="BT877" s="10">
        <v>0.5</v>
      </c>
      <c r="BY877" s="10">
        <v>1</v>
      </c>
      <c r="BZ877" s="10">
        <v>0</v>
      </c>
      <c r="CE877" s="10" t="s">
        <v>869</v>
      </c>
      <c r="CF877" t="s">
        <v>872</v>
      </c>
      <c r="CG877" t="s">
        <v>651</v>
      </c>
      <c r="CH877" t="s">
        <v>786</v>
      </c>
    </row>
    <row r="878" spans="1:86" x14ac:dyDescent="0.3">
      <c r="A878">
        <v>1048</v>
      </c>
      <c r="B878" t="s">
        <v>388</v>
      </c>
      <c r="C878" t="s">
        <v>329</v>
      </c>
      <c r="D878" t="s">
        <v>563</v>
      </c>
      <c r="E878" t="s">
        <v>865</v>
      </c>
      <c r="F878" t="s">
        <v>577</v>
      </c>
      <c r="G878" t="s">
        <v>866</v>
      </c>
      <c r="S878">
        <v>70</v>
      </c>
      <c r="AI878">
        <v>8</v>
      </c>
      <c r="AK878">
        <v>10</v>
      </c>
      <c r="AQ878">
        <v>10.5</v>
      </c>
      <c r="AU878">
        <v>4.8</v>
      </c>
      <c r="AV878">
        <v>4.4000000000000004</v>
      </c>
      <c r="BG878" t="s">
        <v>312</v>
      </c>
      <c r="BH878" t="s">
        <v>314</v>
      </c>
      <c r="BK878" s="10" t="s">
        <v>41</v>
      </c>
      <c r="BL878" s="17">
        <v>3</v>
      </c>
      <c r="BN878" s="17">
        <v>0.7</v>
      </c>
      <c r="BS878" s="10">
        <v>3.8</v>
      </c>
      <c r="BT878" s="10">
        <v>0.7</v>
      </c>
      <c r="BY878" s="10">
        <v>1</v>
      </c>
      <c r="BZ878" s="10">
        <v>0.1</v>
      </c>
      <c r="CE878" s="10" t="s">
        <v>869</v>
      </c>
      <c r="CG878" t="s">
        <v>651</v>
      </c>
      <c r="CH878" t="s">
        <v>786</v>
      </c>
    </row>
    <row r="879" spans="1:86" x14ac:dyDescent="0.3">
      <c r="A879">
        <v>1049</v>
      </c>
      <c r="B879" t="s">
        <v>388</v>
      </c>
      <c r="C879" t="s">
        <v>329</v>
      </c>
      <c r="D879" t="s">
        <v>563</v>
      </c>
      <c r="E879" t="s">
        <v>865</v>
      </c>
      <c r="F879" t="s">
        <v>577</v>
      </c>
      <c r="G879" t="s">
        <v>866</v>
      </c>
      <c r="S879">
        <v>70</v>
      </c>
      <c r="AI879">
        <v>10</v>
      </c>
      <c r="AK879">
        <v>9</v>
      </c>
      <c r="AQ879">
        <v>10.199999999999999</v>
      </c>
      <c r="AU879">
        <v>5.8</v>
      </c>
      <c r="AV879">
        <v>4.5999999999999996</v>
      </c>
      <c r="BG879" t="s">
        <v>312</v>
      </c>
      <c r="BH879" t="s">
        <v>314</v>
      </c>
      <c r="BK879" s="10" t="s">
        <v>41</v>
      </c>
      <c r="BL879" s="17">
        <v>2.5</v>
      </c>
      <c r="BN879" s="17">
        <v>0.9</v>
      </c>
      <c r="BS879" s="10">
        <v>3.6</v>
      </c>
      <c r="BT879" s="10">
        <v>0.6</v>
      </c>
      <c r="BY879" s="10">
        <v>1</v>
      </c>
      <c r="BZ879" s="10">
        <v>0</v>
      </c>
      <c r="CE879" s="10" t="s">
        <v>869</v>
      </c>
      <c r="CG879" t="s">
        <v>651</v>
      </c>
      <c r="CH879" t="s">
        <v>786</v>
      </c>
    </row>
    <row r="880" spans="1:86" x14ac:dyDescent="0.3">
      <c r="A880">
        <v>1050</v>
      </c>
      <c r="B880" t="s">
        <v>388</v>
      </c>
      <c r="C880" t="s">
        <v>329</v>
      </c>
      <c r="D880" t="s">
        <v>563</v>
      </c>
      <c r="E880" t="s">
        <v>865</v>
      </c>
      <c r="F880" t="s">
        <v>577</v>
      </c>
      <c r="G880" t="s">
        <v>866</v>
      </c>
      <c r="S880">
        <v>70</v>
      </c>
      <c r="AI880">
        <v>7</v>
      </c>
      <c r="AK880">
        <v>10</v>
      </c>
      <c r="AQ880">
        <v>10.8</v>
      </c>
      <c r="AU880">
        <v>4</v>
      </c>
      <c r="AV880">
        <v>4.3</v>
      </c>
      <c r="BG880" t="s">
        <v>312</v>
      </c>
      <c r="BH880" t="s">
        <v>314</v>
      </c>
      <c r="BK880" s="10" t="s">
        <v>41</v>
      </c>
      <c r="BL880" s="17">
        <v>2.8</v>
      </c>
      <c r="BN880" s="17">
        <v>1.1000000000000001</v>
      </c>
      <c r="BS880" s="10">
        <v>4</v>
      </c>
      <c r="BT880" s="10">
        <v>0.7</v>
      </c>
      <c r="BY880" s="10">
        <v>1</v>
      </c>
      <c r="BZ880" s="10">
        <v>0.1</v>
      </c>
      <c r="CE880" s="10" t="s">
        <v>869</v>
      </c>
      <c r="CG880" t="s">
        <v>651</v>
      </c>
      <c r="CH880" t="s">
        <v>786</v>
      </c>
    </row>
    <row r="881" spans="1:86" x14ac:dyDescent="0.3">
      <c r="A881">
        <v>1051</v>
      </c>
      <c r="B881" t="s">
        <v>388</v>
      </c>
      <c r="C881" t="s">
        <v>329</v>
      </c>
      <c r="D881" t="s">
        <v>563</v>
      </c>
      <c r="E881" t="s">
        <v>865</v>
      </c>
      <c r="F881" t="s">
        <v>577</v>
      </c>
      <c r="G881" t="s">
        <v>866</v>
      </c>
      <c r="S881">
        <v>70</v>
      </c>
      <c r="AI881">
        <v>8</v>
      </c>
      <c r="AK881">
        <v>10</v>
      </c>
      <c r="AQ881">
        <v>10.5</v>
      </c>
      <c r="AU881">
        <v>4.8</v>
      </c>
      <c r="AV881">
        <v>4.4000000000000004</v>
      </c>
      <c r="BG881" t="s">
        <v>312</v>
      </c>
      <c r="BH881" t="s">
        <v>599</v>
      </c>
      <c r="BK881" s="10" t="s">
        <v>41</v>
      </c>
      <c r="BL881" s="17">
        <v>3.1</v>
      </c>
      <c r="BN881" s="17">
        <v>0.9</v>
      </c>
      <c r="BS881" s="10">
        <v>4.0999999999999996</v>
      </c>
      <c r="BT881" s="10">
        <v>0.6</v>
      </c>
      <c r="BY881" s="10">
        <v>1</v>
      </c>
      <c r="BZ881" s="10">
        <v>0.6</v>
      </c>
      <c r="CE881" s="10" t="s">
        <v>869</v>
      </c>
      <c r="CG881" t="s">
        <v>651</v>
      </c>
      <c r="CH881" t="s">
        <v>786</v>
      </c>
    </row>
    <row r="882" spans="1:86" x14ac:dyDescent="0.3">
      <c r="A882">
        <v>1052</v>
      </c>
      <c r="B882" t="s">
        <v>388</v>
      </c>
      <c r="C882" t="s">
        <v>329</v>
      </c>
      <c r="D882" t="s">
        <v>563</v>
      </c>
      <c r="E882" t="s">
        <v>865</v>
      </c>
      <c r="F882" t="s">
        <v>577</v>
      </c>
      <c r="G882" t="s">
        <v>866</v>
      </c>
      <c r="S882">
        <v>70</v>
      </c>
      <c r="AI882">
        <v>10</v>
      </c>
      <c r="AK882">
        <v>9</v>
      </c>
      <c r="AQ882">
        <v>10.199999999999999</v>
      </c>
      <c r="AU882">
        <v>5.8</v>
      </c>
      <c r="AV882">
        <v>4.5999999999999996</v>
      </c>
      <c r="BG882" t="s">
        <v>312</v>
      </c>
      <c r="BH882" t="s">
        <v>599</v>
      </c>
      <c r="BK882" s="10" t="s">
        <v>41</v>
      </c>
      <c r="BL882" s="17">
        <v>2.9</v>
      </c>
      <c r="BN882" s="17">
        <v>1.2</v>
      </c>
      <c r="BS882" s="10">
        <v>4</v>
      </c>
      <c r="BT882" s="10">
        <v>0.5</v>
      </c>
      <c r="BY882" s="10">
        <v>1</v>
      </c>
      <c r="BZ882" s="10">
        <v>0.6</v>
      </c>
      <c r="CE882" s="10" t="s">
        <v>869</v>
      </c>
      <c r="CG882" t="s">
        <v>651</v>
      </c>
      <c r="CH882" t="s">
        <v>786</v>
      </c>
    </row>
    <row r="883" spans="1:86" x14ac:dyDescent="0.3">
      <c r="A883">
        <v>1053</v>
      </c>
      <c r="B883" t="s">
        <v>388</v>
      </c>
      <c r="C883" t="s">
        <v>329</v>
      </c>
      <c r="D883" t="s">
        <v>563</v>
      </c>
      <c r="E883" t="s">
        <v>865</v>
      </c>
      <c r="F883" t="s">
        <v>577</v>
      </c>
      <c r="G883" t="s">
        <v>866</v>
      </c>
      <c r="S883">
        <v>70</v>
      </c>
      <c r="AI883">
        <v>7</v>
      </c>
      <c r="AK883">
        <v>10</v>
      </c>
      <c r="AQ883">
        <v>10.8</v>
      </c>
      <c r="AU883">
        <v>4</v>
      </c>
      <c r="AV883">
        <v>4.3</v>
      </c>
      <c r="BG883" t="s">
        <v>312</v>
      </c>
      <c r="BH883" t="s">
        <v>599</v>
      </c>
      <c r="BK883" s="10" t="s">
        <v>41</v>
      </c>
      <c r="BL883" s="17">
        <v>3</v>
      </c>
      <c r="BN883" s="17">
        <v>0.9</v>
      </c>
      <c r="BS883" s="10">
        <v>4.2</v>
      </c>
      <c r="BT883" s="10">
        <v>0.6</v>
      </c>
      <c r="BY883" s="10">
        <v>1.2</v>
      </c>
      <c r="BZ883" s="10">
        <v>0.6</v>
      </c>
      <c r="CE883" s="10" t="s">
        <v>869</v>
      </c>
      <c r="CG883" t="s">
        <v>651</v>
      </c>
      <c r="CH883" t="s">
        <v>786</v>
      </c>
    </row>
    <row r="884" spans="1:86" x14ac:dyDescent="0.3">
      <c r="A884">
        <v>1054</v>
      </c>
      <c r="B884" t="s">
        <v>388</v>
      </c>
      <c r="C884" t="s">
        <v>329</v>
      </c>
      <c r="D884" t="s">
        <v>563</v>
      </c>
      <c r="E884" t="s">
        <v>865</v>
      </c>
      <c r="F884" t="s">
        <v>577</v>
      </c>
      <c r="G884" t="s">
        <v>866</v>
      </c>
      <c r="S884">
        <v>70</v>
      </c>
      <c r="AI884">
        <v>8</v>
      </c>
      <c r="AK884">
        <v>10</v>
      </c>
      <c r="AQ884">
        <v>10.5</v>
      </c>
      <c r="AU884">
        <v>4.8</v>
      </c>
      <c r="AV884">
        <v>4.4000000000000004</v>
      </c>
      <c r="BG884" t="s">
        <v>312</v>
      </c>
      <c r="BH884" t="s">
        <v>779</v>
      </c>
      <c r="BK884" s="10" t="s">
        <v>41</v>
      </c>
      <c r="BL884" s="17">
        <v>1.8</v>
      </c>
      <c r="BN884" s="17">
        <v>1</v>
      </c>
      <c r="BS884" s="10">
        <v>2.8</v>
      </c>
      <c r="BT884" s="10">
        <v>1.1000000000000001</v>
      </c>
      <c r="BY884" s="10">
        <v>1</v>
      </c>
      <c r="BZ884" s="10">
        <v>0.4</v>
      </c>
      <c r="CE884" s="10" t="s">
        <v>869</v>
      </c>
      <c r="CG884" t="s">
        <v>651</v>
      </c>
      <c r="CH884" t="s">
        <v>786</v>
      </c>
    </row>
    <row r="885" spans="1:86" x14ac:dyDescent="0.3">
      <c r="A885">
        <v>1055</v>
      </c>
      <c r="B885" t="s">
        <v>388</v>
      </c>
      <c r="C885" t="s">
        <v>329</v>
      </c>
      <c r="D885" t="s">
        <v>563</v>
      </c>
      <c r="E885" t="s">
        <v>865</v>
      </c>
      <c r="F885" t="s">
        <v>577</v>
      </c>
      <c r="G885" t="s">
        <v>866</v>
      </c>
      <c r="S885">
        <v>70</v>
      </c>
      <c r="AI885">
        <v>10</v>
      </c>
      <c r="AK885">
        <v>9</v>
      </c>
      <c r="AQ885">
        <v>10.199999999999999</v>
      </c>
      <c r="AU885">
        <v>5.8</v>
      </c>
      <c r="AV885">
        <v>4.5999999999999996</v>
      </c>
      <c r="BG885" t="s">
        <v>312</v>
      </c>
      <c r="BH885" t="s">
        <v>779</v>
      </c>
      <c r="BK885" s="10" t="s">
        <v>41</v>
      </c>
      <c r="BL885" s="17">
        <v>1.9</v>
      </c>
      <c r="BN885" s="17">
        <v>1.2</v>
      </c>
      <c r="BS885" s="10">
        <v>2.8</v>
      </c>
      <c r="BT885" s="10">
        <v>1.2</v>
      </c>
      <c r="BY885" s="10">
        <v>1</v>
      </c>
      <c r="BZ885" s="10">
        <v>0</v>
      </c>
      <c r="CE885" s="10" t="s">
        <v>869</v>
      </c>
      <c r="CG885" t="s">
        <v>651</v>
      </c>
      <c r="CH885" t="s">
        <v>786</v>
      </c>
    </row>
    <row r="886" spans="1:86" x14ac:dyDescent="0.3">
      <c r="A886">
        <v>1056</v>
      </c>
      <c r="B886" t="s">
        <v>388</v>
      </c>
      <c r="C886" t="s">
        <v>329</v>
      </c>
      <c r="D886" t="s">
        <v>563</v>
      </c>
      <c r="E886" t="s">
        <v>865</v>
      </c>
      <c r="F886" t="s">
        <v>577</v>
      </c>
      <c r="G886" t="s">
        <v>866</v>
      </c>
      <c r="S886">
        <v>70</v>
      </c>
      <c r="AI886">
        <v>7</v>
      </c>
      <c r="AK886">
        <v>10</v>
      </c>
      <c r="AQ886">
        <v>10.8</v>
      </c>
      <c r="AU886">
        <v>4</v>
      </c>
      <c r="AV886">
        <v>4.3</v>
      </c>
      <c r="BG886" t="s">
        <v>312</v>
      </c>
      <c r="BH886" t="s">
        <v>779</v>
      </c>
      <c r="BK886" s="10" t="s">
        <v>41</v>
      </c>
      <c r="BL886" s="17">
        <v>1.7</v>
      </c>
      <c r="BN886" s="17">
        <v>0.8</v>
      </c>
      <c r="BS886" s="10">
        <v>2.7</v>
      </c>
      <c r="BT886" s="10">
        <v>1</v>
      </c>
      <c r="BY886" s="10">
        <v>1.1000000000000001</v>
      </c>
      <c r="BZ886" s="10">
        <v>0.6</v>
      </c>
      <c r="CE886" s="10" t="s">
        <v>869</v>
      </c>
      <c r="CG886" t="s">
        <v>651</v>
      </c>
      <c r="CH886" t="s">
        <v>786</v>
      </c>
    </row>
    <row r="887" spans="1:86" x14ac:dyDescent="0.3">
      <c r="A887">
        <v>1057</v>
      </c>
      <c r="B887" t="s">
        <v>388</v>
      </c>
      <c r="C887" t="s">
        <v>329</v>
      </c>
      <c r="D887" t="s">
        <v>563</v>
      </c>
      <c r="E887" t="s">
        <v>865</v>
      </c>
      <c r="F887" t="s">
        <v>577</v>
      </c>
      <c r="G887" t="s">
        <v>866</v>
      </c>
      <c r="S887">
        <v>70</v>
      </c>
      <c r="AI887">
        <v>8</v>
      </c>
      <c r="AK887">
        <v>10</v>
      </c>
      <c r="AQ887">
        <v>10.5</v>
      </c>
      <c r="AU887">
        <v>4.8</v>
      </c>
      <c r="AV887">
        <v>4.4000000000000004</v>
      </c>
      <c r="BG887" t="s">
        <v>311</v>
      </c>
      <c r="BH887" t="s">
        <v>631</v>
      </c>
      <c r="BK887" s="10" t="s">
        <v>41</v>
      </c>
      <c r="BL887" s="17">
        <v>1.2</v>
      </c>
      <c r="BN887" s="17">
        <v>0.7</v>
      </c>
      <c r="BS887" s="10">
        <v>2.1</v>
      </c>
      <c r="BT887" s="10">
        <v>0.7</v>
      </c>
      <c r="BY887" s="10">
        <v>1</v>
      </c>
      <c r="BZ887" s="10">
        <v>0</v>
      </c>
      <c r="CE887" s="10" t="s">
        <v>869</v>
      </c>
      <c r="CG887" t="s">
        <v>651</v>
      </c>
      <c r="CH887" t="s">
        <v>786</v>
      </c>
    </row>
    <row r="888" spans="1:86" x14ac:dyDescent="0.3">
      <c r="A888">
        <v>1058</v>
      </c>
      <c r="B888" t="s">
        <v>388</v>
      </c>
      <c r="C888" t="s">
        <v>329</v>
      </c>
      <c r="D888" t="s">
        <v>563</v>
      </c>
      <c r="E888" t="s">
        <v>865</v>
      </c>
      <c r="F888" t="s">
        <v>577</v>
      </c>
      <c r="G888" t="s">
        <v>866</v>
      </c>
      <c r="S888">
        <v>70</v>
      </c>
      <c r="AI888">
        <v>10</v>
      </c>
      <c r="AK888">
        <v>9</v>
      </c>
      <c r="AQ888">
        <v>10.199999999999999</v>
      </c>
      <c r="AU888">
        <v>5.8</v>
      </c>
      <c r="AV888">
        <v>4.5999999999999996</v>
      </c>
      <c r="BG888" t="s">
        <v>311</v>
      </c>
      <c r="BH888" t="s">
        <v>631</v>
      </c>
      <c r="BK888" s="10" t="s">
        <v>41</v>
      </c>
      <c r="BL888" s="17">
        <v>1.2</v>
      </c>
      <c r="BN888" s="17">
        <v>0.8</v>
      </c>
      <c r="BS888" s="10">
        <v>2.1</v>
      </c>
      <c r="BT888" s="10">
        <v>0.8</v>
      </c>
      <c r="BY888" s="10">
        <v>1</v>
      </c>
      <c r="BZ888" s="10">
        <v>0</v>
      </c>
      <c r="CE888" s="10" t="s">
        <v>869</v>
      </c>
      <c r="CG888" t="s">
        <v>651</v>
      </c>
      <c r="CH888" t="s">
        <v>786</v>
      </c>
    </row>
    <row r="889" spans="1:86" x14ac:dyDescent="0.3">
      <c r="A889">
        <v>1059</v>
      </c>
      <c r="B889" t="s">
        <v>388</v>
      </c>
      <c r="C889" t="s">
        <v>329</v>
      </c>
      <c r="D889" t="s">
        <v>563</v>
      </c>
      <c r="E889" t="s">
        <v>865</v>
      </c>
      <c r="F889" t="s">
        <v>577</v>
      </c>
      <c r="G889" t="s">
        <v>866</v>
      </c>
      <c r="S889">
        <v>70</v>
      </c>
      <c r="AI889">
        <v>7</v>
      </c>
      <c r="AK889">
        <v>10</v>
      </c>
      <c r="AQ889">
        <v>10.8</v>
      </c>
      <c r="AU889">
        <v>4</v>
      </c>
      <c r="AV889">
        <v>4.3</v>
      </c>
      <c r="BG889" t="s">
        <v>311</v>
      </c>
      <c r="BH889" t="s">
        <v>631</v>
      </c>
      <c r="BK889" s="10" t="s">
        <v>41</v>
      </c>
      <c r="BL889" s="17">
        <v>1.1000000000000001</v>
      </c>
      <c r="BN889" s="17">
        <v>0.7</v>
      </c>
      <c r="BS889" s="10">
        <v>2</v>
      </c>
      <c r="BT889" s="10">
        <v>0.7</v>
      </c>
      <c r="BY889" s="10">
        <v>1</v>
      </c>
      <c r="BZ889" s="10">
        <v>0</v>
      </c>
      <c r="CE889" s="10" t="s">
        <v>869</v>
      </c>
      <c r="CG889" t="s">
        <v>651</v>
      </c>
      <c r="CH889" t="s">
        <v>786</v>
      </c>
    </row>
    <row r="890" spans="1:86" x14ac:dyDescent="0.3">
      <c r="A890">
        <v>1060</v>
      </c>
      <c r="B890" t="s">
        <v>388</v>
      </c>
      <c r="C890" t="s">
        <v>329</v>
      </c>
      <c r="D890" t="s">
        <v>563</v>
      </c>
      <c r="E890" t="s">
        <v>865</v>
      </c>
      <c r="F890" t="s">
        <v>577</v>
      </c>
      <c r="G890" t="s">
        <v>866</v>
      </c>
      <c r="S890">
        <v>70</v>
      </c>
      <c r="AI890">
        <v>8</v>
      </c>
      <c r="AK890">
        <v>10</v>
      </c>
      <c r="AQ890">
        <v>10.5</v>
      </c>
      <c r="AU890">
        <v>4.8</v>
      </c>
      <c r="AV890">
        <v>4.4000000000000004</v>
      </c>
      <c r="BG890" t="s">
        <v>313</v>
      </c>
      <c r="BH890" t="s">
        <v>623</v>
      </c>
      <c r="BK890" s="10" t="s">
        <v>41</v>
      </c>
      <c r="BL890" s="17">
        <v>0.1</v>
      </c>
      <c r="BN890" s="17">
        <v>0.4</v>
      </c>
      <c r="BS890" s="10">
        <v>1</v>
      </c>
      <c r="BT890" s="10">
        <v>0.4</v>
      </c>
      <c r="BY890" s="10">
        <v>1</v>
      </c>
      <c r="BZ890" s="10">
        <v>0</v>
      </c>
      <c r="CE890" s="10" t="s">
        <v>869</v>
      </c>
      <c r="CG890" t="s">
        <v>651</v>
      </c>
      <c r="CH890" t="s">
        <v>786</v>
      </c>
    </row>
    <row r="891" spans="1:86" x14ac:dyDescent="0.3">
      <c r="A891">
        <v>1061</v>
      </c>
      <c r="B891" t="s">
        <v>388</v>
      </c>
      <c r="C891" t="s">
        <v>329</v>
      </c>
      <c r="D891" t="s">
        <v>563</v>
      </c>
      <c r="E891" t="s">
        <v>865</v>
      </c>
      <c r="F891" t="s">
        <v>577</v>
      </c>
      <c r="G891" t="s">
        <v>866</v>
      </c>
      <c r="S891">
        <v>70</v>
      </c>
      <c r="AI891">
        <v>10</v>
      </c>
      <c r="AK891">
        <v>9</v>
      </c>
      <c r="AQ891">
        <v>10.199999999999999</v>
      </c>
      <c r="AU891">
        <v>5.8</v>
      </c>
      <c r="AV891">
        <v>4.5999999999999996</v>
      </c>
      <c r="BG891" t="s">
        <v>313</v>
      </c>
      <c r="BH891" t="s">
        <v>623</v>
      </c>
      <c r="BK891" s="10" t="s">
        <v>41</v>
      </c>
      <c r="BL891" s="17">
        <v>0.2</v>
      </c>
      <c r="BN891" s="17">
        <v>0.2</v>
      </c>
      <c r="BS891" s="10">
        <v>0.9</v>
      </c>
      <c r="BT891" s="10">
        <v>0.4</v>
      </c>
      <c r="BY891" s="10">
        <v>1</v>
      </c>
      <c r="BZ891" s="10">
        <v>0</v>
      </c>
      <c r="CE891" s="10" t="s">
        <v>869</v>
      </c>
      <c r="CG891" t="s">
        <v>651</v>
      </c>
      <c r="CH891" t="s">
        <v>786</v>
      </c>
    </row>
    <row r="892" spans="1:86" x14ac:dyDescent="0.3">
      <c r="A892">
        <v>1062</v>
      </c>
      <c r="B892" t="s">
        <v>388</v>
      </c>
      <c r="C892" t="s">
        <v>329</v>
      </c>
      <c r="D892" t="s">
        <v>563</v>
      </c>
      <c r="E892" t="s">
        <v>865</v>
      </c>
      <c r="F892" t="s">
        <v>577</v>
      </c>
      <c r="G892" t="s">
        <v>866</v>
      </c>
      <c r="S892">
        <v>70</v>
      </c>
      <c r="AI892">
        <v>7</v>
      </c>
      <c r="AK892">
        <v>10</v>
      </c>
      <c r="AQ892">
        <v>10.8</v>
      </c>
      <c r="AU892">
        <v>4</v>
      </c>
      <c r="AV892">
        <v>4.3</v>
      </c>
      <c r="BG892" t="s">
        <v>313</v>
      </c>
      <c r="BH892" t="s">
        <v>623</v>
      </c>
      <c r="BK892" s="10" t="s">
        <v>41</v>
      </c>
      <c r="BL892" s="17">
        <v>0.2</v>
      </c>
      <c r="BN892" s="17">
        <v>0.5</v>
      </c>
      <c r="BS892" s="10">
        <v>1.1000000000000001</v>
      </c>
      <c r="BT892" s="10">
        <v>0.5</v>
      </c>
      <c r="BY892" s="10">
        <v>1</v>
      </c>
      <c r="BZ892" s="10">
        <v>0</v>
      </c>
      <c r="CE892" s="10" t="s">
        <v>869</v>
      </c>
      <c r="CG892" t="s">
        <v>651</v>
      </c>
      <c r="CH892" t="s">
        <v>786</v>
      </c>
    </row>
    <row r="893" spans="1:86" x14ac:dyDescent="0.3">
      <c r="A893">
        <v>1063</v>
      </c>
      <c r="B893" t="s">
        <v>389</v>
      </c>
      <c r="C893" t="s">
        <v>353</v>
      </c>
      <c r="E893" t="s">
        <v>873</v>
      </c>
      <c r="F893" t="s">
        <v>577</v>
      </c>
      <c r="G893" t="s">
        <v>667</v>
      </c>
      <c r="I893" t="s">
        <v>770</v>
      </c>
      <c r="AC893" t="s">
        <v>874</v>
      </c>
      <c r="AD893">
        <v>15</v>
      </c>
      <c r="AE893" t="s">
        <v>875</v>
      </c>
      <c r="AI893">
        <v>379</v>
      </c>
      <c r="AK893">
        <v>294</v>
      </c>
      <c r="AU893">
        <v>47</v>
      </c>
      <c r="AW893">
        <v>154</v>
      </c>
      <c r="AY893">
        <v>105</v>
      </c>
      <c r="BG893" t="s">
        <v>312</v>
      </c>
      <c r="BH893" t="s">
        <v>691</v>
      </c>
      <c r="BK893" s="10" t="s">
        <v>41</v>
      </c>
      <c r="BL893" s="17">
        <v>0.39</v>
      </c>
      <c r="BS893" s="10">
        <v>5.08</v>
      </c>
      <c r="BT893" s="10">
        <v>0.14000000000000001</v>
      </c>
      <c r="CF893" t="s">
        <v>876</v>
      </c>
      <c r="CG893" t="s">
        <v>651</v>
      </c>
      <c r="CH893" t="s">
        <v>786</v>
      </c>
    </row>
    <row r="894" spans="1:86" x14ac:dyDescent="0.3">
      <c r="A894">
        <v>1064</v>
      </c>
      <c r="B894" t="s">
        <v>389</v>
      </c>
      <c r="C894" t="s">
        <v>353</v>
      </c>
      <c r="E894" t="s">
        <v>873</v>
      </c>
      <c r="F894" t="s">
        <v>577</v>
      </c>
      <c r="G894" t="s">
        <v>667</v>
      </c>
      <c r="I894" t="s">
        <v>770</v>
      </c>
      <c r="AC894" t="s">
        <v>874</v>
      </c>
      <c r="AD894">
        <v>15</v>
      </c>
      <c r="AE894" t="s">
        <v>875</v>
      </c>
      <c r="AI894">
        <v>379</v>
      </c>
      <c r="AK894">
        <v>294</v>
      </c>
      <c r="AU894">
        <v>47</v>
      </c>
      <c r="AW894">
        <v>154</v>
      </c>
      <c r="AY894">
        <v>105</v>
      </c>
      <c r="BG894" t="s">
        <v>312</v>
      </c>
      <c r="BH894" t="s">
        <v>314</v>
      </c>
      <c r="BK894" s="10" t="s">
        <v>41</v>
      </c>
      <c r="BL894" s="17">
        <v>0.34</v>
      </c>
      <c r="BS894" s="10">
        <v>4.7300000000000004</v>
      </c>
      <c r="BT894" s="10">
        <v>0.28000000000000003</v>
      </c>
      <c r="CF894" t="s">
        <v>876</v>
      </c>
      <c r="CG894" t="s">
        <v>651</v>
      </c>
      <c r="CH894" t="s">
        <v>786</v>
      </c>
    </row>
    <row r="895" spans="1:86" x14ac:dyDescent="0.3">
      <c r="A895">
        <v>1065</v>
      </c>
      <c r="B895" t="s">
        <v>389</v>
      </c>
      <c r="C895" t="s">
        <v>353</v>
      </c>
      <c r="E895" t="s">
        <v>873</v>
      </c>
      <c r="F895" t="s">
        <v>577</v>
      </c>
      <c r="G895" t="s">
        <v>667</v>
      </c>
      <c r="I895" t="s">
        <v>770</v>
      </c>
      <c r="AC895" t="s">
        <v>874</v>
      </c>
      <c r="AD895">
        <v>15</v>
      </c>
      <c r="AE895" t="s">
        <v>875</v>
      </c>
      <c r="AI895">
        <v>379</v>
      </c>
      <c r="AK895">
        <v>294</v>
      </c>
      <c r="AU895">
        <v>47</v>
      </c>
      <c r="AW895">
        <v>154</v>
      </c>
      <c r="AY895">
        <v>105</v>
      </c>
      <c r="BG895" t="s">
        <v>312</v>
      </c>
      <c r="BH895" t="s">
        <v>779</v>
      </c>
      <c r="BK895" s="10" t="s">
        <v>41</v>
      </c>
      <c r="BL895" s="17">
        <v>0.35</v>
      </c>
      <c r="BS895" s="10">
        <v>4.13</v>
      </c>
      <c r="BT895" s="10">
        <v>0.23</v>
      </c>
      <c r="CF895" t="s">
        <v>876</v>
      </c>
      <c r="CG895" t="s">
        <v>651</v>
      </c>
      <c r="CH895" t="s">
        <v>786</v>
      </c>
    </row>
    <row r="896" spans="1:86" x14ac:dyDescent="0.3">
      <c r="A896">
        <v>1066</v>
      </c>
      <c r="B896" t="s">
        <v>389</v>
      </c>
      <c r="C896" t="s">
        <v>353</v>
      </c>
      <c r="E896" t="s">
        <v>873</v>
      </c>
      <c r="F896" t="s">
        <v>577</v>
      </c>
      <c r="G896" t="s">
        <v>667</v>
      </c>
      <c r="I896" t="s">
        <v>770</v>
      </c>
      <c r="AC896" t="s">
        <v>874</v>
      </c>
      <c r="AD896">
        <v>15</v>
      </c>
      <c r="AE896" t="s">
        <v>875</v>
      </c>
      <c r="AI896">
        <v>379</v>
      </c>
      <c r="AK896">
        <v>294</v>
      </c>
      <c r="AU896">
        <v>47</v>
      </c>
      <c r="AW896">
        <v>154</v>
      </c>
      <c r="AY896">
        <v>105</v>
      </c>
      <c r="BG896" t="s">
        <v>311</v>
      </c>
      <c r="BH896" t="s">
        <v>631</v>
      </c>
      <c r="BK896" s="10" t="s">
        <v>41</v>
      </c>
      <c r="BL896" s="17">
        <v>0.33</v>
      </c>
      <c r="BS896" s="10">
        <v>5.91</v>
      </c>
      <c r="BT896" s="10">
        <v>0.67</v>
      </c>
      <c r="CF896" t="s">
        <v>876</v>
      </c>
      <c r="CG896" t="s">
        <v>651</v>
      </c>
      <c r="CH896" t="s">
        <v>786</v>
      </c>
    </row>
    <row r="897" spans="1:86" x14ac:dyDescent="0.3">
      <c r="A897">
        <v>1067</v>
      </c>
      <c r="B897" t="s">
        <v>389</v>
      </c>
      <c r="C897" t="s">
        <v>353</v>
      </c>
      <c r="E897" t="s">
        <v>873</v>
      </c>
      <c r="F897" t="s">
        <v>577</v>
      </c>
      <c r="G897" t="s">
        <v>667</v>
      </c>
      <c r="I897" t="s">
        <v>770</v>
      </c>
      <c r="AC897" t="s">
        <v>874</v>
      </c>
      <c r="AD897">
        <v>15</v>
      </c>
      <c r="AE897" t="s">
        <v>875</v>
      </c>
      <c r="AI897">
        <v>379</v>
      </c>
      <c r="AK897">
        <v>294</v>
      </c>
      <c r="AU897">
        <v>47</v>
      </c>
      <c r="AW897">
        <v>154</v>
      </c>
      <c r="AY897">
        <v>105</v>
      </c>
      <c r="BG897" t="s">
        <v>311</v>
      </c>
      <c r="BH897" t="s">
        <v>763</v>
      </c>
      <c r="BK897" s="10" t="s">
        <v>41</v>
      </c>
      <c r="BL897" s="17">
        <v>0.32</v>
      </c>
      <c r="BS897" s="10">
        <v>4.3600000000000003</v>
      </c>
      <c r="BT897" s="10">
        <v>1.01</v>
      </c>
      <c r="CF897" t="s">
        <v>876</v>
      </c>
      <c r="CG897" t="s">
        <v>651</v>
      </c>
      <c r="CH897" t="s">
        <v>786</v>
      </c>
    </row>
    <row r="898" spans="1:86" x14ac:dyDescent="0.3">
      <c r="A898">
        <v>1068</v>
      </c>
      <c r="B898" t="s">
        <v>389</v>
      </c>
      <c r="C898" t="s">
        <v>353</v>
      </c>
      <c r="E898" t="s">
        <v>873</v>
      </c>
      <c r="F898" t="s">
        <v>577</v>
      </c>
      <c r="G898" t="s">
        <v>667</v>
      </c>
      <c r="I898" t="s">
        <v>770</v>
      </c>
      <c r="AC898" t="s">
        <v>874</v>
      </c>
      <c r="AD898">
        <v>15</v>
      </c>
      <c r="AE898" t="s">
        <v>875</v>
      </c>
      <c r="AI898">
        <v>379</v>
      </c>
      <c r="AK898">
        <v>294</v>
      </c>
      <c r="AU898">
        <v>47</v>
      </c>
      <c r="AW898">
        <v>154</v>
      </c>
      <c r="AY898">
        <v>105</v>
      </c>
      <c r="BG898" t="s">
        <v>311</v>
      </c>
      <c r="BH898" t="s">
        <v>877</v>
      </c>
      <c r="BK898" s="10" t="s">
        <v>41</v>
      </c>
      <c r="BL898" s="17">
        <v>0.19</v>
      </c>
      <c r="BS898" s="10">
        <v>3.62</v>
      </c>
      <c r="BT898" s="10">
        <v>0.7</v>
      </c>
      <c r="CF898" t="s">
        <v>876</v>
      </c>
      <c r="CG898" t="s">
        <v>651</v>
      </c>
      <c r="CH898" t="s">
        <v>786</v>
      </c>
    </row>
    <row r="899" spans="1:86" x14ac:dyDescent="0.3">
      <c r="A899">
        <v>1069</v>
      </c>
      <c r="B899" t="s">
        <v>389</v>
      </c>
      <c r="C899" t="s">
        <v>367</v>
      </c>
      <c r="E899" t="s">
        <v>873</v>
      </c>
      <c r="F899" t="s">
        <v>577</v>
      </c>
      <c r="G899" t="s">
        <v>797</v>
      </c>
      <c r="I899" t="s">
        <v>770</v>
      </c>
      <c r="AC899" t="s">
        <v>874</v>
      </c>
      <c r="AD899">
        <v>24</v>
      </c>
      <c r="AE899" t="s">
        <v>875</v>
      </c>
      <c r="AI899">
        <v>154</v>
      </c>
      <c r="AK899">
        <v>105</v>
      </c>
      <c r="AU899">
        <v>25</v>
      </c>
      <c r="AW899">
        <v>29</v>
      </c>
      <c r="AY899">
        <v>92</v>
      </c>
      <c r="BG899" t="s">
        <v>312</v>
      </c>
      <c r="BH899" t="s">
        <v>691</v>
      </c>
      <c r="BK899" s="10" t="s">
        <v>41</v>
      </c>
      <c r="BL899" s="17">
        <v>1.23</v>
      </c>
      <c r="CF899" t="s">
        <v>878</v>
      </c>
      <c r="CG899" t="s">
        <v>651</v>
      </c>
      <c r="CH899" t="s">
        <v>786</v>
      </c>
    </row>
    <row r="900" spans="1:86" x14ac:dyDescent="0.3">
      <c r="A900">
        <v>1070</v>
      </c>
      <c r="B900" t="s">
        <v>389</v>
      </c>
      <c r="C900" t="s">
        <v>367</v>
      </c>
      <c r="E900" t="s">
        <v>873</v>
      </c>
      <c r="F900" t="s">
        <v>577</v>
      </c>
      <c r="G900" t="s">
        <v>797</v>
      </c>
      <c r="I900" t="s">
        <v>770</v>
      </c>
      <c r="AC900" t="s">
        <v>874</v>
      </c>
      <c r="AD900">
        <v>24</v>
      </c>
      <c r="AE900" t="s">
        <v>875</v>
      </c>
      <c r="AI900">
        <v>154</v>
      </c>
      <c r="AK900">
        <v>105</v>
      </c>
      <c r="AU900">
        <v>25</v>
      </c>
      <c r="AW900">
        <v>29</v>
      </c>
      <c r="AY900">
        <v>92</v>
      </c>
      <c r="BG900" t="s">
        <v>312</v>
      </c>
      <c r="BH900" t="s">
        <v>314</v>
      </c>
      <c r="BK900" s="10" t="s">
        <v>41</v>
      </c>
      <c r="BL900" s="17">
        <v>1.22</v>
      </c>
      <c r="CF900" t="s">
        <v>878</v>
      </c>
      <c r="CG900" t="s">
        <v>651</v>
      </c>
      <c r="CH900" t="s">
        <v>786</v>
      </c>
    </row>
    <row r="901" spans="1:86" x14ac:dyDescent="0.3">
      <c r="A901">
        <v>1071</v>
      </c>
      <c r="B901" t="s">
        <v>389</v>
      </c>
      <c r="C901" t="s">
        <v>367</v>
      </c>
      <c r="E901" t="s">
        <v>873</v>
      </c>
      <c r="F901" t="s">
        <v>577</v>
      </c>
      <c r="G901" t="s">
        <v>797</v>
      </c>
      <c r="I901" t="s">
        <v>770</v>
      </c>
      <c r="AC901" t="s">
        <v>874</v>
      </c>
      <c r="AD901">
        <v>24</v>
      </c>
      <c r="AE901" t="s">
        <v>875</v>
      </c>
      <c r="AI901">
        <v>154</v>
      </c>
      <c r="AK901">
        <v>105</v>
      </c>
      <c r="AU901">
        <v>25</v>
      </c>
      <c r="AW901">
        <v>29</v>
      </c>
      <c r="AY901">
        <v>92</v>
      </c>
      <c r="BG901" t="s">
        <v>312</v>
      </c>
      <c r="BH901" t="s">
        <v>779</v>
      </c>
      <c r="BK901" s="10" t="s">
        <v>41</v>
      </c>
      <c r="BL901" s="17">
        <v>1.19</v>
      </c>
      <c r="CF901" t="s">
        <v>878</v>
      </c>
      <c r="CG901" t="s">
        <v>651</v>
      </c>
      <c r="CH901" t="s">
        <v>786</v>
      </c>
    </row>
    <row r="902" spans="1:86" x14ac:dyDescent="0.3">
      <c r="A902">
        <v>1072</v>
      </c>
      <c r="B902" t="s">
        <v>389</v>
      </c>
      <c r="C902" t="s">
        <v>367</v>
      </c>
      <c r="E902" t="s">
        <v>873</v>
      </c>
      <c r="F902" t="s">
        <v>577</v>
      </c>
      <c r="G902" t="s">
        <v>797</v>
      </c>
      <c r="I902" t="s">
        <v>770</v>
      </c>
      <c r="AC902" t="s">
        <v>874</v>
      </c>
      <c r="AD902">
        <v>24</v>
      </c>
      <c r="AE902" t="s">
        <v>875</v>
      </c>
      <c r="AI902">
        <v>154</v>
      </c>
      <c r="AK902">
        <v>105</v>
      </c>
      <c r="AU902">
        <v>25</v>
      </c>
      <c r="AW902">
        <v>29</v>
      </c>
      <c r="AY902">
        <v>92</v>
      </c>
      <c r="BG902" t="s">
        <v>311</v>
      </c>
      <c r="BH902" t="s">
        <v>631</v>
      </c>
      <c r="BK902" s="10" t="s">
        <v>41</v>
      </c>
      <c r="BL902" s="17">
        <v>0.73</v>
      </c>
      <c r="CF902" t="s">
        <v>878</v>
      </c>
      <c r="CG902" t="s">
        <v>651</v>
      </c>
      <c r="CH902" t="s">
        <v>786</v>
      </c>
    </row>
    <row r="903" spans="1:86" x14ac:dyDescent="0.3">
      <c r="A903">
        <v>1073</v>
      </c>
      <c r="B903" t="s">
        <v>389</v>
      </c>
      <c r="C903" t="s">
        <v>367</v>
      </c>
      <c r="E903" t="s">
        <v>873</v>
      </c>
      <c r="F903" t="s">
        <v>577</v>
      </c>
      <c r="G903" t="s">
        <v>797</v>
      </c>
      <c r="I903" t="s">
        <v>770</v>
      </c>
      <c r="AC903" t="s">
        <v>874</v>
      </c>
      <c r="AD903">
        <v>24</v>
      </c>
      <c r="AE903" t="s">
        <v>875</v>
      </c>
      <c r="AI903">
        <v>154</v>
      </c>
      <c r="AK903">
        <v>105</v>
      </c>
      <c r="AU903">
        <v>25</v>
      </c>
      <c r="AW903">
        <v>29</v>
      </c>
      <c r="AY903">
        <v>92</v>
      </c>
      <c r="BG903" t="s">
        <v>311</v>
      </c>
      <c r="BH903" t="s">
        <v>763</v>
      </c>
      <c r="BK903" s="10" t="s">
        <v>41</v>
      </c>
      <c r="BL903" s="17">
        <v>0.66</v>
      </c>
      <c r="CF903" t="s">
        <v>878</v>
      </c>
      <c r="CG903" t="s">
        <v>651</v>
      </c>
      <c r="CH903" t="s">
        <v>786</v>
      </c>
    </row>
    <row r="904" spans="1:86" x14ac:dyDescent="0.3">
      <c r="A904">
        <v>1074</v>
      </c>
      <c r="B904" t="s">
        <v>389</v>
      </c>
      <c r="C904" t="s">
        <v>367</v>
      </c>
      <c r="E904" t="s">
        <v>873</v>
      </c>
      <c r="F904" t="s">
        <v>577</v>
      </c>
      <c r="G904" t="s">
        <v>797</v>
      </c>
      <c r="I904" t="s">
        <v>770</v>
      </c>
      <c r="AC904" t="s">
        <v>874</v>
      </c>
      <c r="AD904">
        <v>24</v>
      </c>
      <c r="AE904" t="s">
        <v>875</v>
      </c>
      <c r="AI904">
        <v>154</v>
      </c>
      <c r="AK904">
        <v>105</v>
      </c>
      <c r="AU904">
        <v>25</v>
      </c>
      <c r="AW904">
        <v>29</v>
      </c>
      <c r="AY904">
        <v>92</v>
      </c>
      <c r="BG904" t="s">
        <v>311</v>
      </c>
      <c r="BH904" t="s">
        <v>877</v>
      </c>
      <c r="BK904" s="10" t="s">
        <v>41</v>
      </c>
      <c r="BL904" s="17">
        <v>0.69</v>
      </c>
      <c r="CF904" t="s">
        <v>878</v>
      </c>
      <c r="CG904" t="s">
        <v>651</v>
      </c>
      <c r="CH904" t="s">
        <v>786</v>
      </c>
    </row>
    <row r="905" spans="1:86" x14ac:dyDescent="0.3">
      <c r="A905">
        <v>1075</v>
      </c>
      <c r="B905" t="s">
        <v>389</v>
      </c>
      <c r="C905" t="s">
        <v>382</v>
      </c>
      <c r="E905" t="s">
        <v>873</v>
      </c>
      <c r="F905" t="s">
        <v>577</v>
      </c>
      <c r="G905" t="s">
        <v>797</v>
      </c>
      <c r="I905" t="s">
        <v>770</v>
      </c>
      <c r="AC905" t="s">
        <v>874</v>
      </c>
      <c r="AD905">
        <v>23</v>
      </c>
      <c r="AE905" t="s">
        <v>875</v>
      </c>
      <c r="AI905">
        <v>29</v>
      </c>
      <c r="AK905">
        <v>92</v>
      </c>
      <c r="AU905">
        <v>2</v>
      </c>
      <c r="AW905">
        <v>8</v>
      </c>
      <c r="AY905">
        <v>11.6</v>
      </c>
      <c r="BG905" t="s">
        <v>312</v>
      </c>
      <c r="BH905" t="s">
        <v>691</v>
      </c>
      <c r="BK905" s="10" t="s">
        <v>41</v>
      </c>
      <c r="BL905" s="17">
        <v>0.6</v>
      </c>
      <c r="CF905" t="s">
        <v>878</v>
      </c>
      <c r="CG905" t="s">
        <v>651</v>
      </c>
      <c r="CH905" t="s">
        <v>786</v>
      </c>
    </row>
    <row r="906" spans="1:86" x14ac:dyDescent="0.3">
      <c r="A906">
        <v>1076</v>
      </c>
      <c r="B906" t="s">
        <v>389</v>
      </c>
      <c r="C906" t="s">
        <v>382</v>
      </c>
      <c r="E906" t="s">
        <v>873</v>
      </c>
      <c r="F906" t="s">
        <v>577</v>
      </c>
      <c r="G906" t="s">
        <v>797</v>
      </c>
      <c r="I906" t="s">
        <v>770</v>
      </c>
      <c r="AC906" t="s">
        <v>874</v>
      </c>
      <c r="AD906">
        <v>23</v>
      </c>
      <c r="AE906" t="s">
        <v>875</v>
      </c>
      <c r="AI906">
        <v>29</v>
      </c>
      <c r="AK906">
        <v>92</v>
      </c>
      <c r="AU906">
        <v>2</v>
      </c>
      <c r="AW906">
        <v>8</v>
      </c>
      <c r="AY906">
        <v>11.6</v>
      </c>
      <c r="BG906" t="s">
        <v>312</v>
      </c>
      <c r="BH906" t="s">
        <v>314</v>
      </c>
      <c r="BK906" s="10" t="s">
        <v>41</v>
      </c>
      <c r="BL906" s="17">
        <v>0.73</v>
      </c>
      <c r="CF906" t="s">
        <v>878</v>
      </c>
      <c r="CG906" t="s">
        <v>651</v>
      </c>
      <c r="CH906" t="s">
        <v>786</v>
      </c>
    </row>
    <row r="907" spans="1:86" x14ac:dyDescent="0.3">
      <c r="A907">
        <v>1077</v>
      </c>
      <c r="B907" t="s">
        <v>389</v>
      </c>
      <c r="C907" t="s">
        <v>382</v>
      </c>
      <c r="E907" t="s">
        <v>873</v>
      </c>
      <c r="F907" t="s">
        <v>577</v>
      </c>
      <c r="G907" t="s">
        <v>797</v>
      </c>
      <c r="I907" t="s">
        <v>770</v>
      </c>
      <c r="AC907" t="s">
        <v>874</v>
      </c>
      <c r="AD907">
        <v>23</v>
      </c>
      <c r="AE907" t="s">
        <v>875</v>
      </c>
      <c r="AI907">
        <v>29</v>
      </c>
      <c r="AK907">
        <v>92</v>
      </c>
      <c r="AU907">
        <v>2</v>
      </c>
      <c r="AW907">
        <v>8</v>
      </c>
      <c r="AY907">
        <v>11.6</v>
      </c>
      <c r="BG907" t="s">
        <v>312</v>
      </c>
      <c r="BH907" t="s">
        <v>779</v>
      </c>
      <c r="BK907" s="10" t="s">
        <v>41</v>
      </c>
      <c r="BL907" s="17">
        <v>0.8</v>
      </c>
      <c r="CF907" t="s">
        <v>878</v>
      </c>
      <c r="CG907" t="s">
        <v>651</v>
      </c>
      <c r="CH907" t="s">
        <v>786</v>
      </c>
    </row>
    <row r="908" spans="1:86" x14ac:dyDescent="0.3">
      <c r="A908">
        <v>1078</v>
      </c>
      <c r="B908" t="s">
        <v>389</v>
      </c>
      <c r="C908" t="s">
        <v>382</v>
      </c>
      <c r="E908" t="s">
        <v>873</v>
      </c>
      <c r="F908" t="s">
        <v>577</v>
      </c>
      <c r="G908" t="s">
        <v>797</v>
      </c>
      <c r="I908" t="s">
        <v>770</v>
      </c>
      <c r="AC908" t="s">
        <v>874</v>
      </c>
      <c r="AD908">
        <v>23</v>
      </c>
      <c r="AE908" t="s">
        <v>875</v>
      </c>
      <c r="AI908">
        <v>29</v>
      </c>
      <c r="AK908">
        <v>92</v>
      </c>
      <c r="AU908">
        <v>2</v>
      </c>
      <c r="AW908">
        <v>8</v>
      </c>
      <c r="AY908">
        <v>11.6</v>
      </c>
      <c r="BG908" t="s">
        <v>311</v>
      </c>
      <c r="BH908" t="s">
        <v>631</v>
      </c>
      <c r="BK908" s="10" t="s">
        <v>41</v>
      </c>
      <c r="BL908" s="17">
        <v>0.24</v>
      </c>
      <c r="CF908" t="s">
        <v>878</v>
      </c>
      <c r="CG908" t="s">
        <v>651</v>
      </c>
      <c r="CH908" t="s">
        <v>786</v>
      </c>
    </row>
    <row r="909" spans="1:86" x14ac:dyDescent="0.3">
      <c r="A909">
        <v>1079</v>
      </c>
      <c r="B909" t="s">
        <v>389</v>
      </c>
      <c r="C909" t="s">
        <v>382</v>
      </c>
      <c r="E909" t="s">
        <v>873</v>
      </c>
      <c r="F909" t="s">
        <v>577</v>
      </c>
      <c r="G909" t="s">
        <v>797</v>
      </c>
      <c r="I909" t="s">
        <v>770</v>
      </c>
      <c r="AC909" t="s">
        <v>874</v>
      </c>
      <c r="AD909">
        <v>23</v>
      </c>
      <c r="AE909" t="s">
        <v>875</v>
      </c>
      <c r="AI909">
        <v>29</v>
      </c>
      <c r="AK909">
        <v>92</v>
      </c>
      <c r="AU909">
        <v>2</v>
      </c>
      <c r="AW909">
        <v>8</v>
      </c>
      <c r="AY909">
        <v>11.6</v>
      </c>
      <c r="BG909" t="s">
        <v>311</v>
      </c>
      <c r="BH909" t="s">
        <v>763</v>
      </c>
      <c r="BK909" s="10" t="s">
        <v>41</v>
      </c>
      <c r="BL909" s="17">
        <v>0.18</v>
      </c>
      <c r="CF909" t="s">
        <v>878</v>
      </c>
      <c r="CG909" t="s">
        <v>651</v>
      </c>
      <c r="CH909" t="s">
        <v>786</v>
      </c>
    </row>
    <row r="910" spans="1:86" x14ac:dyDescent="0.3">
      <c r="A910">
        <v>1080</v>
      </c>
      <c r="B910" t="s">
        <v>389</v>
      </c>
      <c r="C910" t="s">
        <v>382</v>
      </c>
      <c r="E910" t="s">
        <v>873</v>
      </c>
      <c r="F910" t="s">
        <v>577</v>
      </c>
      <c r="G910" t="s">
        <v>797</v>
      </c>
      <c r="I910" t="s">
        <v>770</v>
      </c>
      <c r="AC910" t="s">
        <v>874</v>
      </c>
      <c r="AD910">
        <v>23</v>
      </c>
      <c r="AE910" t="s">
        <v>875</v>
      </c>
      <c r="AI910">
        <v>29</v>
      </c>
      <c r="AK910">
        <v>92</v>
      </c>
      <c r="AU910">
        <v>2</v>
      </c>
      <c r="AW910">
        <v>8</v>
      </c>
      <c r="AY910">
        <v>11.6</v>
      </c>
      <c r="BG910" t="s">
        <v>311</v>
      </c>
      <c r="BH910" t="s">
        <v>877</v>
      </c>
      <c r="BK910" s="10" t="s">
        <v>41</v>
      </c>
      <c r="BL910" s="17">
        <v>0.17</v>
      </c>
      <c r="CF910" t="s">
        <v>878</v>
      </c>
      <c r="CG910" t="s">
        <v>651</v>
      </c>
      <c r="CH910" t="s">
        <v>786</v>
      </c>
    </row>
    <row r="911" spans="1:86" x14ac:dyDescent="0.3">
      <c r="A911">
        <v>1081</v>
      </c>
      <c r="B911" t="s">
        <v>390</v>
      </c>
      <c r="C911" t="s">
        <v>334</v>
      </c>
      <c r="D911" t="s">
        <v>879</v>
      </c>
      <c r="E911" t="s">
        <v>880</v>
      </c>
      <c r="F911" t="s">
        <v>577</v>
      </c>
      <c r="G911" t="s">
        <v>866</v>
      </c>
      <c r="I911" t="s">
        <v>881</v>
      </c>
      <c r="U911" t="s">
        <v>882</v>
      </c>
      <c r="W911">
        <v>0.5</v>
      </c>
      <c r="X911" t="s">
        <v>883</v>
      </c>
      <c r="Y911">
        <v>0.5</v>
      </c>
      <c r="AC911" t="s">
        <v>884</v>
      </c>
      <c r="AD911" s="17">
        <f t="shared" ref="AD911:AD917" si="30">1.4/0.38</f>
        <v>3.6842105263157894</v>
      </c>
      <c r="AE911" t="s">
        <v>885</v>
      </c>
      <c r="BG911" t="s">
        <v>312</v>
      </c>
      <c r="BH911" t="s">
        <v>599</v>
      </c>
      <c r="BI911" s="10" t="s">
        <v>688</v>
      </c>
      <c r="BK911" s="10" t="s">
        <v>41</v>
      </c>
      <c r="BL911" s="17">
        <v>1.1000000000000001</v>
      </c>
      <c r="BS911" s="10">
        <f>LOG(5750)</f>
        <v>3.7596678446896306</v>
      </c>
      <c r="BY911" s="10">
        <f>LOG(850)</f>
        <v>2.9294189257142929</v>
      </c>
      <c r="CE911" s="10" t="s">
        <v>642</v>
      </c>
      <c r="CG911" t="s">
        <v>651</v>
      </c>
      <c r="CH911" s="10" t="s">
        <v>886</v>
      </c>
    </row>
    <row r="912" spans="1:86" x14ac:dyDescent="0.3">
      <c r="A912">
        <v>1082</v>
      </c>
      <c r="B912" t="s">
        <v>390</v>
      </c>
      <c r="C912" t="s">
        <v>334</v>
      </c>
      <c r="D912" t="s">
        <v>879</v>
      </c>
      <c r="E912" t="s">
        <v>880</v>
      </c>
      <c r="F912" t="s">
        <v>577</v>
      </c>
      <c r="G912" t="s">
        <v>866</v>
      </c>
      <c r="I912" t="s">
        <v>881</v>
      </c>
      <c r="U912" t="s">
        <v>882</v>
      </c>
      <c r="W912">
        <v>0.5</v>
      </c>
      <c r="X912" t="s">
        <v>883</v>
      </c>
      <c r="Y912">
        <v>0.5</v>
      </c>
      <c r="AC912" t="s">
        <v>884</v>
      </c>
      <c r="AD912" s="17">
        <f t="shared" si="30"/>
        <v>3.6842105263157894</v>
      </c>
      <c r="AE912" t="s">
        <v>885</v>
      </c>
      <c r="BG912" t="s">
        <v>312</v>
      </c>
      <c r="BH912" t="s">
        <v>314</v>
      </c>
      <c r="BI912" s="10" t="s">
        <v>688</v>
      </c>
      <c r="BK912" s="10" t="s">
        <v>41</v>
      </c>
      <c r="BL912" s="17">
        <v>1</v>
      </c>
      <c r="BS912" s="10">
        <f>LOG(7380)</f>
        <v>3.8680563618230415</v>
      </c>
      <c r="BY912" s="10">
        <f>LOG(1540)</f>
        <v>3.1875207208364631</v>
      </c>
      <c r="CE912" s="10" t="s">
        <v>642</v>
      </c>
      <c r="CG912" t="s">
        <v>651</v>
      </c>
      <c r="CH912" s="10" t="s">
        <v>886</v>
      </c>
    </row>
    <row r="913" spans="1:86" x14ac:dyDescent="0.3">
      <c r="A913">
        <v>1083</v>
      </c>
      <c r="B913" t="s">
        <v>390</v>
      </c>
      <c r="C913" t="s">
        <v>334</v>
      </c>
      <c r="D913" t="s">
        <v>879</v>
      </c>
      <c r="E913" t="s">
        <v>880</v>
      </c>
      <c r="F913" t="s">
        <v>577</v>
      </c>
      <c r="G913" t="s">
        <v>866</v>
      </c>
      <c r="I913" t="s">
        <v>881</v>
      </c>
      <c r="U913" t="s">
        <v>882</v>
      </c>
      <c r="W913">
        <v>0.5</v>
      </c>
      <c r="X913" t="s">
        <v>883</v>
      </c>
      <c r="Y913">
        <v>0.5</v>
      </c>
      <c r="AC913" t="s">
        <v>884</v>
      </c>
      <c r="AD913" s="17">
        <f t="shared" si="30"/>
        <v>3.6842105263157894</v>
      </c>
      <c r="AE913" t="s">
        <v>885</v>
      </c>
      <c r="BG913" t="s">
        <v>312</v>
      </c>
      <c r="BH913" t="s">
        <v>779</v>
      </c>
      <c r="BI913" s="10" t="s">
        <v>688</v>
      </c>
      <c r="BK913" s="10" t="s">
        <v>41</v>
      </c>
      <c r="BL913" s="17">
        <v>0.7</v>
      </c>
      <c r="BS913" s="10">
        <f>LOG(3480)</f>
        <v>3.5415792439465807</v>
      </c>
      <c r="BY913" s="10">
        <f>LOG(1090)</f>
        <v>3.0374264979406238</v>
      </c>
      <c r="CE913" s="10" t="s">
        <v>642</v>
      </c>
      <c r="CG913" t="s">
        <v>651</v>
      </c>
      <c r="CH913" s="10" t="s">
        <v>886</v>
      </c>
    </row>
    <row r="914" spans="1:86" x14ac:dyDescent="0.3">
      <c r="A914">
        <v>1084</v>
      </c>
      <c r="B914" t="s">
        <v>390</v>
      </c>
      <c r="C914" t="s">
        <v>334</v>
      </c>
      <c r="D914" t="s">
        <v>887</v>
      </c>
      <c r="E914" t="s">
        <v>880</v>
      </c>
      <c r="F914" t="s">
        <v>577</v>
      </c>
      <c r="G914" t="s">
        <v>866</v>
      </c>
      <c r="I914" t="s">
        <v>881</v>
      </c>
      <c r="U914" t="s">
        <v>882</v>
      </c>
      <c r="W914">
        <v>0.5</v>
      </c>
      <c r="X914" t="s">
        <v>883</v>
      </c>
      <c r="Y914">
        <v>0.5</v>
      </c>
      <c r="AC914" t="s">
        <v>884</v>
      </c>
      <c r="AD914" s="17">
        <f t="shared" si="30"/>
        <v>3.6842105263157894</v>
      </c>
      <c r="AE914" t="s">
        <v>885</v>
      </c>
      <c r="BG914" t="s">
        <v>312</v>
      </c>
      <c r="BH914" t="s">
        <v>599</v>
      </c>
      <c r="BI914" s="10" t="s">
        <v>688</v>
      </c>
      <c r="BK914" s="10" t="s">
        <v>41</v>
      </c>
      <c r="BL914" s="17">
        <v>0.9</v>
      </c>
      <c r="BS914" s="10">
        <f>LOG(68300)</f>
        <v>4.8344207036815323</v>
      </c>
      <c r="BY914" s="10">
        <f>LOG(8780)</f>
        <v>3.9434945159061026</v>
      </c>
      <c r="CE914" s="10" t="s">
        <v>642</v>
      </c>
      <c r="CG914" t="s">
        <v>651</v>
      </c>
      <c r="CH914" s="10" t="s">
        <v>886</v>
      </c>
    </row>
    <row r="915" spans="1:86" x14ac:dyDescent="0.3">
      <c r="A915">
        <v>1085</v>
      </c>
      <c r="B915" t="s">
        <v>390</v>
      </c>
      <c r="C915" t="s">
        <v>334</v>
      </c>
      <c r="D915" t="s">
        <v>887</v>
      </c>
      <c r="E915" t="s">
        <v>880</v>
      </c>
      <c r="F915" t="s">
        <v>577</v>
      </c>
      <c r="G915" t="s">
        <v>866</v>
      </c>
      <c r="I915" t="s">
        <v>881</v>
      </c>
      <c r="U915" t="s">
        <v>882</v>
      </c>
      <c r="W915">
        <v>0.5</v>
      </c>
      <c r="X915" t="s">
        <v>883</v>
      </c>
      <c r="Y915">
        <v>0.5</v>
      </c>
      <c r="AC915" t="s">
        <v>884</v>
      </c>
      <c r="AD915" s="17">
        <f t="shared" si="30"/>
        <v>3.6842105263157894</v>
      </c>
      <c r="AE915" t="s">
        <v>885</v>
      </c>
      <c r="BG915" t="s">
        <v>312</v>
      </c>
      <c r="BH915" t="s">
        <v>314</v>
      </c>
      <c r="BI915" s="10" t="s">
        <v>688</v>
      </c>
      <c r="BK915" s="10" t="s">
        <v>41</v>
      </c>
      <c r="BL915" s="17">
        <v>0.9</v>
      </c>
      <c r="BS915" s="10">
        <f>LOG(46000)</f>
        <v>4.6627578316815743</v>
      </c>
      <c r="BY915" s="10">
        <f>LOG(8420)</f>
        <v>3.9253120914996495</v>
      </c>
      <c r="CE915" s="10" t="s">
        <v>642</v>
      </c>
      <c r="CG915" t="s">
        <v>651</v>
      </c>
      <c r="CH915" s="10" t="s">
        <v>886</v>
      </c>
    </row>
    <row r="916" spans="1:86" x14ac:dyDescent="0.3">
      <c r="A916">
        <v>1086</v>
      </c>
      <c r="B916" t="s">
        <v>390</v>
      </c>
      <c r="C916" t="s">
        <v>334</v>
      </c>
      <c r="D916" t="s">
        <v>879</v>
      </c>
      <c r="E916" t="s">
        <v>880</v>
      </c>
      <c r="F916" t="s">
        <v>577</v>
      </c>
      <c r="G916" t="s">
        <v>866</v>
      </c>
      <c r="I916" t="s">
        <v>881</v>
      </c>
      <c r="U916" t="s">
        <v>882</v>
      </c>
      <c r="W916">
        <v>0.5</v>
      </c>
      <c r="X916" t="s">
        <v>883</v>
      </c>
      <c r="Y916">
        <v>0.5</v>
      </c>
      <c r="AC916" t="s">
        <v>884</v>
      </c>
      <c r="AD916" s="17">
        <f t="shared" si="30"/>
        <v>3.6842105263157894</v>
      </c>
      <c r="AE916" t="s">
        <v>885</v>
      </c>
      <c r="BG916" t="s">
        <v>311</v>
      </c>
      <c r="BH916" t="s">
        <v>315</v>
      </c>
      <c r="BI916" s="10" t="s">
        <v>688</v>
      </c>
      <c r="BK916" s="10" t="s">
        <v>41</v>
      </c>
      <c r="BL916" s="17">
        <v>1.42</v>
      </c>
      <c r="CE916" s="10" t="s">
        <v>888</v>
      </c>
      <c r="CG916" t="s">
        <v>651</v>
      </c>
      <c r="CH916" s="10" t="s">
        <v>886</v>
      </c>
    </row>
    <row r="917" spans="1:86" x14ac:dyDescent="0.3">
      <c r="A917">
        <v>1087</v>
      </c>
      <c r="B917" t="s">
        <v>390</v>
      </c>
      <c r="C917" t="s">
        <v>334</v>
      </c>
      <c r="D917" t="s">
        <v>887</v>
      </c>
      <c r="E917" t="s">
        <v>880</v>
      </c>
      <c r="F917" t="s">
        <v>577</v>
      </c>
      <c r="G917" t="s">
        <v>866</v>
      </c>
      <c r="I917" t="s">
        <v>881</v>
      </c>
      <c r="U917" t="s">
        <v>882</v>
      </c>
      <c r="W917">
        <v>0.5</v>
      </c>
      <c r="X917" t="s">
        <v>883</v>
      </c>
      <c r="Y917">
        <v>0.5</v>
      </c>
      <c r="AC917" t="s">
        <v>884</v>
      </c>
      <c r="AD917" s="17">
        <f t="shared" si="30"/>
        <v>3.6842105263157894</v>
      </c>
      <c r="AE917" t="s">
        <v>885</v>
      </c>
      <c r="BG917" t="s">
        <v>312</v>
      </c>
      <c r="BH917" t="s">
        <v>779</v>
      </c>
      <c r="BI917" s="10" t="s">
        <v>688</v>
      </c>
      <c r="BK917" s="10" t="s">
        <v>41</v>
      </c>
      <c r="BL917" s="17">
        <v>1</v>
      </c>
      <c r="BS917" s="10">
        <f>LOG(27200)</f>
        <v>4.4345689040341991</v>
      </c>
      <c r="BY917" s="10">
        <f>LOG(5210)</f>
        <v>3.7168377232995247</v>
      </c>
      <c r="CE917" s="10" t="s">
        <v>642</v>
      </c>
      <c r="CG917" t="s">
        <v>651</v>
      </c>
      <c r="CH917" s="10" t="s">
        <v>886</v>
      </c>
    </row>
    <row r="918" spans="1:86" x14ac:dyDescent="0.3">
      <c r="A918">
        <v>1088</v>
      </c>
      <c r="B918" s="14" t="s">
        <v>391</v>
      </c>
      <c r="C918" t="s">
        <v>330</v>
      </c>
      <c r="D918" t="s">
        <v>889</v>
      </c>
      <c r="E918" t="s">
        <v>890</v>
      </c>
      <c r="F918" t="s">
        <v>577</v>
      </c>
      <c r="G918" t="s">
        <v>667</v>
      </c>
      <c r="I918" t="s">
        <v>770</v>
      </c>
      <c r="J918" t="s">
        <v>790</v>
      </c>
      <c r="K918">
        <v>0.04</v>
      </c>
      <c r="AB918">
        <v>8000</v>
      </c>
      <c r="BG918" t="s">
        <v>311</v>
      </c>
      <c r="BH918" t="s">
        <v>316</v>
      </c>
      <c r="BI918" s="10" t="s">
        <v>672</v>
      </c>
      <c r="BK918" s="10" t="s">
        <v>41</v>
      </c>
      <c r="BL918" s="17">
        <f>GEOMEAN(LRV[[#This Row],[lrv_min]:[lrv_max]])</f>
        <v>4.6314144707637643</v>
      </c>
      <c r="BM918" s="52">
        <v>17</v>
      </c>
      <c r="BP918" s="10">
        <v>3.9</v>
      </c>
      <c r="BQ918" s="10">
        <v>5.5</v>
      </c>
      <c r="CG918" t="s">
        <v>651</v>
      </c>
      <c r="CH918" t="s">
        <v>786</v>
      </c>
    </row>
    <row r="919" spans="1:86" x14ac:dyDescent="0.3">
      <c r="A919">
        <v>1089</v>
      </c>
      <c r="B919" s="14" t="s">
        <v>391</v>
      </c>
      <c r="C919" t="s">
        <v>330</v>
      </c>
      <c r="D919" t="s">
        <v>889</v>
      </c>
      <c r="E919" t="s">
        <v>890</v>
      </c>
      <c r="F919" t="s">
        <v>577</v>
      </c>
      <c r="G919" t="s">
        <v>667</v>
      </c>
      <c r="I919" t="s">
        <v>770</v>
      </c>
      <c r="J919" t="s">
        <v>790</v>
      </c>
      <c r="K919">
        <v>0.04</v>
      </c>
      <c r="AB919">
        <v>8000</v>
      </c>
      <c r="BG919" t="s">
        <v>311</v>
      </c>
      <c r="BH919" t="s">
        <v>734</v>
      </c>
      <c r="BI919" s="10" t="s">
        <v>672</v>
      </c>
      <c r="BK919" s="10" t="s">
        <v>41</v>
      </c>
      <c r="BL919" s="17">
        <f>GEOMEAN(LRV[[#This Row],[lrv_min]:[lrv_max]])</f>
        <v>5.1205468457968433</v>
      </c>
      <c r="BM919" s="52">
        <v>17</v>
      </c>
      <c r="BP919" s="10">
        <v>4.5999999999999996</v>
      </c>
      <c r="BQ919" s="10">
        <v>5.7</v>
      </c>
      <c r="CG919" t="s">
        <v>651</v>
      </c>
      <c r="CH919" t="s">
        <v>786</v>
      </c>
    </row>
    <row r="920" spans="1:86" x14ac:dyDescent="0.3">
      <c r="A920">
        <v>1090</v>
      </c>
      <c r="B920" s="14" t="s">
        <v>391</v>
      </c>
      <c r="C920" t="s">
        <v>330</v>
      </c>
      <c r="D920" t="s">
        <v>889</v>
      </c>
      <c r="E920" t="s">
        <v>890</v>
      </c>
      <c r="F920" t="s">
        <v>577</v>
      </c>
      <c r="G920" t="s">
        <v>667</v>
      </c>
      <c r="I920" t="s">
        <v>770</v>
      </c>
      <c r="J920" t="s">
        <v>790</v>
      </c>
      <c r="K920">
        <v>0.04</v>
      </c>
      <c r="AB920">
        <v>8000</v>
      </c>
      <c r="BG920" t="s">
        <v>311</v>
      </c>
      <c r="BH920" t="s">
        <v>780</v>
      </c>
      <c r="BI920" s="10" t="s">
        <v>672</v>
      </c>
      <c r="BK920" s="10" t="s">
        <v>41</v>
      </c>
      <c r="BL920" s="17">
        <f>GEOMEAN(LRV[[#This Row],[lrv_min]:[lrv_max]])</f>
        <v>6.1919302321650882</v>
      </c>
      <c r="BM920" s="52">
        <v>14</v>
      </c>
      <c r="BP920" s="10">
        <v>5.4</v>
      </c>
      <c r="BQ920" s="10">
        <v>7.1</v>
      </c>
      <c r="CG920" t="s">
        <v>651</v>
      </c>
      <c r="CH920" t="s">
        <v>786</v>
      </c>
    </row>
    <row r="921" spans="1:86" x14ac:dyDescent="0.3">
      <c r="A921">
        <v>1091</v>
      </c>
      <c r="B921" t="s">
        <v>392</v>
      </c>
      <c r="C921" t="s">
        <v>331</v>
      </c>
      <c r="D921" t="s">
        <v>891</v>
      </c>
      <c r="E921" t="s">
        <v>892</v>
      </c>
      <c r="F921" t="s">
        <v>577</v>
      </c>
      <c r="G921" t="s">
        <v>893</v>
      </c>
      <c r="I921" t="s">
        <v>770</v>
      </c>
      <c r="U921" t="s">
        <v>894</v>
      </c>
      <c r="V921" s="62">
        <f t="shared" ref="V921:V926" si="31">1/28.7</f>
        <v>3.484320557491289E-2</v>
      </c>
      <c r="W921">
        <v>1.4</v>
      </c>
      <c r="AF921" t="s">
        <v>895</v>
      </c>
      <c r="AI921">
        <v>191</v>
      </c>
      <c r="AQ921">
        <v>12</v>
      </c>
      <c r="AV921">
        <v>55</v>
      </c>
      <c r="BC921">
        <v>8.9</v>
      </c>
      <c r="BG921" t="s">
        <v>311</v>
      </c>
      <c r="BH921" t="s">
        <v>315</v>
      </c>
      <c r="BI921" s="10" t="s">
        <v>568</v>
      </c>
      <c r="BK921" s="10" t="s">
        <v>41</v>
      </c>
      <c r="BL921" s="17">
        <v>6.9</v>
      </c>
      <c r="BN921" s="17">
        <v>0.2</v>
      </c>
      <c r="BS921" s="10">
        <f>LOG(242000000000)</f>
        <v>11.383815365980432</v>
      </c>
      <c r="BY921" s="10">
        <f>LOG(1100000)</f>
        <v>6.0413926851582254</v>
      </c>
      <c r="CE921" s="10" t="s">
        <v>743</v>
      </c>
      <c r="CF921" t="s">
        <v>896</v>
      </c>
      <c r="CG921" t="s">
        <v>651</v>
      </c>
      <c r="CH921" s="10" t="s">
        <v>886</v>
      </c>
    </row>
    <row r="922" spans="1:86" x14ac:dyDescent="0.3">
      <c r="A922">
        <v>1092</v>
      </c>
      <c r="B922" t="s">
        <v>392</v>
      </c>
      <c r="C922" t="s">
        <v>331</v>
      </c>
      <c r="D922" t="s">
        <v>897</v>
      </c>
      <c r="E922" t="s">
        <v>892</v>
      </c>
      <c r="F922" t="s">
        <v>577</v>
      </c>
      <c r="G922" t="s">
        <v>893</v>
      </c>
      <c r="I922" t="s">
        <v>770</v>
      </c>
      <c r="U922" t="s">
        <v>894</v>
      </c>
      <c r="V922" s="62">
        <f t="shared" si="31"/>
        <v>3.484320557491289E-2</v>
      </c>
      <c r="W922">
        <v>1.4</v>
      </c>
      <c r="AF922" t="s">
        <v>895</v>
      </c>
      <c r="AI922">
        <v>191</v>
      </c>
      <c r="AQ922">
        <v>12</v>
      </c>
      <c r="AV922">
        <v>55</v>
      </c>
      <c r="BC922">
        <v>16.100000000000001</v>
      </c>
      <c r="BG922" t="s">
        <v>311</v>
      </c>
      <c r="BH922" t="s">
        <v>315</v>
      </c>
      <c r="BI922" s="10" t="s">
        <v>568</v>
      </c>
      <c r="BK922" s="10" t="s">
        <v>41</v>
      </c>
      <c r="BL922" s="17">
        <v>7</v>
      </c>
      <c r="BN922" s="17">
        <v>0.4</v>
      </c>
      <c r="BS922" s="10">
        <f>LOG(580000000000)</f>
        <v>11.763427993562937</v>
      </c>
      <c r="BY922" s="10">
        <f>LOG(98000)</f>
        <v>4.9912260756924951</v>
      </c>
      <c r="CE922" s="10" t="s">
        <v>743</v>
      </c>
      <c r="CF922" t="s">
        <v>896</v>
      </c>
      <c r="CG922" t="s">
        <v>651</v>
      </c>
      <c r="CH922" s="10" t="s">
        <v>886</v>
      </c>
    </row>
    <row r="923" spans="1:86" x14ac:dyDescent="0.3">
      <c r="A923">
        <v>1093</v>
      </c>
      <c r="B923" t="s">
        <v>392</v>
      </c>
      <c r="C923" t="s">
        <v>331</v>
      </c>
      <c r="D923" t="s">
        <v>891</v>
      </c>
      <c r="E923" t="s">
        <v>892</v>
      </c>
      <c r="F923" t="s">
        <v>577</v>
      </c>
      <c r="G923" t="s">
        <v>893</v>
      </c>
      <c r="I923" t="s">
        <v>770</v>
      </c>
      <c r="U923" t="s">
        <v>894</v>
      </c>
      <c r="V923" s="62">
        <f t="shared" si="31"/>
        <v>3.484320557491289E-2</v>
      </c>
      <c r="W923">
        <v>1.4</v>
      </c>
      <c r="AF923" t="s">
        <v>895</v>
      </c>
      <c r="AI923">
        <v>191</v>
      </c>
      <c r="AQ923">
        <v>12</v>
      </c>
      <c r="AV923">
        <v>55</v>
      </c>
      <c r="BG923" t="s">
        <v>312</v>
      </c>
      <c r="BH923" t="s">
        <v>691</v>
      </c>
      <c r="BI923" s="10" t="s">
        <v>568</v>
      </c>
      <c r="BK923" s="10" t="s">
        <v>41</v>
      </c>
      <c r="BL923" s="17">
        <v>4.5999999999999996</v>
      </c>
      <c r="BM923" s="52">
        <v>12</v>
      </c>
      <c r="BN923" s="17">
        <v>0.3</v>
      </c>
      <c r="CE923" s="10" t="s">
        <v>642</v>
      </c>
      <c r="CG923" t="s">
        <v>651</v>
      </c>
      <c r="CH923" s="10" t="s">
        <v>886</v>
      </c>
    </row>
    <row r="924" spans="1:86" x14ac:dyDescent="0.3">
      <c r="A924">
        <v>1094</v>
      </c>
      <c r="B924" t="s">
        <v>392</v>
      </c>
      <c r="C924" t="s">
        <v>331</v>
      </c>
      <c r="D924" t="s">
        <v>897</v>
      </c>
      <c r="E924" t="s">
        <v>892</v>
      </c>
      <c r="F924" t="s">
        <v>577</v>
      </c>
      <c r="G924" t="s">
        <v>893</v>
      </c>
      <c r="I924" t="s">
        <v>770</v>
      </c>
      <c r="U924" t="s">
        <v>894</v>
      </c>
      <c r="V924" s="62">
        <f t="shared" si="31"/>
        <v>3.484320557491289E-2</v>
      </c>
      <c r="W924">
        <v>1.4</v>
      </c>
      <c r="AF924" t="s">
        <v>895</v>
      </c>
      <c r="AI924">
        <v>191</v>
      </c>
      <c r="AQ924">
        <v>12</v>
      </c>
      <c r="AV924">
        <v>55</v>
      </c>
      <c r="BG924" t="s">
        <v>312</v>
      </c>
      <c r="BH924" t="s">
        <v>691</v>
      </c>
      <c r="BI924" s="10" t="s">
        <v>568</v>
      </c>
      <c r="BK924" s="10" t="s">
        <v>41</v>
      </c>
      <c r="BL924" s="17">
        <v>4.5999999999999996</v>
      </c>
      <c r="BM924" s="52">
        <v>28</v>
      </c>
      <c r="BN924" s="17">
        <v>0.4</v>
      </c>
      <c r="CE924" s="10" t="s">
        <v>642</v>
      </c>
      <c r="CG924" t="s">
        <v>651</v>
      </c>
      <c r="CH924" s="10" t="s">
        <v>886</v>
      </c>
    </row>
    <row r="925" spans="1:86" x14ac:dyDescent="0.3">
      <c r="A925">
        <v>1095</v>
      </c>
      <c r="B925" t="s">
        <v>392</v>
      </c>
      <c r="C925" t="s">
        <v>331</v>
      </c>
      <c r="D925" t="s">
        <v>891</v>
      </c>
      <c r="E925" t="s">
        <v>892</v>
      </c>
      <c r="F925" t="s">
        <v>577</v>
      </c>
      <c r="G925" t="s">
        <v>893</v>
      </c>
      <c r="I925" t="s">
        <v>770</v>
      </c>
      <c r="U925" t="s">
        <v>894</v>
      </c>
      <c r="V925" s="62">
        <f t="shared" si="31"/>
        <v>3.484320557491289E-2</v>
      </c>
      <c r="W925">
        <v>1.4</v>
      </c>
      <c r="AF925" t="s">
        <v>895</v>
      </c>
      <c r="AI925">
        <v>191</v>
      </c>
      <c r="AQ925">
        <v>12</v>
      </c>
      <c r="AV925">
        <v>55</v>
      </c>
      <c r="BG925" t="s">
        <v>311</v>
      </c>
      <c r="BH925" t="s">
        <v>631</v>
      </c>
      <c r="BI925" s="10" t="s">
        <v>568</v>
      </c>
      <c r="BK925" s="10" t="s">
        <v>41</v>
      </c>
      <c r="BL925" s="17">
        <v>2.8</v>
      </c>
      <c r="BM925" s="52">
        <v>26</v>
      </c>
      <c r="BN925" s="17">
        <v>1.1000000000000001</v>
      </c>
      <c r="CE925" s="10" t="s">
        <v>642</v>
      </c>
      <c r="CG925" t="s">
        <v>651</v>
      </c>
      <c r="CH925" s="10" t="s">
        <v>886</v>
      </c>
    </row>
    <row r="926" spans="1:86" x14ac:dyDescent="0.3">
      <c r="A926">
        <v>1096</v>
      </c>
      <c r="B926" t="s">
        <v>392</v>
      </c>
      <c r="C926" t="s">
        <v>331</v>
      </c>
      <c r="D926" t="s">
        <v>897</v>
      </c>
      <c r="E926" t="s">
        <v>892</v>
      </c>
      <c r="F926" t="s">
        <v>577</v>
      </c>
      <c r="G926" t="s">
        <v>893</v>
      </c>
      <c r="I926" t="s">
        <v>770</v>
      </c>
      <c r="U926" t="s">
        <v>894</v>
      </c>
      <c r="V926" s="62">
        <f t="shared" si="31"/>
        <v>3.484320557491289E-2</v>
      </c>
      <c r="W926">
        <v>1.4</v>
      </c>
      <c r="AF926" t="s">
        <v>895</v>
      </c>
      <c r="AI926">
        <v>191</v>
      </c>
      <c r="AQ926">
        <v>12</v>
      </c>
      <c r="AV926">
        <v>55</v>
      </c>
      <c r="BG926" t="s">
        <v>311</v>
      </c>
      <c r="BH926" t="s">
        <v>631</v>
      </c>
      <c r="BI926" s="10" t="s">
        <v>568</v>
      </c>
      <c r="BK926" s="10" t="s">
        <v>41</v>
      </c>
      <c r="BL926" s="17">
        <v>3.4</v>
      </c>
      <c r="BM926" s="52">
        <v>17</v>
      </c>
      <c r="BN926" s="17">
        <v>0.6</v>
      </c>
      <c r="CE926" s="10" t="s">
        <v>642</v>
      </c>
      <c r="CG926" t="s">
        <v>651</v>
      </c>
      <c r="CH926" s="10" t="s">
        <v>886</v>
      </c>
    </row>
    <row r="927" spans="1:86" x14ac:dyDescent="0.3">
      <c r="A927">
        <v>1097</v>
      </c>
      <c r="B927" t="s">
        <v>392</v>
      </c>
      <c r="C927" t="s">
        <v>898</v>
      </c>
      <c r="D927" t="s">
        <v>891</v>
      </c>
      <c r="E927" t="s">
        <v>892</v>
      </c>
      <c r="F927" t="s">
        <v>577</v>
      </c>
      <c r="G927" t="s">
        <v>893</v>
      </c>
      <c r="I927" t="s">
        <v>770</v>
      </c>
      <c r="U927" t="s">
        <v>899</v>
      </c>
      <c r="V927" s="62">
        <f t="shared" ref="V927:V932" si="32">1/30</f>
        <v>3.3333333333333333E-2</v>
      </c>
      <c r="W927">
        <v>1.2</v>
      </c>
      <c r="AF927" t="s">
        <v>900</v>
      </c>
      <c r="AI927">
        <v>191</v>
      </c>
      <c r="AQ927">
        <v>12</v>
      </c>
      <c r="AV927">
        <v>55</v>
      </c>
      <c r="BC927">
        <v>8.6999999999999993</v>
      </c>
      <c r="BG927" t="s">
        <v>311</v>
      </c>
      <c r="BH927" t="s">
        <v>315</v>
      </c>
      <c r="BI927" s="10" t="s">
        <v>568</v>
      </c>
      <c r="BK927" s="10" t="s">
        <v>41</v>
      </c>
      <c r="BL927" s="17">
        <v>1.8</v>
      </c>
      <c r="BN927" s="17">
        <v>0.6</v>
      </c>
      <c r="BS927" s="10">
        <f>LOG(248000000000)</f>
        <v>11.394451680826217</v>
      </c>
      <c r="BY927" s="10">
        <f>LOG(40100000000)</f>
        <v>10.603144372620182</v>
      </c>
      <c r="CE927" s="10" t="s">
        <v>743</v>
      </c>
      <c r="CF927" t="s">
        <v>896</v>
      </c>
      <c r="CG927" t="s">
        <v>651</v>
      </c>
      <c r="CH927" s="10" t="s">
        <v>886</v>
      </c>
    </row>
    <row r="928" spans="1:86" x14ac:dyDescent="0.3">
      <c r="A928">
        <v>1098</v>
      </c>
      <c r="B928" t="s">
        <v>392</v>
      </c>
      <c r="C928" t="s">
        <v>898</v>
      </c>
      <c r="D928" t="s">
        <v>897</v>
      </c>
      <c r="E928" t="s">
        <v>892</v>
      </c>
      <c r="F928" t="s">
        <v>577</v>
      </c>
      <c r="G928" t="s">
        <v>893</v>
      </c>
      <c r="I928" t="s">
        <v>770</v>
      </c>
      <c r="U928" t="s">
        <v>899</v>
      </c>
      <c r="V928" s="62">
        <f t="shared" si="32"/>
        <v>3.3333333333333333E-2</v>
      </c>
      <c r="W928">
        <v>1.2</v>
      </c>
      <c r="AF928" t="s">
        <v>900</v>
      </c>
      <c r="AI928">
        <v>191</v>
      </c>
      <c r="AQ928">
        <v>12</v>
      </c>
      <c r="AV928">
        <v>55</v>
      </c>
      <c r="BC928">
        <v>16.600000000000001</v>
      </c>
      <c r="BG928" t="s">
        <v>311</v>
      </c>
      <c r="BH928" t="s">
        <v>315</v>
      </c>
      <c r="BI928" s="10" t="s">
        <v>568</v>
      </c>
      <c r="BK928" s="10" t="s">
        <v>41</v>
      </c>
      <c r="BL928" s="17">
        <v>2.7</v>
      </c>
      <c r="BN928" s="17">
        <v>0.7</v>
      </c>
      <c r="BS928" s="10">
        <f>LOG(917000000000)</f>
        <v>11.96236933567002</v>
      </c>
      <c r="BY928" s="10">
        <f>LOG(2060000000)</f>
        <v>9.3138672203691542</v>
      </c>
      <c r="CE928" s="10" t="s">
        <v>743</v>
      </c>
      <c r="CF928" t="s">
        <v>896</v>
      </c>
      <c r="CG928" t="s">
        <v>651</v>
      </c>
      <c r="CH928" s="10" t="s">
        <v>886</v>
      </c>
    </row>
    <row r="929" spans="1:86" x14ac:dyDescent="0.3">
      <c r="A929">
        <v>1099</v>
      </c>
      <c r="B929" t="s">
        <v>392</v>
      </c>
      <c r="C929" t="s">
        <v>898</v>
      </c>
      <c r="D929" t="s">
        <v>891</v>
      </c>
      <c r="E929" t="s">
        <v>892</v>
      </c>
      <c r="F929" t="s">
        <v>577</v>
      </c>
      <c r="G929" t="s">
        <v>893</v>
      </c>
      <c r="I929" t="s">
        <v>770</v>
      </c>
      <c r="U929" t="s">
        <v>899</v>
      </c>
      <c r="V929" s="62">
        <f t="shared" si="32"/>
        <v>3.3333333333333333E-2</v>
      </c>
      <c r="W929">
        <v>1.2</v>
      </c>
      <c r="AF929" t="s">
        <v>900</v>
      </c>
      <c r="AI929">
        <v>191</v>
      </c>
      <c r="AQ929">
        <v>12</v>
      </c>
      <c r="AV929">
        <v>55</v>
      </c>
      <c r="BG929" t="s">
        <v>312</v>
      </c>
      <c r="BH929" t="s">
        <v>691</v>
      </c>
      <c r="BI929" s="10" t="s">
        <v>568</v>
      </c>
      <c r="BK929" s="10" t="s">
        <v>41</v>
      </c>
      <c r="BL929" s="17">
        <v>2</v>
      </c>
      <c r="BM929" s="52">
        <v>28</v>
      </c>
      <c r="BN929" s="17">
        <v>1.3</v>
      </c>
      <c r="CE929" s="10" t="s">
        <v>642</v>
      </c>
      <c r="CG929" t="s">
        <v>651</v>
      </c>
      <c r="CH929" s="10" t="s">
        <v>886</v>
      </c>
    </row>
    <row r="930" spans="1:86" x14ac:dyDescent="0.3">
      <c r="A930">
        <v>1100</v>
      </c>
      <c r="B930" t="s">
        <v>392</v>
      </c>
      <c r="C930" t="s">
        <v>898</v>
      </c>
      <c r="D930" t="s">
        <v>897</v>
      </c>
      <c r="E930" t="s">
        <v>892</v>
      </c>
      <c r="F930" t="s">
        <v>577</v>
      </c>
      <c r="G930" t="s">
        <v>893</v>
      </c>
      <c r="I930" t="s">
        <v>770</v>
      </c>
      <c r="U930" t="s">
        <v>899</v>
      </c>
      <c r="V930" s="62">
        <f t="shared" si="32"/>
        <v>3.3333333333333333E-2</v>
      </c>
      <c r="W930">
        <v>1.2</v>
      </c>
      <c r="AF930" t="s">
        <v>900</v>
      </c>
      <c r="AI930">
        <v>191</v>
      </c>
      <c r="AQ930">
        <v>12</v>
      </c>
      <c r="AV930">
        <v>55</v>
      </c>
      <c r="BG930" t="s">
        <v>312</v>
      </c>
      <c r="BH930" t="s">
        <v>691</v>
      </c>
      <c r="BI930" s="10" t="s">
        <v>568</v>
      </c>
      <c r="BK930" s="10" t="s">
        <v>41</v>
      </c>
      <c r="BL930" s="17">
        <v>2.9</v>
      </c>
      <c r="BM930" s="52">
        <v>11</v>
      </c>
      <c r="BN930" s="17">
        <v>1.2</v>
      </c>
      <c r="CE930" s="10" t="s">
        <v>642</v>
      </c>
      <c r="CG930" t="s">
        <v>651</v>
      </c>
      <c r="CH930" s="10" t="s">
        <v>886</v>
      </c>
    </row>
    <row r="931" spans="1:86" x14ac:dyDescent="0.3">
      <c r="A931">
        <v>1101</v>
      </c>
      <c r="B931" t="s">
        <v>392</v>
      </c>
      <c r="C931" t="s">
        <v>898</v>
      </c>
      <c r="D931" t="s">
        <v>891</v>
      </c>
      <c r="E931" t="s">
        <v>892</v>
      </c>
      <c r="F931" t="s">
        <v>577</v>
      </c>
      <c r="G931" t="s">
        <v>893</v>
      </c>
      <c r="I931" t="s">
        <v>770</v>
      </c>
      <c r="U931" t="s">
        <v>899</v>
      </c>
      <c r="V931" s="62">
        <f t="shared" si="32"/>
        <v>3.3333333333333333E-2</v>
      </c>
      <c r="W931">
        <v>1.2</v>
      </c>
      <c r="AF931" t="s">
        <v>900</v>
      </c>
      <c r="AI931">
        <v>191</v>
      </c>
      <c r="AQ931">
        <v>12</v>
      </c>
      <c r="AV931">
        <v>55</v>
      </c>
      <c r="BG931" t="s">
        <v>311</v>
      </c>
      <c r="BH931" t="s">
        <v>631</v>
      </c>
      <c r="BI931" s="10" t="s">
        <v>568</v>
      </c>
      <c r="BK931" s="10" t="s">
        <v>41</v>
      </c>
      <c r="BL931" s="17">
        <v>1.5</v>
      </c>
      <c r="BM931" s="52">
        <v>29</v>
      </c>
      <c r="BN931" s="17">
        <v>1.2</v>
      </c>
      <c r="CE931" s="10" t="s">
        <v>642</v>
      </c>
      <c r="CG931" t="s">
        <v>651</v>
      </c>
      <c r="CH931" s="10" t="s">
        <v>886</v>
      </c>
    </row>
    <row r="932" spans="1:86" x14ac:dyDescent="0.3">
      <c r="A932">
        <v>1102</v>
      </c>
      <c r="B932" t="s">
        <v>392</v>
      </c>
      <c r="C932" t="s">
        <v>898</v>
      </c>
      <c r="D932" t="s">
        <v>897</v>
      </c>
      <c r="E932" t="s">
        <v>892</v>
      </c>
      <c r="F932" t="s">
        <v>577</v>
      </c>
      <c r="G932" t="s">
        <v>893</v>
      </c>
      <c r="I932" t="s">
        <v>770</v>
      </c>
      <c r="U932" t="s">
        <v>899</v>
      </c>
      <c r="V932" s="62">
        <f t="shared" si="32"/>
        <v>3.3333333333333333E-2</v>
      </c>
      <c r="W932">
        <v>1.2</v>
      </c>
      <c r="AF932" t="s">
        <v>900</v>
      </c>
      <c r="AI932">
        <v>191</v>
      </c>
      <c r="AQ932">
        <v>12</v>
      </c>
      <c r="AV932">
        <v>55</v>
      </c>
      <c r="BG932" t="s">
        <v>311</v>
      </c>
      <c r="BH932" t="s">
        <v>631</v>
      </c>
      <c r="BI932" s="10" t="s">
        <v>568</v>
      </c>
      <c r="BK932" s="10" t="s">
        <v>41</v>
      </c>
      <c r="BL932" s="17">
        <v>2.6</v>
      </c>
      <c r="BM932" s="52">
        <v>16</v>
      </c>
      <c r="BN932" s="17">
        <v>1.3</v>
      </c>
      <c r="CE932" s="10" t="s">
        <v>642</v>
      </c>
      <c r="CG932" t="s">
        <v>651</v>
      </c>
      <c r="CH932" s="10" t="s">
        <v>886</v>
      </c>
    </row>
    <row r="933" spans="1:86" x14ac:dyDescent="0.3">
      <c r="A933">
        <v>1103</v>
      </c>
      <c r="B933" t="s">
        <v>393</v>
      </c>
      <c r="C933" t="s">
        <v>898</v>
      </c>
      <c r="D933" t="s">
        <v>901</v>
      </c>
      <c r="E933" t="s">
        <v>892</v>
      </c>
      <c r="F933" t="s">
        <v>577</v>
      </c>
      <c r="G933" t="s">
        <v>893</v>
      </c>
      <c r="I933" t="s">
        <v>770</v>
      </c>
      <c r="U933" t="s">
        <v>899</v>
      </c>
      <c r="V933" s="62">
        <f>1.079/30</f>
        <v>3.5966666666666668E-2</v>
      </c>
      <c r="W933">
        <v>1.2</v>
      </c>
      <c r="AF933" t="s">
        <v>900</v>
      </c>
      <c r="AI933">
        <v>294</v>
      </c>
      <c r="AP933">
        <v>14.9</v>
      </c>
      <c r="AQ933">
        <v>96</v>
      </c>
      <c r="AV933">
        <v>15</v>
      </c>
      <c r="BC933">
        <v>14.9</v>
      </c>
      <c r="BG933" t="s">
        <v>312</v>
      </c>
      <c r="BH933" t="s">
        <v>902</v>
      </c>
      <c r="BI933" s="10" t="s">
        <v>568</v>
      </c>
      <c r="BK933" s="10" t="s">
        <v>41</v>
      </c>
      <c r="BL933" s="17">
        <v>7.6</v>
      </c>
      <c r="BM933" s="52">
        <v>3</v>
      </c>
      <c r="BS933" s="10">
        <f>LOG(15200000000000)</f>
        <v>13.181843587944773</v>
      </c>
      <c r="BY933" s="10">
        <f>LOG(392000)</f>
        <v>5.5932860670204576</v>
      </c>
      <c r="CE933" s="10" t="s">
        <v>743</v>
      </c>
      <c r="CF933" t="s">
        <v>896</v>
      </c>
      <c r="CG933" t="s">
        <v>651</v>
      </c>
      <c r="CH933" s="10" t="s">
        <v>886</v>
      </c>
    </row>
    <row r="934" spans="1:86" x14ac:dyDescent="0.3">
      <c r="A934">
        <v>1104</v>
      </c>
      <c r="B934" t="s">
        <v>393</v>
      </c>
      <c r="C934" t="s">
        <v>898</v>
      </c>
      <c r="D934" t="s">
        <v>903</v>
      </c>
      <c r="E934" t="s">
        <v>892</v>
      </c>
      <c r="F934" t="s">
        <v>577</v>
      </c>
      <c r="G934" t="s">
        <v>893</v>
      </c>
      <c r="I934" t="s">
        <v>770</v>
      </c>
      <c r="U934" t="s">
        <v>899</v>
      </c>
      <c r="V934" s="62">
        <f>0.931/30</f>
        <v>3.1033333333333336E-2</v>
      </c>
      <c r="W934">
        <v>1.2</v>
      </c>
      <c r="AF934" t="s">
        <v>900</v>
      </c>
      <c r="AI934">
        <v>294</v>
      </c>
      <c r="AP934">
        <v>14.4</v>
      </c>
      <c r="AQ934">
        <v>96</v>
      </c>
      <c r="AV934">
        <v>15</v>
      </c>
      <c r="BC934">
        <v>14.4</v>
      </c>
      <c r="BG934" t="s">
        <v>312</v>
      </c>
      <c r="BH934" t="s">
        <v>902</v>
      </c>
      <c r="BI934" s="10" t="s">
        <v>568</v>
      </c>
      <c r="BK934" s="10" t="s">
        <v>41</v>
      </c>
      <c r="BL934" s="17">
        <v>8.5</v>
      </c>
      <c r="BM934" s="52">
        <v>3</v>
      </c>
      <c r="BS934" s="10">
        <f>LOG(10300000000000)</f>
        <v>13.012837224705173</v>
      </c>
      <c r="BY934" s="10">
        <f>LOG(33000)</f>
        <v>4.5185139398778871</v>
      </c>
      <c r="CE934" s="10" t="s">
        <v>743</v>
      </c>
      <c r="CF934" t="s">
        <v>896</v>
      </c>
      <c r="CG934" t="s">
        <v>651</v>
      </c>
      <c r="CH934" s="10" t="s">
        <v>886</v>
      </c>
    </row>
    <row r="935" spans="1:86" x14ac:dyDescent="0.3">
      <c r="A935">
        <v>1105</v>
      </c>
      <c r="B935" t="s">
        <v>393</v>
      </c>
      <c r="C935" t="s">
        <v>331</v>
      </c>
      <c r="D935" t="s">
        <v>904</v>
      </c>
      <c r="E935" t="s">
        <v>892</v>
      </c>
      <c r="F935" t="s">
        <v>577</v>
      </c>
      <c r="G935" t="s">
        <v>893</v>
      </c>
      <c r="I935" t="s">
        <v>770</v>
      </c>
      <c r="U935" t="s">
        <v>899</v>
      </c>
      <c r="V935" s="62">
        <f>0.56/29</f>
        <v>1.9310344827586208E-2</v>
      </c>
      <c r="W935">
        <v>1.4</v>
      </c>
      <c r="AF935" t="s">
        <v>895</v>
      </c>
      <c r="AI935">
        <v>294</v>
      </c>
      <c r="AP935">
        <v>14</v>
      </c>
      <c r="AQ935">
        <v>96</v>
      </c>
      <c r="AV935">
        <v>15</v>
      </c>
      <c r="BC935">
        <v>14</v>
      </c>
      <c r="BG935" t="s">
        <v>312</v>
      </c>
      <c r="BH935" t="s">
        <v>902</v>
      </c>
      <c r="BI935" s="10" t="s">
        <v>568</v>
      </c>
      <c r="BK935" s="10" t="s">
        <v>41</v>
      </c>
      <c r="BL935" s="17">
        <v>8.9</v>
      </c>
      <c r="BM935" s="52">
        <v>3</v>
      </c>
      <c r="BS935" s="10">
        <f>LOG(10400000000000)</f>
        <v>13.017033339298781</v>
      </c>
      <c r="BY935" s="10">
        <f>LOG(12900)</f>
        <v>4.1105897102992488</v>
      </c>
      <c r="CE935" s="10" t="s">
        <v>743</v>
      </c>
      <c r="CF935" t="s">
        <v>896</v>
      </c>
      <c r="CG935" t="s">
        <v>651</v>
      </c>
      <c r="CH935" s="10" t="s">
        <v>886</v>
      </c>
    </row>
    <row r="936" spans="1:86" x14ac:dyDescent="0.3">
      <c r="A936">
        <v>1106</v>
      </c>
      <c r="B936" t="s">
        <v>393</v>
      </c>
      <c r="C936" t="s">
        <v>331</v>
      </c>
      <c r="D936" t="s">
        <v>905</v>
      </c>
      <c r="E936" t="s">
        <v>892</v>
      </c>
      <c r="F936" t="s">
        <v>577</v>
      </c>
      <c r="G936" t="s">
        <v>893</v>
      </c>
      <c r="I936" t="s">
        <v>770</v>
      </c>
      <c r="U936" t="s">
        <v>899</v>
      </c>
      <c r="V936" s="62">
        <f>0.621/29</f>
        <v>2.1413793103448275E-2</v>
      </c>
      <c r="W936">
        <v>1.4</v>
      </c>
      <c r="AF936" t="s">
        <v>895</v>
      </c>
      <c r="AI936">
        <v>294</v>
      </c>
      <c r="AP936">
        <v>14</v>
      </c>
      <c r="AQ936">
        <v>96</v>
      </c>
      <c r="AV936">
        <v>15</v>
      </c>
      <c r="BC936">
        <v>14</v>
      </c>
      <c r="BG936" t="s">
        <v>312</v>
      </c>
      <c r="BH936" t="s">
        <v>902</v>
      </c>
      <c r="BI936" s="10" t="s">
        <v>568</v>
      </c>
      <c r="BK936" s="10" t="s">
        <v>41</v>
      </c>
      <c r="BL936" s="17">
        <v>8.9</v>
      </c>
      <c r="BM936" s="52">
        <v>3</v>
      </c>
      <c r="BS936" s="10">
        <f>LOG(7680000000000)</f>
        <v>12.885361220031513</v>
      </c>
      <c r="BY936" s="10">
        <f>LOG(10800)</f>
        <v>4.0334237554869494</v>
      </c>
      <c r="CE936" s="10" t="s">
        <v>743</v>
      </c>
      <c r="CF936" t="s">
        <v>896</v>
      </c>
      <c r="CG936" t="s">
        <v>651</v>
      </c>
      <c r="CH936" s="10" t="s">
        <v>886</v>
      </c>
    </row>
    <row r="937" spans="1:86" x14ac:dyDescent="0.3">
      <c r="A937">
        <v>1107</v>
      </c>
      <c r="B937" t="s">
        <v>393</v>
      </c>
      <c r="C937" t="s">
        <v>898</v>
      </c>
      <c r="D937" t="s">
        <v>906</v>
      </c>
      <c r="E937" t="s">
        <v>892</v>
      </c>
      <c r="F937" t="s">
        <v>577</v>
      </c>
      <c r="G937" t="s">
        <v>893</v>
      </c>
      <c r="I937" t="s">
        <v>770</v>
      </c>
      <c r="U937" t="s">
        <v>899</v>
      </c>
      <c r="V937" s="62">
        <f>0.912/30</f>
        <v>3.04E-2</v>
      </c>
      <c r="W937">
        <v>1.2</v>
      </c>
      <c r="AF937" t="s">
        <v>900</v>
      </c>
      <c r="AI937">
        <v>294</v>
      </c>
      <c r="AP937">
        <v>5.4</v>
      </c>
      <c r="AQ937">
        <v>96</v>
      </c>
      <c r="AV937">
        <v>15</v>
      </c>
      <c r="BC937">
        <v>5.4</v>
      </c>
      <c r="BG937" t="s">
        <v>312</v>
      </c>
      <c r="BH937" t="s">
        <v>902</v>
      </c>
      <c r="BI937" s="10" t="s">
        <v>568</v>
      </c>
      <c r="BK937" s="10" t="s">
        <v>41</v>
      </c>
      <c r="BL937" s="17">
        <v>1.4</v>
      </c>
      <c r="BM937" s="52">
        <v>3</v>
      </c>
      <c r="BS937" s="10">
        <f>LOG(4040000000000)</f>
        <v>12.606381365110606</v>
      </c>
      <c r="BY937" s="10">
        <f>LOG(174000000000)</f>
        <v>11.240549248282599</v>
      </c>
      <c r="CE937" s="10" t="s">
        <v>642</v>
      </c>
      <c r="CF937" t="s">
        <v>896</v>
      </c>
      <c r="CG937" t="s">
        <v>651</v>
      </c>
      <c r="CH937" s="10" t="s">
        <v>886</v>
      </c>
    </row>
    <row r="938" spans="1:86" x14ac:dyDescent="0.3">
      <c r="A938">
        <v>1108</v>
      </c>
      <c r="B938" t="s">
        <v>393</v>
      </c>
      <c r="C938" t="s">
        <v>898</v>
      </c>
      <c r="D938" t="s">
        <v>907</v>
      </c>
      <c r="E938" t="s">
        <v>892</v>
      </c>
      <c r="F938" t="s">
        <v>577</v>
      </c>
      <c r="G938" t="s">
        <v>893</v>
      </c>
      <c r="I938" t="s">
        <v>770</v>
      </c>
      <c r="U938" t="s">
        <v>899</v>
      </c>
      <c r="V938" s="62">
        <f>0.863/30</f>
        <v>2.8766666666666666E-2</v>
      </c>
      <c r="W938">
        <v>1.2</v>
      </c>
      <c r="AF938" t="s">
        <v>900</v>
      </c>
      <c r="AI938">
        <v>294</v>
      </c>
      <c r="AP938">
        <v>5.8</v>
      </c>
      <c r="AQ938">
        <v>96</v>
      </c>
      <c r="AV938">
        <v>15</v>
      </c>
      <c r="BC938">
        <v>5.8</v>
      </c>
      <c r="BG938" t="s">
        <v>312</v>
      </c>
      <c r="BH938" t="s">
        <v>902</v>
      </c>
      <c r="BI938" s="10" t="s">
        <v>568</v>
      </c>
      <c r="BK938" s="10" t="s">
        <v>41</v>
      </c>
      <c r="BL938" s="17">
        <v>3.1</v>
      </c>
      <c r="BM938" s="52">
        <v>3</v>
      </c>
      <c r="BS938" s="10">
        <f>LOG(4040000000000)</f>
        <v>12.606381365110606</v>
      </c>
      <c r="BY938" s="10">
        <f>LOG(2910000000)</f>
        <v>9.4638929889859078</v>
      </c>
      <c r="CE938" s="10" t="s">
        <v>642</v>
      </c>
      <c r="CF938" t="s">
        <v>896</v>
      </c>
      <c r="CG938" t="s">
        <v>651</v>
      </c>
      <c r="CH938" s="10" t="s">
        <v>886</v>
      </c>
    </row>
    <row r="939" spans="1:86" x14ac:dyDescent="0.3">
      <c r="A939">
        <v>1109</v>
      </c>
      <c r="B939" t="s">
        <v>393</v>
      </c>
      <c r="C939" t="s">
        <v>331</v>
      </c>
      <c r="D939" t="s">
        <v>908</v>
      </c>
      <c r="E939" t="s">
        <v>892</v>
      </c>
      <c r="F939" t="s">
        <v>577</v>
      </c>
      <c r="G939" t="s">
        <v>893</v>
      </c>
      <c r="I939" t="s">
        <v>770</v>
      </c>
      <c r="U939" t="s">
        <v>899</v>
      </c>
      <c r="V939" s="62">
        <f>0.977/29</f>
        <v>3.368965517241379E-2</v>
      </c>
      <c r="W939">
        <v>1.4</v>
      </c>
      <c r="AF939" t="s">
        <v>895</v>
      </c>
      <c r="AI939">
        <v>294</v>
      </c>
      <c r="AP939">
        <v>8</v>
      </c>
      <c r="AQ939">
        <v>96</v>
      </c>
      <c r="AV939">
        <v>15</v>
      </c>
      <c r="BC939">
        <v>8</v>
      </c>
      <c r="BG939" t="s">
        <v>312</v>
      </c>
      <c r="BH939" t="s">
        <v>902</v>
      </c>
      <c r="BI939" s="10" t="s">
        <v>568</v>
      </c>
      <c r="BK939" s="10" t="s">
        <v>41</v>
      </c>
      <c r="BL939" s="17">
        <v>5.6</v>
      </c>
      <c r="BM939" s="52">
        <v>3</v>
      </c>
      <c r="BS939" s="10">
        <f>LOG(4040000000000)</f>
        <v>12.606381365110606</v>
      </c>
      <c r="BY939" s="10">
        <f>LOG(11300000)</f>
        <v>7.0530784434834199</v>
      </c>
      <c r="CE939" s="10" t="s">
        <v>642</v>
      </c>
      <c r="CF939" t="s">
        <v>896</v>
      </c>
      <c r="CG939" t="s">
        <v>651</v>
      </c>
      <c r="CH939" s="10" t="s">
        <v>886</v>
      </c>
    </row>
    <row r="940" spans="1:86" x14ac:dyDescent="0.3">
      <c r="A940">
        <v>1110</v>
      </c>
      <c r="B940" t="s">
        <v>393</v>
      </c>
      <c r="C940" t="s">
        <v>898</v>
      </c>
      <c r="D940" t="s">
        <v>901</v>
      </c>
      <c r="E940" t="s">
        <v>892</v>
      </c>
      <c r="F940" t="s">
        <v>577</v>
      </c>
      <c r="G940" t="s">
        <v>893</v>
      </c>
      <c r="I940" t="s">
        <v>770</v>
      </c>
      <c r="U940" t="s">
        <v>899</v>
      </c>
      <c r="V940" s="62">
        <f t="shared" ref="V940:V946" si="33">V933</f>
        <v>3.5966666666666668E-2</v>
      </c>
      <c r="W940">
        <v>1.2</v>
      </c>
      <c r="AF940" t="s">
        <v>900</v>
      </c>
      <c r="AI940">
        <v>294</v>
      </c>
      <c r="AP940">
        <f t="shared" ref="AP940:AP946" si="34">AP933</f>
        <v>14.9</v>
      </c>
      <c r="AQ940">
        <v>96</v>
      </c>
      <c r="AV940">
        <v>15</v>
      </c>
      <c r="BG940" t="s">
        <v>312</v>
      </c>
      <c r="BH940" t="s">
        <v>691</v>
      </c>
      <c r="BI940" s="10" t="s">
        <v>568</v>
      </c>
      <c r="BK940" s="10" t="s">
        <v>41</v>
      </c>
      <c r="BL940" s="17">
        <v>4.0999999999999996</v>
      </c>
      <c r="BM940" s="52">
        <v>3</v>
      </c>
      <c r="BS940" s="10">
        <f>LOG(440000)</f>
        <v>5.6434526764861879</v>
      </c>
      <c r="BT940" s="10">
        <f>LOG(310000)</f>
        <v>5.4913616938342731</v>
      </c>
      <c r="BY940" s="10">
        <f>LOG(35)</f>
        <v>1.5440680443502757</v>
      </c>
      <c r="CE940" s="10" t="s">
        <v>647</v>
      </c>
      <c r="CG940" t="s">
        <v>651</v>
      </c>
      <c r="CH940" s="10" t="s">
        <v>886</v>
      </c>
    </row>
    <row r="941" spans="1:86" x14ac:dyDescent="0.3">
      <c r="A941">
        <v>1111</v>
      </c>
      <c r="B941" t="s">
        <v>393</v>
      </c>
      <c r="C941" t="s">
        <v>898</v>
      </c>
      <c r="D941" t="s">
        <v>903</v>
      </c>
      <c r="E941" t="s">
        <v>892</v>
      </c>
      <c r="F941" t="s">
        <v>577</v>
      </c>
      <c r="G941" t="s">
        <v>893</v>
      </c>
      <c r="I941" t="s">
        <v>770</v>
      </c>
      <c r="U941" t="s">
        <v>899</v>
      </c>
      <c r="V941" s="62">
        <f t="shared" si="33"/>
        <v>3.1033333333333336E-2</v>
      </c>
      <c r="W941">
        <v>1.2</v>
      </c>
      <c r="AF941" t="s">
        <v>900</v>
      </c>
      <c r="AI941">
        <v>294</v>
      </c>
      <c r="AP941">
        <f t="shared" si="34"/>
        <v>14.4</v>
      </c>
      <c r="AQ941">
        <v>96</v>
      </c>
      <c r="AV941">
        <v>15</v>
      </c>
      <c r="BG941" t="s">
        <v>312</v>
      </c>
      <c r="BH941" t="s">
        <v>691</v>
      </c>
      <c r="BI941" s="10" t="s">
        <v>568</v>
      </c>
      <c r="BK941" s="10" t="s">
        <v>41</v>
      </c>
      <c r="BL941" s="17">
        <v>3.9</v>
      </c>
      <c r="BM941" s="52">
        <v>3</v>
      </c>
      <c r="BS941" s="10">
        <f>LOG(440000)</f>
        <v>5.6434526764861879</v>
      </c>
      <c r="BT941" s="10">
        <f>LOG(310000)</f>
        <v>5.4913616938342731</v>
      </c>
      <c r="BY941" s="10">
        <f>LOG(60)</f>
        <v>1.7781512503836436</v>
      </c>
      <c r="CE941" s="10" t="s">
        <v>647</v>
      </c>
      <c r="CG941" t="s">
        <v>651</v>
      </c>
      <c r="CH941" s="10" t="s">
        <v>886</v>
      </c>
    </row>
    <row r="942" spans="1:86" x14ac:dyDescent="0.3">
      <c r="A942">
        <v>1112</v>
      </c>
      <c r="B942" t="s">
        <v>393</v>
      </c>
      <c r="C942" t="s">
        <v>331</v>
      </c>
      <c r="D942" t="s">
        <v>904</v>
      </c>
      <c r="E942" t="s">
        <v>892</v>
      </c>
      <c r="F942" t="s">
        <v>577</v>
      </c>
      <c r="G942" t="s">
        <v>893</v>
      </c>
      <c r="I942" t="s">
        <v>770</v>
      </c>
      <c r="U942" t="s">
        <v>899</v>
      </c>
      <c r="V942" s="62">
        <f t="shared" si="33"/>
        <v>1.9310344827586208E-2</v>
      </c>
      <c r="W942">
        <v>1.4</v>
      </c>
      <c r="AF942" t="s">
        <v>895</v>
      </c>
      <c r="AI942">
        <v>294</v>
      </c>
      <c r="AP942">
        <f t="shared" si="34"/>
        <v>14</v>
      </c>
      <c r="AQ942">
        <v>96</v>
      </c>
      <c r="AV942">
        <v>15</v>
      </c>
      <c r="BG942" t="s">
        <v>312</v>
      </c>
      <c r="BH942" t="s">
        <v>691</v>
      </c>
      <c r="BI942" s="10" t="s">
        <v>568</v>
      </c>
      <c r="BK942" s="10" t="s">
        <v>41</v>
      </c>
      <c r="BL942" s="17">
        <v>4.5</v>
      </c>
      <c r="BM942" s="52">
        <v>3</v>
      </c>
      <c r="BS942" s="10">
        <f>LOG(200000)</f>
        <v>5.3010299956639813</v>
      </c>
      <c r="BT942" s="10">
        <f>LOG(320000)</f>
        <v>5.5051499783199063</v>
      </c>
      <c r="BY942" s="10">
        <f>LOG(6)</f>
        <v>0.77815125038364363</v>
      </c>
      <c r="BZ942" s="10">
        <f>LOG(4)</f>
        <v>0.6020599913279624</v>
      </c>
      <c r="CE942" s="10" t="s">
        <v>647</v>
      </c>
      <c r="CG942" t="s">
        <v>651</v>
      </c>
      <c r="CH942" s="10" t="s">
        <v>886</v>
      </c>
    </row>
    <row r="943" spans="1:86" x14ac:dyDescent="0.3">
      <c r="A943">
        <v>1113</v>
      </c>
      <c r="B943" t="s">
        <v>393</v>
      </c>
      <c r="C943" t="s">
        <v>331</v>
      </c>
      <c r="D943" t="s">
        <v>905</v>
      </c>
      <c r="E943" t="s">
        <v>892</v>
      </c>
      <c r="F943" t="s">
        <v>577</v>
      </c>
      <c r="G943" t="s">
        <v>893</v>
      </c>
      <c r="I943" t="s">
        <v>770</v>
      </c>
      <c r="U943" t="s">
        <v>899</v>
      </c>
      <c r="V943" s="62">
        <f t="shared" si="33"/>
        <v>2.1413793103448275E-2</v>
      </c>
      <c r="W943">
        <v>1.4</v>
      </c>
      <c r="AF943" t="s">
        <v>895</v>
      </c>
      <c r="AI943">
        <v>294</v>
      </c>
      <c r="AP943">
        <f t="shared" si="34"/>
        <v>14</v>
      </c>
      <c r="AQ943">
        <v>96</v>
      </c>
      <c r="AV943">
        <v>15</v>
      </c>
      <c r="BG943" t="s">
        <v>312</v>
      </c>
      <c r="BH943" t="s">
        <v>691</v>
      </c>
      <c r="BI943" s="10" t="s">
        <v>568</v>
      </c>
      <c r="BK943" s="10" t="s">
        <v>41</v>
      </c>
      <c r="BL943" s="17">
        <v>4.5</v>
      </c>
      <c r="BM943" s="52">
        <v>3</v>
      </c>
      <c r="BS943" s="10">
        <f>LOG(200000)</f>
        <v>5.3010299956639813</v>
      </c>
      <c r="BT943" s="10">
        <f>LOG(320000)</f>
        <v>5.5051499783199063</v>
      </c>
      <c r="BY943" s="10">
        <f>LOG(6)</f>
        <v>0.77815125038364363</v>
      </c>
      <c r="BZ943" s="10">
        <f>LOG(13)</f>
        <v>1.1139433523068367</v>
      </c>
      <c r="CE943" s="10" t="s">
        <v>647</v>
      </c>
      <c r="CG943" t="s">
        <v>651</v>
      </c>
      <c r="CH943" s="10" t="s">
        <v>886</v>
      </c>
    </row>
    <row r="944" spans="1:86" x14ac:dyDescent="0.3">
      <c r="A944">
        <v>1114</v>
      </c>
      <c r="B944" t="s">
        <v>393</v>
      </c>
      <c r="C944" t="s">
        <v>898</v>
      </c>
      <c r="D944" t="s">
        <v>906</v>
      </c>
      <c r="E944" t="s">
        <v>892</v>
      </c>
      <c r="F944" t="s">
        <v>577</v>
      </c>
      <c r="G944" t="s">
        <v>893</v>
      </c>
      <c r="I944" t="s">
        <v>770</v>
      </c>
      <c r="U944" t="s">
        <v>899</v>
      </c>
      <c r="V944" s="62">
        <f t="shared" si="33"/>
        <v>3.04E-2</v>
      </c>
      <c r="W944">
        <v>1.2</v>
      </c>
      <c r="AF944" t="s">
        <v>900</v>
      </c>
      <c r="AI944">
        <v>294</v>
      </c>
      <c r="AP944">
        <f t="shared" si="34"/>
        <v>5.4</v>
      </c>
      <c r="AQ944">
        <v>96</v>
      </c>
      <c r="AV944">
        <v>15</v>
      </c>
      <c r="BG944" t="s">
        <v>312</v>
      </c>
      <c r="BH944" t="s">
        <v>691</v>
      </c>
      <c r="BI944" s="10" t="s">
        <v>568</v>
      </c>
      <c r="BK944" s="10" t="s">
        <v>41</v>
      </c>
      <c r="BL944" s="17">
        <v>3.4</v>
      </c>
      <c r="BM944" s="52">
        <v>3</v>
      </c>
      <c r="BS944" s="10">
        <f>LOG(270000)</f>
        <v>5.4313637641589869</v>
      </c>
      <c r="BT944" s="10">
        <f>LOG(400000)</f>
        <v>5.6020599913279625</v>
      </c>
      <c r="BY944" s="10">
        <f>LOG(110)</f>
        <v>2.0413926851582249</v>
      </c>
      <c r="BZ944" s="10">
        <f>LOG(45)</f>
        <v>1.6532125137753437</v>
      </c>
      <c r="CE944" s="10" t="s">
        <v>647</v>
      </c>
      <c r="CG944" t="s">
        <v>651</v>
      </c>
      <c r="CH944" s="10" t="s">
        <v>886</v>
      </c>
    </row>
    <row r="945" spans="1:86" x14ac:dyDescent="0.3">
      <c r="A945">
        <v>1115</v>
      </c>
      <c r="B945" t="s">
        <v>393</v>
      </c>
      <c r="C945" t="s">
        <v>898</v>
      </c>
      <c r="D945" t="s">
        <v>907</v>
      </c>
      <c r="E945" t="s">
        <v>892</v>
      </c>
      <c r="F945" t="s">
        <v>577</v>
      </c>
      <c r="G945" t="s">
        <v>893</v>
      </c>
      <c r="I945" t="s">
        <v>770</v>
      </c>
      <c r="U945" t="s">
        <v>899</v>
      </c>
      <c r="V945" s="62">
        <f t="shared" si="33"/>
        <v>2.8766666666666666E-2</v>
      </c>
      <c r="W945">
        <v>1.2</v>
      </c>
      <c r="AF945" t="s">
        <v>900</v>
      </c>
      <c r="AI945">
        <v>294</v>
      </c>
      <c r="AP945">
        <f t="shared" si="34"/>
        <v>5.8</v>
      </c>
      <c r="AQ945">
        <v>96</v>
      </c>
      <c r="AV945">
        <v>15</v>
      </c>
      <c r="BG945" t="s">
        <v>312</v>
      </c>
      <c r="BH945" t="s">
        <v>691</v>
      </c>
      <c r="BI945" s="10" t="s">
        <v>568</v>
      </c>
      <c r="BK945" s="10" t="s">
        <v>41</v>
      </c>
      <c r="BL945" s="17">
        <v>3.3</v>
      </c>
      <c r="BM945" s="52">
        <v>3</v>
      </c>
      <c r="BS945" s="10">
        <f>LOG(270000)</f>
        <v>5.4313637641589869</v>
      </c>
      <c r="BT945" s="10">
        <f>LOG(400000)</f>
        <v>5.6020599913279625</v>
      </c>
      <c r="BY945" s="10">
        <f>LOG(200)</f>
        <v>2.3010299956639813</v>
      </c>
      <c r="BZ945" s="10">
        <f>LOG(52)</f>
        <v>1.7160033436347992</v>
      </c>
      <c r="CE945" s="10" t="s">
        <v>647</v>
      </c>
      <c r="CG945" t="s">
        <v>651</v>
      </c>
      <c r="CH945" s="10" t="s">
        <v>886</v>
      </c>
    </row>
    <row r="946" spans="1:86" x14ac:dyDescent="0.3">
      <c r="A946">
        <v>1116</v>
      </c>
      <c r="B946" t="s">
        <v>393</v>
      </c>
      <c r="C946" t="s">
        <v>331</v>
      </c>
      <c r="D946" t="s">
        <v>908</v>
      </c>
      <c r="E946" t="s">
        <v>892</v>
      </c>
      <c r="F946" t="s">
        <v>577</v>
      </c>
      <c r="G946" t="s">
        <v>893</v>
      </c>
      <c r="I946" t="s">
        <v>770</v>
      </c>
      <c r="U946" t="s">
        <v>899</v>
      </c>
      <c r="V946" s="62">
        <f t="shared" si="33"/>
        <v>3.368965517241379E-2</v>
      </c>
      <c r="W946">
        <v>1.4</v>
      </c>
      <c r="AF946" t="s">
        <v>895</v>
      </c>
      <c r="AI946">
        <v>294</v>
      </c>
      <c r="AP946">
        <f t="shared" si="34"/>
        <v>8</v>
      </c>
      <c r="AQ946">
        <v>96</v>
      </c>
      <c r="AV946">
        <v>15</v>
      </c>
      <c r="BG946" t="s">
        <v>312</v>
      </c>
      <c r="BH946" t="s">
        <v>691</v>
      </c>
      <c r="BI946" s="10" t="s">
        <v>568</v>
      </c>
      <c r="BK946" s="10" t="s">
        <v>41</v>
      </c>
      <c r="BL946" s="17">
        <v>4.9000000000000004</v>
      </c>
      <c r="BM946" s="52">
        <v>3</v>
      </c>
      <c r="BS946" s="10">
        <f>LOG(310000)</f>
        <v>5.4913616938342731</v>
      </c>
      <c r="BT946" s="10">
        <f>LOG(410000)</f>
        <v>5.6127838567197355</v>
      </c>
      <c r="BY946" s="10">
        <f>LOG(4)</f>
        <v>0.6020599913279624</v>
      </c>
      <c r="BZ946" s="10">
        <f>LOG(11)</f>
        <v>1.0413926851582251</v>
      </c>
      <c r="CE946" s="10" t="s">
        <v>647</v>
      </c>
      <c r="CG946" t="s">
        <v>651</v>
      </c>
      <c r="CH946" s="10" t="s">
        <v>886</v>
      </c>
    </row>
    <row r="947" spans="1:86" x14ac:dyDescent="0.3">
      <c r="A947">
        <v>1117</v>
      </c>
      <c r="B947" t="s">
        <v>393</v>
      </c>
      <c r="C947" t="s">
        <v>331</v>
      </c>
      <c r="D947" t="s">
        <v>909</v>
      </c>
      <c r="E947" t="s">
        <v>892</v>
      </c>
      <c r="F947" t="s">
        <v>577</v>
      </c>
      <c r="G947" t="s">
        <v>893</v>
      </c>
      <c r="I947" t="s">
        <v>770</v>
      </c>
      <c r="U947" t="s">
        <v>899</v>
      </c>
      <c r="V947" s="62">
        <f>V946</f>
        <v>3.368965517241379E-2</v>
      </c>
      <c r="W947">
        <v>1.4</v>
      </c>
      <c r="AF947" t="s">
        <v>895</v>
      </c>
      <c r="AI947">
        <v>294</v>
      </c>
      <c r="AP947">
        <f>AP946</f>
        <v>8</v>
      </c>
      <c r="AQ947">
        <v>96</v>
      </c>
      <c r="AV947">
        <v>15</v>
      </c>
      <c r="BG947" t="s">
        <v>312</v>
      </c>
      <c r="BH947" t="s">
        <v>691</v>
      </c>
      <c r="BI947" s="10" t="s">
        <v>568</v>
      </c>
      <c r="BK947" s="10" t="s">
        <v>41</v>
      </c>
      <c r="BL947" s="17">
        <v>4.8</v>
      </c>
      <c r="BM947" s="52">
        <v>3</v>
      </c>
      <c r="BS947" s="10">
        <f>LOG(310000)</f>
        <v>5.4913616938342731</v>
      </c>
      <c r="BT947" s="10">
        <f>LOG(410000)</f>
        <v>5.6127838567197355</v>
      </c>
      <c r="BY947" s="10">
        <f>LOG(5)</f>
        <v>0.69897000433601886</v>
      </c>
      <c r="BZ947" s="10">
        <f>LOG(2)</f>
        <v>0.3010299956639812</v>
      </c>
      <c r="CE947" s="10" t="s">
        <v>647</v>
      </c>
      <c r="CG947" t="s">
        <v>651</v>
      </c>
      <c r="CH947" s="10" t="s">
        <v>886</v>
      </c>
    </row>
    <row r="948" spans="1:86" x14ac:dyDescent="0.3">
      <c r="A948">
        <v>1118</v>
      </c>
      <c r="B948" t="s">
        <v>394</v>
      </c>
      <c r="C948" t="s">
        <v>352</v>
      </c>
      <c r="D948" t="s">
        <v>910</v>
      </c>
      <c r="E948" t="s">
        <v>911</v>
      </c>
      <c r="F948" t="s">
        <v>577</v>
      </c>
      <c r="G948" t="s">
        <v>789</v>
      </c>
      <c r="I948" t="s">
        <v>881</v>
      </c>
      <c r="U948" t="s">
        <v>882</v>
      </c>
      <c r="V948">
        <v>1.4039999999999999</v>
      </c>
      <c r="W948">
        <v>0.5</v>
      </c>
      <c r="X948" t="s">
        <v>912</v>
      </c>
      <c r="Y948">
        <v>0.36</v>
      </c>
      <c r="AC948" t="s">
        <v>913</v>
      </c>
      <c r="AD948" t="s">
        <v>914</v>
      </c>
      <c r="AE948" t="s">
        <v>915</v>
      </c>
      <c r="BG948" t="s">
        <v>312</v>
      </c>
      <c r="BH948" t="s">
        <v>314</v>
      </c>
      <c r="BI948" s="10" t="s">
        <v>568</v>
      </c>
      <c r="BK948" s="10" t="s">
        <v>41</v>
      </c>
      <c r="BL948" s="17">
        <v>2.7</v>
      </c>
      <c r="BS948" s="10">
        <f>LOG(8900)</f>
        <v>3.9493900066449128</v>
      </c>
      <c r="BT948" s="10">
        <f>LOG(8200)</f>
        <v>3.9138138523837167</v>
      </c>
      <c r="CE948" s="10" t="s">
        <v>916</v>
      </c>
      <c r="CG948" t="s">
        <v>651</v>
      </c>
      <c r="CH948" t="s">
        <v>786</v>
      </c>
    </row>
    <row r="949" spans="1:86" x14ac:dyDescent="0.3">
      <c r="A949">
        <v>1119</v>
      </c>
      <c r="B949" t="s">
        <v>394</v>
      </c>
      <c r="C949" t="s">
        <v>352</v>
      </c>
      <c r="D949" t="s">
        <v>917</v>
      </c>
      <c r="E949" t="s">
        <v>911</v>
      </c>
      <c r="F949" t="s">
        <v>577</v>
      </c>
      <c r="G949" t="s">
        <v>789</v>
      </c>
      <c r="I949" t="s">
        <v>881</v>
      </c>
      <c r="U949" t="s">
        <v>882</v>
      </c>
      <c r="V949">
        <v>1.4039999999999999</v>
      </c>
      <c r="W949">
        <v>0.5</v>
      </c>
      <c r="X949" t="s">
        <v>912</v>
      </c>
      <c r="Y949">
        <v>0.36</v>
      </c>
      <c r="AC949" t="s">
        <v>913</v>
      </c>
      <c r="AD949" t="s">
        <v>914</v>
      </c>
      <c r="AE949" t="s">
        <v>915</v>
      </c>
      <c r="BG949" t="s">
        <v>312</v>
      </c>
      <c r="BH949" t="s">
        <v>314</v>
      </c>
      <c r="BI949" s="10" t="s">
        <v>568</v>
      </c>
      <c r="BK949" s="10" t="s">
        <v>41</v>
      </c>
      <c r="BL949" s="17">
        <v>3.9</v>
      </c>
      <c r="BS949" s="10">
        <f>LOG(8900)</f>
        <v>3.9493900066449128</v>
      </c>
      <c r="BT949" s="10">
        <f>LOG(8200)</f>
        <v>3.9138138523837167</v>
      </c>
      <c r="CE949" s="10" t="s">
        <v>916</v>
      </c>
      <c r="CG949" t="s">
        <v>651</v>
      </c>
      <c r="CH949" t="s">
        <v>786</v>
      </c>
    </row>
    <row r="950" spans="1:86" x14ac:dyDescent="0.3">
      <c r="A950">
        <v>1120</v>
      </c>
      <c r="B950" t="s">
        <v>394</v>
      </c>
      <c r="C950" t="s">
        <v>352</v>
      </c>
      <c r="D950" t="s">
        <v>918</v>
      </c>
      <c r="E950" t="s">
        <v>911</v>
      </c>
      <c r="F950" t="s">
        <v>577</v>
      </c>
      <c r="G950" t="s">
        <v>789</v>
      </c>
      <c r="I950" t="s">
        <v>881</v>
      </c>
      <c r="U950" t="s">
        <v>882</v>
      </c>
      <c r="V950">
        <v>1.4039999999999999</v>
      </c>
      <c r="W950">
        <v>0.5</v>
      </c>
      <c r="X950" t="s">
        <v>912</v>
      </c>
      <c r="Y950">
        <v>0.36</v>
      </c>
      <c r="AC950" t="s">
        <v>913</v>
      </c>
      <c r="AD950" t="s">
        <v>914</v>
      </c>
      <c r="AE950" t="s">
        <v>915</v>
      </c>
      <c r="BG950" t="s">
        <v>312</v>
      </c>
      <c r="BH950" t="s">
        <v>314</v>
      </c>
      <c r="BI950" s="10" t="s">
        <v>568</v>
      </c>
      <c r="BK950" s="10" t="s">
        <v>41</v>
      </c>
      <c r="BL950" s="17">
        <v>4.7</v>
      </c>
      <c r="BS950" s="10">
        <f>LOG(8900)</f>
        <v>3.9493900066449128</v>
      </c>
      <c r="BT950" s="10">
        <f>LOG(8200)</f>
        <v>3.9138138523837167</v>
      </c>
      <c r="CE950" s="10" t="s">
        <v>916</v>
      </c>
      <c r="CG950" t="s">
        <v>651</v>
      </c>
      <c r="CH950" t="s">
        <v>786</v>
      </c>
    </row>
    <row r="951" spans="1:86" x14ac:dyDescent="0.3">
      <c r="A951">
        <v>1121</v>
      </c>
      <c r="B951" t="s">
        <v>394</v>
      </c>
      <c r="C951" t="s">
        <v>352</v>
      </c>
      <c r="D951" t="s">
        <v>910</v>
      </c>
      <c r="E951" t="s">
        <v>911</v>
      </c>
      <c r="F951" t="s">
        <v>577</v>
      </c>
      <c r="G951" t="s">
        <v>789</v>
      </c>
      <c r="I951" t="s">
        <v>881</v>
      </c>
      <c r="U951" t="s">
        <v>882</v>
      </c>
      <c r="V951">
        <v>1.4039999999999999</v>
      </c>
      <c r="W951">
        <v>0.5</v>
      </c>
      <c r="X951" t="s">
        <v>912</v>
      </c>
      <c r="Y951">
        <v>0.36</v>
      </c>
      <c r="AC951" t="s">
        <v>913</v>
      </c>
      <c r="AD951" t="s">
        <v>914</v>
      </c>
      <c r="AE951" t="s">
        <v>915</v>
      </c>
      <c r="BG951" t="s">
        <v>312</v>
      </c>
      <c r="BH951" t="s">
        <v>779</v>
      </c>
      <c r="BI951" s="10" t="s">
        <v>568</v>
      </c>
      <c r="BK951" s="10" t="s">
        <v>41</v>
      </c>
      <c r="BL951" s="17">
        <v>2.4</v>
      </c>
      <c r="BS951" s="10">
        <f>LOG(2100)</f>
        <v>3.3222192947339191</v>
      </c>
      <c r="BT951" s="10">
        <f>LOG(2000)</f>
        <v>3.3010299956639813</v>
      </c>
      <c r="CE951" s="10" t="s">
        <v>916</v>
      </c>
      <c r="CG951" t="s">
        <v>651</v>
      </c>
      <c r="CH951" t="s">
        <v>786</v>
      </c>
    </row>
    <row r="952" spans="1:86" x14ac:dyDescent="0.3">
      <c r="A952">
        <v>1122</v>
      </c>
      <c r="B952" t="s">
        <v>394</v>
      </c>
      <c r="C952" t="s">
        <v>352</v>
      </c>
      <c r="D952" t="s">
        <v>917</v>
      </c>
      <c r="E952" t="s">
        <v>911</v>
      </c>
      <c r="F952" t="s">
        <v>577</v>
      </c>
      <c r="G952" t="s">
        <v>789</v>
      </c>
      <c r="I952" t="s">
        <v>881</v>
      </c>
      <c r="U952" t="s">
        <v>882</v>
      </c>
      <c r="V952">
        <v>1.4039999999999999</v>
      </c>
      <c r="W952">
        <v>0.5</v>
      </c>
      <c r="X952" t="s">
        <v>912</v>
      </c>
      <c r="Y952">
        <v>0.36</v>
      </c>
      <c r="AC952" t="s">
        <v>913</v>
      </c>
      <c r="AD952" t="s">
        <v>914</v>
      </c>
      <c r="AE952" t="s">
        <v>915</v>
      </c>
      <c r="BG952" t="s">
        <v>312</v>
      </c>
      <c r="BH952" t="s">
        <v>779</v>
      </c>
      <c r="BI952" s="10" t="s">
        <v>568</v>
      </c>
      <c r="BK952" s="10" t="s">
        <v>41</v>
      </c>
      <c r="BL952" s="17">
        <v>2.1</v>
      </c>
      <c r="BS952" s="10">
        <f>LOG(2100)</f>
        <v>3.3222192947339191</v>
      </c>
      <c r="BT952" s="10">
        <f>LOG(2000)</f>
        <v>3.3010299956639813</v>
      </c>
      <c r="CE952" s="10" t="s">
        <v>916</v>
      </c>
      <c r="CG952" t="s">
        <v>651</v>
      </c>
      <c r="CH952" t="s">
        <v>786</v>
      </c>
    </row>
    <row r="953" spans="1:86" x14ac:dyDescent="0.3">
      <c r="A953">
        <v>1123</v>
      </c>
      <c r="B953" t="s">
        <v>394</v>
      </c>
      <c r="C953" t="s">
        <v>352</v>
      </c>
      <c r="D953" t="s">
        <v>918</v>
      </c>
      <c r="E953" t="s">
        <v>911</v>
      </c>
      <c r="F953" t="s">
        <v>577</v>
      </c>
      <c r="G953" t="s">
        <v>789</v>
      </c>
      <c r="I953" t="s">
        <v>881</v>
      </c>
      <c r="U953" t="s">
        <v>882</v>
      </c>
      <c r="V953">
        <v>1.4039999999999999</v>
      </c>
      <c r="W953">
        <v>0.5</v>
      </c>
      <c r="X953" t="s">
        <v>912</v>
      </c>
      <c r="Y953">
        <v>0.36</v>
      </c>
      <c r="AC953" t="s">
        <v>913</v>
      </c>
      <c r="AD953" t="s">
        <v>914</v>
      </c>
      <c r="AE953" t="s">
        <v>915</v>
      </c>
      <c r="BG953" t="s">
        <v>312</v>
      </c>
      <c r="BH953" t="s">
        <v>779</v>
      </c>
      <c r="BI953" s="10" t="s">
        <v>568</v>
      </c>
      <c r="BK953" s="10" t="s">
        <v>41</v>
      </c>
      <c r="BL953" s="17">
        <v>2.1</v>
      </c>
      <c r="BS953" s="10">
        <f>LOG(2100)</f>
        <v>3.3222192947339191</v>
      </c>
      <c r="BT953" s="10">
        <f>LOG(2000)</f>
        <v>3.3010299956639813</v>
      </c>
      <c r="CE953" s="10" t="s">
        <v>916</v>
      </c>
      <c r="CG953" t="s">
        <v>651</v>
      </c>
      <c r="CH953" t="s">
        <v>786</v>
      </c>
    </row>
    <row r="954" spans="1:86" x14ac:dyDescent="0.3">
      <c r="A954">
        <v>1124</v>
      </c>
      <c r="B954" t="s">
        <v>1150</v>
      </c>
      <c r="C954" t="s">
        <v>351</v>
      </c>
      <c r="D954" t="s">
        <v>919</v>
      </c>
      <c r="E954" t="s">
        <v>920</v>
      </c>
      <c r="F954" t="s">
        <v>577</v>
      </c>
      <c r="G954" t="s">
        <v>921</v>
      </c>
      <c r="I954" t="s">
        <v>770</v>
      </c>
      <c r="J954" t="s">
        <v>922</v>
      </c>
      <c r="K954">
        <v>0.05</v>
      </c>
      <c r="BF954">
        <v>99.998000000000005</v>
      </c>
      <c r="BG954" t="s">
        <v>312</v>
      </c>
      <c r="BH954" t="s">
        <v>691</v>
      </c>
      <c r="BK954" s="10" t="s">
        <v>41</v>
      </c>
      <c r="BL954" s="17">
        <f t="shared" ref="BL954:BL959" si="35">LOG10(1/(1-BF954/100))</f>
        <v>4.6989700043379949</v>
      </c>
      <c r="BM954" s="52">
        <v>3</v>
      </c>
      <c r="BN954" s="17">
        <v>1.3029029893486473E-5</v>
      </c>
      <c r="BO954" s="17"/>
      <c r="BP954" s="17"/>
      <c r="BQ954" s="17"/>
      <c r="CE954" s="10" t="s">
        <v>743</v>
      </c>
      <c r="CF954" t="s">
        <v>923</v>
      </c>
      <c r="CG954" t="s">
        <v>651</v>
      </c>
      <c r="CH954" t="s">
        <v>786</v>
      </c>
    </row>
    <row r="955" spans="1:86" x14ac:dyDescent="0.3">
      <c r="A955">
        <v>1126</v>
      </c>
      <c r="B955" t="s">
        <v>1150</v>
      </c>
      <c r="C955" t="s">
        <v>340</v>
      </c>
      <c r="D955" t="s">
        <v>924</v>
      </c>
      <c r="E955" t="s">
        <v>920</v>
      </c>
      <c r="F955" t="s">
        <v>577</v>
      </c>
      <c r="G955" t="s">
        <v>921</v>
      </c>
      <c r="I955" t="s">
        <v>770</v>
      </c>
      <c r="J955" t="s">
        <v>922</v>
      </c>
      <c r="K955">
        <v>0.2</v>
      </c>
      <c r="BF955">
        <v>99.81</v>
      </c>
      <c r="BG955" t="s">
        <v>312</v>
      </c>
      <c r="BH955" t="s">
        <v>691</v>
      </c>
      <c r="BK955" s="10" t="s">
        <v>41</v>
      </c>
      <c r="BL955" s="17">
        <f t="shared" si="35"/>
        <v>2.721246399047168</v>
      </c>
      <c r="BM955" s="52">
        <v>3</v>
      </c>
      <c r="BN955" s="17">
        <v>1.4355417390583352E-3</v>
      </c>
      <c r="BO955" s="17"/>
      <c r="BP955" s="17"/>
      <c r="BQ955" s="17"/>
      <c r="CE955" s="10" t="s">
        <v>743</v>
      </c>
      <c r="CF955" t="s">
        <v>923</v>
      </c>
      <c r="CG955" t="s">
        <v>651</v>
      </c>
      <c r="CH955" t="s">
        <v>786</v>
      </c>
    </row>
    <row r="956" spans="1:86" x14ac:dyDescent="0.3">
      <c r="A956">
        <v>1128</v>
      </c>
      <c r="B956" t="s">
        <v>1150</v>
      </c>
      <c r="C956" t="s">
        <v>334</v>
      </c>
      <c r="D956" t="s">
        <v>925</v>
      </c>
      <c r="E956" t="s">
        <v>920</v>
      </c>
      <c r="F956" t="s">
        <v>577</v>
      </c>
      <c r="G956" t="s">
        <v>789</v>
      </c>
      <c r="I956" t="s">
        <v>770</v>
      </c>
      <c r="U956" t="s">
        <v>899</v>
      </c>
      <c r="X956" t="s">
        <v>926</v>
      </c>
      <c r="Y956">
        <v>0.8</v>
      </c>
      <c r="BF956">
        <v>36.880000000000003</v>
      </c>
      <c r="BG956" t="s">
        <v>312</v>
      </c>
      <c r="BH956" t="s">
        <v>691</v>
      </c>
      <c r="BK956" s="10" t="s">
        <v>41</v>
      </c>
      <c r="BL956" s="17">
        <f t="shared" si="35"/>
        <v>0.19983300979863614</v>
      </c>
      <c r="BM956" s="52">
        <v>3</v>
      </c>
      <c r="BN956" s="17">
        <v>0.12285911021517902</v>
      </c>
      <c r="BO956" s="17"/>
      <c r="BP956" s="17"/>
      <c r="BQ956" s="17"/>
      <c r="CE956" s="10" t="s">
        <v>743</v>
      </c>
      <c r="CF956" t="s">
        <v>923</v>
      </c>
      <c r="CG956" t="s">
        <v>651</v>
      </c>
      <c r="CH956" t="s">
        <v>786</v>
      </c>
    </row>
    <row r="957" spans="1:86" x14ac:dyDescent="0.3">
      <c r="A957">
        <v>1129</v>
      </c>
      <c r="B957" t="s">
        <v>1150</v>
      </c>
      <c r="C957" t="s">
        <v>334</v>
      </c>
      <c r="D957" t="s">
        <v>925</v>
      </c>
      <c r="E957" t="s">
        <v>920</v>
      </c>
      <c r="F957" t="s">
        <v>577</v>
      </c>
      <c r="G957" t="s">
        <v>789</v>
      </c>
      <c r="I957" t="s">
        <v>770</v>
      </c>
      <c r="U957" t="s">
        <v>899</v>
      </c>
      <c r="X957" t="s">
        <v>926</v>
      </c>
      <c r="Y957">
        <v>0.8</v>
      </c>
      <c r="BF957">
        <v>34.1</v>
      </c>
      <c r="BG957" t="s">
        <v>312</v>
      </c>
      <c r="BH957" t="s">
        <v>314</v>
      </c>
      <c r="BK957" s="10" t="s">
        <v>41</v>
      </c>
      <c r="BL957" s="17">
        <f t="shared" si="35"/>
        <v>0.1811145854059901</v>
      </c>
      <c r="BM957" s="52">
        <v>3</v>
      </c>
      <c r="BN957" s="17">
        <v>0.1819721581407438</v>
      </c>
      <c r="BO957" s="17"/>
      <c r="BP957" s="17"/>
      <c r="BQ957" s="17"/>
      <c r="CE957" s="10" t="s">
        <v>743</v>
      </c>
      <c r="CF957" t="s">
        <v>923</v>
      </c>
      <c r="CG957" t="s">
        <v>651</v>
      </c>
      <c r="CH957" t="s">
        <v>786</v>
      </c>
    </row>
    <row r="958" spans="1:86" x14ac:dyDescent="0.3">
      <c r="A958">
        <v>1130</v>
      </c>
      <c r="B958" t="s">
        <v>1150</v>
      </c>
      <c r="C958" t="s">
        <v>386</v>
      </c>
      <c r="D958" t="s">
        <v>927</v>
      </c>
      <c r="E958" t="s">
        <v>920</v>
      </c>
      <c r="F958" t="s">
        <v>577</v>
      </c>
      <c r="G958" t="s">
        <v>789</v>
      </c>
      <c r="I958" t="s">
        <v>770</v>
      </c>
      <c r="J958" t="s">
        <v>922</v>
      </c>
      <c r="K958">
        <v>20</v>
      </c>
      <c r="BF958">
        <v>31.26</v>
      </c>
      <c r="BG958" t="s">
        <v>312</v>
      </c>
      <c r="BH958" t="s">
        <v>691</v>
      </c>
      <c r="BK958" s="10" t="s">
        <v>41</v>
      </c>
      <c r="BL958" s="17">
        <f t="shared" si="35"/>
        <v>0.1627904721987935</v>
      </c>
      <c r="BM958" s="52">
        <v>3</v>
      </c>
      <c r="BN958" s="17">
        <v>0.10226297465457254</v>
      </c>
      <c r="BO958" s="17"/>
      <c r="BP958" s="17"/>
      <c r="BQ958" s="17"/>
      <c r="CE958" s="10" t="s">
        <v>743</v>
      </c>
      <c r="CF958" t="s">
        <v>923</v>
      </c>
      <c r="CG958" t="s">
        <v>651</v>
      </c>
      <c r="CH958" t="s">
        <v>786</v>
      </c>
    </row>
    <row r="959" spans="1:86" x14ac:dyDescent="0.3">
      <c r="A959">
        <v>1131</v>
      </c>
      <c r="B959" t="s">
        <v>1150</v>
      </c>
      <c r="C959" t="s">
        <v>386</v>
      </c>
      <c r="D959" t="s">
        <v>927</v>
      </c>
      <c r="E959" t="s">
        <v>920</v>
      </c>
      <c r="F959" t="s">
        <v>577</v>
      </c>
      <c r="G959" t="s">
        <v>789</v>
      </c>
      <c r="I959" t="s">
        <v>770</v>
      </c>
      <c r="J959" t="s">
        <v>922</v>
      </c>
      <c r="K959">
        <v>20</v>
      </c>
      <c r="BF959">
        <v>33.24</v>
      </c>
      <c r="BG959" t="s">
        <v>312</v>
      </c>
      <c r="BH959" t="s">
        <v>314</v>
      </c>
      <c r="BK959" s="10" t="s">
        <v>41</v>
      </c>
      <c r="BL959" s="17">
        <f t="shared" si="35"/>
        <v>0.17548367199279091</v>
      </c>
      <c r="BM959" s="52">
        <v>3</v>
      </c>
      <c r="BN959" s="17">
        <v>0.16475346000368898</v>
      </c>
      <c r="BO959" s="17"/>
      <c r="BP959" s="17"/>
      <c r="BQ959" s="17"/>
      <c r="CE959" s="10" t="s">
        <v>743</v>
      </c>
      <c r="CF959" t="s">
        <v>923</v>
      </c>
      <c r="CG959" t="s">
        <v>651</v>
      </c>
      <c r="CH959" t="s">
        <v>786</v>
      </c>
    </row>
    <row r="960" spans="1:86" x14ac:dyDescent="0.3">
      <c r="A960">
        <v>1132</v>
      </c>
      <c r="B960" t="s">
        <v>395</v>
      </c>
      <c r="C960" t="s">
        <v>369</v>
      </c>
      <c r="D960" t="s">
        <v>928</v>
      </c>
      <c r="E960" t="s">
        <v>929</v>
      </c>
      <c r="F960" t="s">
        <v>930</v>
      </c>
      <c r="G960" t="s">
        <v>931</v>
      </c>
      <c r="I960" t="s">
        <v>770</v>
      </c>
      <c r="J960" t="s">
        <v>932</v>
      </c>
      <c r="K960" t="s">
        <v>933</v>
      </c>
      <c r="AJ960">
        <v>3.55</v>
      </c>
      <c r="AL960">
        <v>28.83</v>
      </c>
      <c r="AN960">
        <v>55.23</v>
      </c>
      <c r="AO960">
        <v>0.13100000000000001</v>
      </c>
      <c r="AX960">
        <v>2.84</v>
      </c>
      <c r="AZ960">
        <v>7.92</v>
      </c>
      <c r="BB960" s="62">
        <v>7.3999999999999996E-2</v>
      </c>
      <c r="BG960" t="s">
        <v>312</v>
      </c>
      <c r="BH960" t="s">
        <v>314</v>
      </c>
      <c r="BK960" s="10" t="s">
        <v>41</v>
      </c>
      <c r="BL960" s="17">
        <v>0.55000000000000004</v>
      </c>
      <c r="BP960" s="10">
        <v>0.02</v>
      </c>
      <c r="BQ960" s="10">
        <v>2.87</v>
      </c>
      <c r="BS960" s="10">
        <f>LOG(14911)</f>
        <v>4.1735067702081041</v>
      </c>
      <c r="BT960" s="10">
        <f>LOG(51793)</f>
        <v>4.7142710673359396</v>
      </c>
      <c r="CF960" t="s">
        <v>1271</v>
      </c>
      <c r="CG960" t="s">
        <v>651</v>
      </c>
      <c r="CH960" t="s">
        <v>786</v>
      </c>
    </row>
    <row r="961" spans="1:86" x14ac:dyDescent="0.3">
      <c r="A961">
        <v>1133</v>
      </c>
      <c r="B961" t="s">
        <v>395</v>
      </c>
      <c r="C961" t="s">
        <v>369</v>
      </c>
      <c r="D961" t="s">
        <v>928</v>
      </c>
      <c r="E961" t="s">
        <v>929</v>
      </c>
      <c r="F961" t="s">
        <v>930</v>
      </c>
      <c r="G961" t="s">
        <v>931</v>
      </c>
      <c r="I961" t="s">
        <v>770</v>
      </c>
      <c r="J961" t="s">
        <v>932</v>
      </c>
      <c r="K961" t="s">
        <v>933</v>
      </c>
      <c r="AJ961">
        <v>3.55</v>
      </c>
      <c r="AL961">
        <v>28.8</v>
      </c>
      <c r="AN961">
        <v>55.23</v>
      </c>
      <c r="AO961">
        <v>0.13100000000000001</v>
      </c>
      <c r="AX961">
        <v>2.84</v>
      </c>
      <c r="AZ961">
        <v>7.92</v>
      </c>
      <c r="BB961" s="62">
        <v>7.3999999999999996E-2</v>
      </c>
      <c r="BG961" t="s">
        <v>312</v>
      </c>
      <c r="BH961" t="s">
        <v>599</v>
      </c>
      <c r="BK961" s="10" t="s">
        <v>41</v>
      </c>
      <c r="BL961" s="17">
        <v>1.22</v>
      </c>
      <c r="BP961" s="10">
        <v>0.1</v>
      </c>
      <c r="BQ961" s="10">
        <v>2.33</v>
      </c>
      <c r="BS961" s="10">
        <f>LOG(69535)</f>
        <v>4.8422034589891885</v>
      </c>
      <c r="BT961" s="10">
        <f>LOG(205691)</f>
        <v>5.3132152895758749</v>
      </c>
      <c r="CF961" t="s">
        <v>1271</v>
      </c>
      <c r="CG961" t="s">
        <v>651</v>
      </c>
      <c r="CH961" t="s">
        <v>786</v>
      </c>
    </row>
    <row r="962" spans="1:86" x14ac:dyDescent="0.3">
      <c r="A962">
        <v>1134</v>
      </c>
      <c r="B962" t="s">
        <v>395</v>
      </c>
      <c r="C962" t="s">
        <v>329</v>
      </c>
      <c r="D962" t="s">
        <v>928</v>
      </c>
      <c r="E962" t="s">
        <v>929</v>
      </c>
      <c r="F962" t="s">
        <v>930</v>
      </c>
      <c r="G962" t="s">
        <v>934</v>
      </c>
      <c r="I962" t="s">
        <v>770</v>
      </c>
      <c r="S962">
        <v>30</v>
      </c>
      <c r="AJ962">
        <v>2.84</v>
      </c>
      <c r="AL962">
        <v>7.92</v>
      </c>
      <c r="AO962">
        <v>7.3999999999999996E-2</v>
      </c>
      <c r="AX962">
        <f>AX960</f>
        <v>2.84</v>
      </c>
      <c r="AZ962">
        <f>AZ960</f>
        <v>7.92</v>
      </c>
      <c r="BB962" s="62">
        <f>BB960</f>
        <v>7.3999999999999996E-2</v>
      </c>
      <c r="BG962" t="s">
        <v>312</v>
      </c>
      <c r="BH962" t="s">
        <v>314</v>
      </c>
      <c r="BK962" s="10" t="s">
        <v>41</v>
      </c>
      <c r="BL962" s="17">
        <v>3.61</v>
      </c>
      <c r="BP962" s="10">
        <v>2.87</v>
      </c>
      <c r="BQ962" s="10">
        <v>4.0599999999999996</v>
      </c>
      <c r="BR962" s="10" t="s">
        <v>842</v>
      </c>
      <c r="BS962" s="10">
        <f>LOG(1423)</f>
        <v>3.1532049000842841</v>
      </c>
      <c r="BT962" s="10">
        <f>LOG(1253)</f>
        <v>3.0979510709941498</v>
      </c>
      <c r="CF962" t="s">
        <v>1271</v>
      </c>
      <c r="CG962" t="s">
        <v>651</v>
      </c>
      <c r="CH962" t="s">
        <v>786</v>
      </c>
    </row>
    <row r="963" spans="1:86" x14ac:dyDescent="0.3">
      <c r="A963">
        <v>1135</v>
      </c>
      <c r="B963" t="s">
        <v>395</v>
      </c>
      <c r="C963" t="s">
        <v>329</v>
      </c>
      <c r="D963" t="s">
        <v>928</v>
      </c>
      <c r="E963" t="s">
        <v>929</v>
      </c>
      <c r="F963" t="s">
        <v>930</v>
      </c>
      <c r="G963" t="s">
        <v>934</v>
      </c>
      <c r="I963" t="s">
        <v>770</v>
      </c>
      <c r="S963">
        <v>30</v>
      </c>
      <c r="AJ963">
        <v>2.84</v>
      </c>
      <c r="AL963">
        <v>7.92</v>
      </c>
      <c r="AO963">
        <v>7.3999999999999996E-2</v>
      </c>
      <c r="AX963">
        <f>AX961</f>
        <v>2.84</v>
      </c>
      <c r="AZ963">
        <v>7.92</v>
      </c>
      <c r="BB963" s="62">
        <f>BB961</f>
        <v>7.3999999999999996E-2</v>
      </c>
      <c r="BG963" t="s">
        <v>312</v>
      </c>
      <c r="BH963" t="s">
        <v>599</v>
      </c>
      <c r="BK963" s="10" t="s">
        <v>41</v>
      </c>
      <c r="BL963" s="17">
        <v>2.5</v>
      </c>
      <c r="BP963" s="10">
        <v>2.08</v>
      </c>
      <c r="BQ963" s="10">
        <v>3.1</v>
      </c>
      <c r="BS963" s="10">
        <f>LOG(5835)</f>
        <v>3.7660408603813891</v>
      </c>
      <c r="BT963" s="10">
        <f>LOG(8152)</f>
        <v>3.9112641709983698</v>
      </c>
      <c r="CF963" t="s">
        <v>1271</v>
      </c>
      <c r="CG963" t="s">
        <v>651</v>
      </c>
      <c r="CH963" t="s">
        <v>786</v>
      </c>
    </row>
    <row r="964" spans="1:86" x14ac:dyDescent="0.3">
      <c r="A964">
        <v>1136</v>
      </c>
      <c r="B964" t="s">
        <v>395</v>
      </c>
      <c r="C964" t="s">
        <v>369</v>
      </c>
      <c r="D964" t="s">
        <v>935</v>
      </c>
      <c r="E964" t="s">
        <v>929</v>
      </c>
      <c r="F964" t="s">
        <v>930</v>
      </c>
      <c r="G964" t="s">
        <v>931</v>
      </c>
      <c r="I964" t="s">
        <v>770</v>
      </c>
      <c r="J964" t="s">
        <v>932</v>
      </c>
      <c r="K964" t="s">
        <v>933</v>
      </c>
      <c r="AJ964">
        <v>3.55</v>
      </c>
      <c r="AL964">
        <v>28.83</v>
      </c>
      <c r="AN964">
        <v>55.23</v>
      </c>
      <c r="AO964">
        <v>0.13100000000000001</v>
      </c>
      <c r="AX964">
        <v>2.78</v>
      </c>
      <c r="AZ964">
        <v>4.96</v>
      </c>
      <c r="BB964" s="62">
        <v>6.8000000000000005E-2</v>
      </c>
      <c r="BG964" t="s">
        <v>312</v>
      </c>
      <c r="BH964" t="s">
        <v>314</v>
      </c>
      <c r="BK964" s="10" t="s">
        <v>41</v>
      </c>
      <c r="BL964" s="17">
        <v>0.57999999999999996</v>
      </c>
      <c r="BP964" s="10">
        <v>0.2</v>
      </c>
      <c r="BQ964" s="10">
        <v>1.26</v>
      </c>
      <c r="BS964" s="10">
        <f>LOG(14911)</f>
        <v>4.1735067702081041</v>
      </c>
      <c r="BT964" s="10">
        <f>LOG(51793)</f>
        <v>4.7142710673359396</v>
      </c>
      <c r="CF964" t="s">
        <v>1271</v>
      </c>
      <c r="CG964" t="s">
        <v>651</v>
      </c>
      <c r="CH964" t="s">
        <v>786</v>
      </c>
    </row>
    <row r="965" spans="1:86" x14ac:dyDescent="0.3">
      <c r="A965">
        <v>1137</v>
      </c>
      <c r="B965" t="s">
        <v>395</v>
      </c>
      <c r="C965" t="s">
        <v>369</v>
      </c>
      <c r="D965" t="s">
        <v>935</v>
      </c>
      <c r="E965" t="s">
        <v>929</v>
      </c>
      <c r="F965" t="s">
        <v>930</v>
      </c>
      <c r="G965" t="s">
        <v>931</v>
      </c>
      <c r="I965" t="s">
        <v>770</v>
      </c>
      <c r="J965" t="s">
        <v>932</v>
      </c>
      <c r="K965" t="s">
        <v>936</v>
      </c>
      <c r="AJ965">
        <v>3.55</v>
      </c>
      <c r="AL965">
        <v>28.8</v>
      </c>
      <c r="AN965">
        <v>55.23</v>
      </c>
      <c r="AO965">
        <v>0.13100000000000001</v>
      </c>
      <c r="AX965">
        <v>2.78</v>
      </c>
      <c r="AZ965">
        <v>4.96</v>
      </c>
      <c r="BB965" s="62">
        <v>6.8000000000000005E-2</v>
      </c>
      <c r="BG965" t="s">
        <v>312</v>
      </c>
      <c r="BH965" t="s">
        <v>599</v>
      </c>
      <c r="BK965" s="10" t="s">
        <v>41</v>
      </c>
      <c r="BL965" s="17">
        <v>0.4</v>
      </c>
      <c r="BP965" s="10">
        <v>0.15</v>
      </c>
      <c r="BQ965" s="10">
        <v>0.85</v>
      </c>
      <c r="BS965" s="10">
        <f>LOG(69535)</f>
        <v>4.8422034589891885</v>
      </c>
      <c r="BT965" s="10">
        <f>LOG(205691)</f>
        <v>5.3132152895758749</v>
      </c>
      <c r="CF965" t="s">
        <v>1271</v>
      </c>
      <c r="CG965" t="s">
        <v>651</v>
      </c>
      <c r="CH965" t="s">
        <v>786</v>
      </c>
    </row>
    <row r="966" spans="1:86" x14ac:dyDescent="0.3">
      <c r="A966">
        <v>1138</v>
      </c>
      <c r="B966" t="s">
        <v>395</v>
      </c>
      <c r="C966" t="s">
        <v>329</v>
      </c>
      <c r="D966" t="s">
        <v>935</v>
      </c>
      <c r="E966" t="s">
        <v>929</v>
      </c>
      <c r="F966" t="s">
        <v>930</v>
      </c>
      <c r="G966" t="s">
        <v>934</v>
      </c>
      <c r="I966" t="s">
        <v>770</v>
      </c>
      <c r="S966">
        <v>30</v>
      </c>
      <c r="AJ966">
        <v>2.78</v>
      </c>
      <c r="AL966">
        <v>4.96</v>
      </c>
      <c r="AO966">
        <v>6.8000000000000005E-2</v>
      </c>
      <c r="AX966">
        <f>AX964</f>
        <v>2.78</v>
      </c>
      <c r="AZ966">
        <f>AZ964</f>
        <v>4.96</v>
      </c>
      <c r="BB966" s="62">
        <f>BB964</f>
        <v>6.8000000000000005E-2</v>
      </c>
      <c r="BG966" t="s">
        <v>312</v>
      </c>
      <c r="BH966" t="s">
        <v>314</v>
      </c>
      <c r="BK966" s="10" t="s">
        <v>41</v>
      </c>
      <c r="BL966" s="17">
        <v>2.92</v>
      </c>
      <c r="BP966" s="10">
        <v>2.41</v>
      </c>
      <c r="BQ966" s="10">
        <v>4.08</v>
      </c>
      <c r="BR966" s="10" t="s">
        <v>842</v>
      </c>
      <c r="BS966" s="10">
        <f>LOG(371)</f>
        <v>2.5693739096150461</v>
      </c>
      <c r="BT966" s="10">
        <f>LOG(321)</f>
        <v>2.5065050324048719</v>
      </c>
      <c r="CF966" t="s">
        <v>1271</v>
      </c>
      <c r="CG966" t="s">
        <v>651</v>
      </c>
      <c r="CH966" t="s">
        <v>786</v>
      </c>
    </row>
    <row r="967" spans="1:86" x14ac:dyDescent="0.3">
      <c r="A967">
        <v>1139</v>
      </c>
      <c r="B967" t="s">
        <v>395</v>
      </c>
      <c r="C967" t="s">
        <v>329</v>
      </c>
      <c r="D967" t="s">
        <v>935</v>
      </c>
      <c r="E967" t="s">
        <v>929</v>
      </c>
      <c r="F967" t="s">
        <v>930</v>
      </c>
      <c r="G967" t="s">
        <v>934</v>
      </c>
      <c r="I967" t="s">
        <v>770</v>
      </c>
      <c r="S967">
        <v>30</v>
      </c>
      <c r="AJ967">
        <v>2.78</v>
      </c>
      <c r="AL967">
        <v>4.96</v>
      </c>
      <c r="AO967">
        <v>6.8000000000000005E-2</v>
      </c>
      <c r="AX967">
        <f>AX965</f>
        <v>2.78</v>
      </c>
      <c r="AZ967">
        <f>AZ965</f>
        <v>4.96</v>
      </c>
      <c r="BB967" s="62">
        <f>BB965</f>
        <v>6.8000000000000005E-2</v>
      </c>
      <c r="BG967" t="s">
        <v>312</v>
      </c>
      <c r="BH967" t="s">
        <v>599</v>
      </c>
      <c r="BK967" s="10" t="s">
        <v>41</v>
      </c>
      <c r="BL967" s="17">
        <v>2.4700000000000002</v>
      </c>
      <c r="BP967" s="10">
        <v>2.35</v>
      </c>
      <c r="BQ967" s="10">
        <v>2.94</v>
      </c>
      <c r="BS967" s="10">
        <f>LOG(6720)</f>
        <v>3.8273692730538253</v>
      </c>
      <c r="BT967" s="10">
        <f>LOG(4276)</f>
        <v>3.6310376965367404</v>
      </c>
      <c r="CF967" t="s">
        <v>1271</v>
      </c>
      <c r="CG967" t="s">
        <v>651</v>
      </c>
      <c r="CH967" t="s">
        <v>786</v>
      </c>
    </row>
    <row r="968" spans="1:86" x14ac:dyDescent="0.3">
      <c r="A968">
        <v>1140</v>
      </c>
      <c r="B968" t="s">
        <v>395</v>
      </c>
      <c r="C968" t="s">
        <v>369</v>
      </c>
      <c r="D968" t="s">
        <v>937</v>
      </c>
      <c r="E968" t="s">
        <v>929</v>
      </c>
      <c r="F968" t="s">
        <v>930</v>
      </c>
      <c r="G968" t="s">
        <v>931</v>
      </c>
      <c r="I968" t="s">
        <v>770</v>
      </c>
      <c r="J968" t="s">
        <v>932</v>
      </c>
      <c r="K968" t="s">
        <v>938</v>
      </c>
      <c r="AJ968">
        <v>4.29</v>
      </c>
      <c r="AL968">
        <v>37.28</v>
      </c>
      <c r="AZ968">
        <v>11.55</v>
      </c>
      <c r="BG968" t="s">
        <v>312</v>
      </c>
      <c r="BH968" t="s">
        <v>314</v>
      </c>
      <c r="BK968" s="10" t="s">
        <v>41</v>
      </c>
      <c r="BL968" s="17">
        <f>LRV[[#This Row],[in_ave]]-LRV[[#This Row],[ef_ave]]</f>
        <v>3.3866129146394197E-2</v>
      </c>
      <c r="BS968" s="10">
        <f>LOG(8958)</f>
        <v>3.9522110581086691</v>
      </c>
      <c r="BT968" s="10">
        <f>LOG(28887)</f>
        <v>4.460702441425453</v>
      </c>
      <c r="BY968" s="10">
        <f>LOG(8286)</f>
        <v>3.9183449289622749</v>
      </c>
      <c r="BZ968" s="10">
        <f>LOG(29110)</f>
        <v>4.4640422054388109</v>
      </c>
      <c r="CF968" t="s">
        <v>1214</v>
      </c>
      <c r="CG968" t="s">
        <v>651</v>
      </c>
      <c r="CH968" t="s">
        <v>786</v>
      </c>
    </row>
    <row r="969" spans="1:86" x14ac:dyDescent="0.3">
      <c r="A969">
        <v>1141</v>
      </c>
      <c r="B969" t="s">
        <v>395</v>
      </c>
      <c r="C969" t="s">
        <v>369</v>
      </c>
      <c r="D969" t="s">
        <v>937</v>
      </c>
      <c r="E969" t="s">
        <v>929</v>
      </c>
      <c r="F969" t="s">
        <v>930</v>
      </c>
      <c r="G969" t="s">
        <v>931</v>
      </c>
      <c r="I969" t="s">
        <v>770</v>
      </c>
      <c r="J969" t="s">
        <v>932</v>
      </c>
      <c r="K969" t="s">
        <v>938</v>
      </c>
      <c r="AJ969">
        <v>4.29</v>
      </c>
      <c r="AL969">
        <v>37.28</v>
      </c>
      <c r="AZ969">
        <v>11.55</v>
      </c>
      <c r="BG969" t="s">
        <v>312</v>
      </c>
      <c r="BH969" t="s">
        <v>599</v>
      </c>
      <c r="BK969" s="10" t="s">
        <v>41</v>
      </c>
      <c r="BL969" s="17">
        <f>LRV[[#This Row],[in_ave]]-LRV[[#This Row],[ef_ave]]</f>
        <v>7.8943223107462934E-2</v>
      </c>
      <c r="BS969" s="10">
        <f>LOG(24078)</f>
        <v>4.381620410117482</v>
      </c>
      <c r="BT969" s="10">
        <f>LOG(57869)</f>
        <v>4.7624459776420283</v>
      </c>
      <c r="BY969" s="10">
        <f>LOG(20076)</f>
        <v>4.3026771870100191</v>
      </c>
      <c r="BZ969" s="10">
        <f>LOG(51022)</f>
        <v>4.7077574784199836</v>
      </c>
      <c r="CF969" t="s">
        <v>1214</v>
      </c>
      <c r="CG969" t="s">
        <v>651</v>
      </c>
      <c r="CH969" t="s">
        <v>786</v>
      </c>
    </row>
    <row r="970" spans="1:86" x14ac:dyDescent="0.3">
      <c r="A970">
        <v>1142</v>
      </c>
      <c r="B970" t="s">
        <v>395</v>
      </c>
      <c r="C970" t="s">
        <v>329</v>
      </c>
      <c r="D970" t="s">
        <v>937</v>
      </c>
      <c r="E970" t="s">
        <v>929</v>
      </c>
      <c r="F970" t="s">
        <v>930</v>
      </c>
      <c r="G970" t="s">
        <v>934</v>
      </c>
      <c r="I970" t="s">
        <v>770</v>
      </c>
      <c r="S970">
        <v>30</v>
      </c>
      <c r="AJ970">
        <v>3.87</v>
      </c>
      <c r="AL970">
        <v>11.55</v>
      </c>
      <c r="AZ970">
        <v>11.55</v>
      </c>
      <c r="BG970" t="s">
        <v>312</v>
      </c>
      <c r="BH970" t="s">
        <v>314</v>
      </c>
      <c r="BK970" s="10" t="s">
        <v>41</v>
      </c>
      <c r="BL970" s="17">
        <f>LRV[[#This Row],[in_ave]]-LRV[[#This Row],[ef_ave]]</f>
        <v>3.9183449289622749</v>
      </c>
      <c r="BR970" s="10" t="s">
        <v>842</v>
      </c>
      <c r="BS970" s="10">
        <f>LOG(8286)</f>
        <v>3.9183449289622749</v>
      </c>
      <c r="BT970" s="10">
        <f>LOG(29110)</f>
        <v>4.4640422054388109</v>
      </c>
      <c r="BY970" s="10">
        <f>LOG(1)</f>
        <v>0</v>
      </c>
      <c r="CD970" s="10" t="s">
        <v>842</v>
      </c>
      <c r="CF970" t="s">
        <v>1214</v>
      </c>
      <c r="CG970" t="s">
        <v>651</v>
      </c>
      <c r="CH970" t="s">
        <v>786</v>
      </c>
    </row>
    <row r="971" spans="1:86" x14ac:dyDescent="0.3">
      <c r="A971">
        <v>1143</v>
      </c>
      <c r="B971" t="s">
        <v>395</v>
      </c>
      <c r="C971" t="s">
        <v>329</v>
      </c>
      <c r="D971" t="s">
        <v>937</v>
      </c>
      <c r="E971" t="s">
        <v>929</v>
      </c>
      <c r="F971" t="s">
        <v>930</v>
      </c>
      <c r="G971" t="s">
        <v>934</v>
      </c>
      <c r="I971" t="s">
        <v>770</v>
      </c>
      <c r="S971">
        <v>30</v>
      </c>
      <c r="AJ971">
        <v>3.87</v>
      </c>
      <c r="AL971">
        <v>11.55</v>
      </c>
      <c r="AZ971">
        <v>11.55</v>
      </c>
      <c r="BG971" t="s">
        <v>312</v>
      </c>
      <c r="BH971" t="s">
        <v>599</v>
      </c>
      <c r="BK971" s="10" t="s">
        <v>41</v>
      </c>
      <c r="BL971" s="17">
        <f>LRV[[#This Row],[in_ave]]-LRV[[#This Row],[ef_ave]]</f>
        <v>2.6305793290743016</v>
      </c>
      <c r="BS971" s="10">
        <f>LOG(20076)</f>
        <v>4.3026771870100191</v>
      </c>
      <c r="BT971" s="10">
        <f>LOG(51022)</f>
        <v>4.7077574784199836</v>
      </c>
      <c r="BY971" s="10">
        <f>LOG(47)</f>
        <v>1.6720978579357175</v>
      </c>
      <c r="BZ971" s="10">
        <f>LOG(38)</f>
        <v>1.5797835966168101</v>
      </c>
      <c r="CF971" t="s">
        <v>1214</v>
      </c>
      <c r="CG971" t="s">
        <v>651</v>
      </c>
      <c r="CH971" t="s">
        <v>786</v>
      </c>
    </row>
    <row r="972" spans="1:86" x14ac:dyDescent="0.3">
      <c r="A972">
        <v>1144</v>
      </c>
      <c r="B972" t="s">
        <v>396</v>
      </c>
      <c r="C972" t="s">
        <v>369</v>
      </c>
      <c r="D972" t="s">
        <v>939</v>
      </c>
      <c r="E972" t="s">
        <v>611</v>
      </c>
      <c r="F972" t="s">
        <v>940</v>
      </c>
      <c r="I972" t="s">
        <v>564</v>
      </c>
      <c r="J972" t="s">
        <v>932</v>
      </c>
      <c r="K972">
        <v>5</v>
      </c>
      <c r="BG972" t="s">
        <v>312</v>
      </c>
      <c r="BH972" t="s">
        <v>314</v>
      </c>
      <c r="BK972" s="10" t="s">
        <v>41</v>
      </c>
      <c r="BL972" s="17">
        <v>0.15</v>
      </c>
      <c r="BN972" s="17">
        <v>0.12</v>
      </c>
      <c r="BS972" s="10">
        <v>4.7</v>
      </c>
      <c r="BT972" s="10">
        <v>7.0000000000000007E-2</v>
      </c>
      <c r="BY972" s="10">
        <v>4.55</v>
      </c>
      <c r="BZ972" s="10">
        <v>0.12</v>
      </c>
      <c r="CE972" s="10" t="s">
        <v>941</v>
      </c>
      <c r="CF972" t="s">
        <v>942</v>
      </c>
      <c r="CG972" t="s">
        <v>651</v>
      </c>
      <c r="CH972" t="s">
        <v>786</v>
      </c>
    </row>
    <row r="973" spans="1:86" x14ac:dyDescent="0.3">
      <c r="A973">
        <v>1145</v>
      </c>
      <c r="B973" t="s">
        <v>396</v>
      </c>
      <c r="C973" t="s">
        <v>369</v>
      </c>
      <c r="D973" t="s">
        <v>939</v>
      </c>
      <c r="E973" t="s">
        <v>611</v>
      </c>
      <c r="F973" t="s">
        <v>940</v>
      </c>
      <c r="I973" t="s">
        <v>564</v>
      </c>
      <c r="J973" t="s">
        <v>932</v>
      </c>
      <c r="K973">
        <v>5</v>
      </c>
      <c r="BG973" t="s">
        <v>312</v>
      </c>
      <c r="BH973" t="s">
        <v>785</v>
      </c>
      <c r="BK973" s="10" t="s">
        <v>41</v>
      </c>
      <c r="BL973" s="17">
        <v>-0.01</v>
      </c>
      <c r="BN973" s="17">
        <v>0.13</v>
      </c>
      <c r="BS973" s="10">
        <v>4.25</v>
      </c>
      <c r="BT973" s="10">
        <v>0.06</v>
      </c>
      <c r="BY973" s="10">
        <v>4.26</v>
      </c>
      <c r="BZ973" s="10">
        <v>0.13</v>
      </c>
      <c r="CE973" s="10" t="s">
        <v>941</v>
      </c>
      <c r="CF973" t="s">
        <v>943</v>
      </c>
      <c r="CG973" t="s">
        <v>651</v>
      </c>
      <c r="CH973" t="s">
        <v>786</v>
      </c>
    </row>
    <row r="974" spans="1:86" x14ac:dyDescent="0.3">
      <c r="A974">
        <v>1146</v>
      </c>
      <c r="B974" t="s">
        <v>396</v>
      </c>
      <c r="C974" t="s">
        <v>369</v>
      </c>
      <c r="D974" t="s">
        <v>939</v>
      </c>
      <c r="E974" t="s">
        <v>611</v>
      </c>
      <c r="F974" t="s">
        <v>940</v>
      </c>
      <c r="I974" t="s">
        <v>564</v>
      </c>
      <c r="J974" t="s">
        <v>932</v>
      </c>
      <c r="K974">
        <v>5</v>
      </c>
      <c r="BG974" t="s">
        <v>312</v>
      </c>
      <c r="BH974" t="s">
        <v>944</v>
      </c>
      <c r="BK974" s="10" t="s">
        <v>41</v>
      </c>
      <c r="BL974" s="17">
        <v>0.31</v>
      </c>
      <c r="BN974" s="17">
        <v>0.77</v>
      </c>
      <c r="BS974" s="10">
        <v>2.5</v>
      </c>
      <c r="BT974" s="10">
        <v>0.28999999999999998</v>
      </c>
      <c r="BY974" s="10">
        <v>2.19</v>
      </c>
      <c r="BZ974" s="10">
        <v>0.77</v>
      </c>
      <c r="CE974" s="10" t="s">
        <v>941</v>
      </c>
      <c r="CG974" t="s">
        <v>651</v>
      </c>
      <c r="CH974" t="s">
        <v>786</v>
      </c>
    </row>
    <row r="975" spans="1:86" x14ac:dyDescent="0.3">
      <c r="A975">
        <v>1147</v>
      </c>
      <c r="B975" t="s">
        <v>396</v>
      </c>
      <c r="C975" t="s">
        <v>369</v>
      </c>
      <c r="D975" t="s">
        <v>939</v>
      </c>
      <c r="E975" t="s">
        <v>611</v>
      </c>
      <c r="F975" t="s">
        <v>940</v>
      </c>
      <c r="I975" t="s">
        <v>564</v>
      </c>
      <c r="J975" t="s">
        <v>932</v>
      </c>
      <c r="K975">
        <v>5</v>
      </c>
      <c r="BG975" t="s">
        <v>312</v>
      </c>
      <c r="BH975" t="s">
        <v>787</v>
      </c>
      <c r="BK975" s="10" t="s">
        <v>41</v>
      </c>
      <c r="BL975" s="17">
        <v>-0.54</v>
      </c>
      <c r="BR975" s="10" t="s">
        <v>842</v>
      </c>
      <c r="BS975" s="10">
        <v>3.68</v>
      </c>
      <c r="BT975" s="10">
        <v>0.42</v>
      </c>
      <c r="BY975" s="10">
        <v>4.22</v>
      </c>
      <c r="BZ975" s="10">
        <v>0</v>
      </c>
      <c r="CE975" s="10" t="s">
        <v>941</v>
      </c>
      <c r="CG975" t="s">
        <v>651</v>
      </c>
      <c r="CH975" t="s">
        <v>786</v>
      </c>
    </row>
    <row r="976" spans="1:86" x14ac:dyDescent="0.3">
      <c r="A976">
        <v>1148</v>
      </c>
      <c r="B976" t="s">
        <v>396</v>
      </c>
      <c r="C976" t="s">
        <v>369</v>
      </c>
      <c r="D976" t="s">
        <v>939</v>
      </c>
      <c r="E976" t="s">
        <v>611</v>
      </c>
      <c r="F976" t="s">
        <v>940</v>
      </c>
      <c r="I976" t="s">
        <v>564</v>
      </c>
      <c r="J976" t="s">
        <v>932</v>
      </c>
      <c r="K976">
        <v>5</v>
      </c>
      <c r="BG976" t="s">
        <v>311</v>
      </c>
      <c r="BH976" t="s">
        <v>763</v>
      </c>
      <c r="BK976" s="10" t="s">
        <v>41</v>
      </c>
      <c r="BL976" s="17">
        <v>0.34</v>
      </c>
      <c r="BN976" s="17">
        <v>0.01</v>
      </c>
      <c r="BS976" s="10">
        <v>7.05</v>
      </c>
      <c r="BT976" s="10">
        <v>0.15</v>
      </c>
      <c r="BY976" s="10">
        <v>6.7</v>
      </c>
      <c r="BZ976" s="10">
        <v>0.01</v>
      </c>
      <c r="CE976" s="10" t="s">
        <v>941</v>
      </c>
      <c r="CG976" t="s">
        <v>651</v>
      </c>
      <c r="CH976" t="s">
        <v>786</v>
      </c>
    </row>
    <row r="977" spans="1:86" x14ac:dyDescent="0.3">
      <c r="A977">
        <v>1149</v>
      </c>
      <c r="B977" t="s">
        <v>396</v>
      </c>
      <c r="C977" t="s">
        <v>369</v>
      </c>
      <c r="D977" t="s">
        <v>945</v>
      </c>
      <c r="E977" t="s">
        <v>611</v>
      </c>
      <c r="F977" t="s">
        <v>940</v>
      </c>
      <c r="I977" t="s">
        <v>564</v>
      </c>
      <c r="J977" t="s">
        <v>932</v>
      </c>
      <c r="K977">
        <v>5</v>
      </c>
      <c r="BG977" t="s">
        <v>312</v>
      </c>
      <c r="BH977" t="s">
        <v>314</v>
      </c>
      <c r="BK977" s="10" t="s">
        <v>41</v>
      </c>
      <c r="BL977" s="17">
        <v>-0.06</v>
      </c>
      <c r="BN977" s="17">
        <v>7.0000000000000007E-2</v>
      </c>
      <c r="BS977" s="10">
        <v>4.6399999999999997</v>
      </c>
      <c r="BT977" s="10">
        <v>0.08</v>
      </c>
      <c r="BY977" s="10">
        <v>4.7</v>
      </c>
      <c r="BZ977" s="10">
        <v>7.0000000000000007E-2</v>
      </c>
      <c r="CE977" s="10" t="s">
        <v>941</v>
      </c>
      <c r="CG977" t="s">
        <v>651</v>
      </c>
      <c r="CH977" t="s">
        <v>786</v>
      </c>
    </row>
    <row r="978" spans="1:86" x14ac:dyDescent="0.3">
      <c r="A978">
        <v>1150</v>
      </c>
      <c r="B978" t="s">
        <v>396</v>
      </c>
      <c r="C978" t="s">
        <v>369</v>
      </c>
      <c r="D978" t="s">
        <v>945</v>
      </c>
      <c r="E978" t="s">
        <v>611</v>
      </c>
      <c r="F978" t="s">
        <v>940</v>
      </c>
      <c r="I978" t="s">
        <v>564</v>
      </c>
      <c r="J978" t="s">
        <v>932</v>
      </c>
      <c r="K978">
        <v>5</v>
      </c>
      <c r="BG978" t="s">
        <v>312</v>
      </c>
      <c r="BH978" t="s">
        <v>785</v>
      </c>
      <c r="BK978" s="10" t="s">
        <v>41</v>
      </c>
      <c r="BL978" s="17">
        <v>0.06</v>
      </c>
      <c r="BN978" s="17">
        <v>0.19</v>
      </c>
      <c r="BS978" s="10">
        <v>4.03</v>
      </c>
      <c r="BT978" s="10">
        <v>0.06</v>
      </c>
      <c r="BY978" s="10">
        <v>3.98</v>
      </c>
      <c r="BZ978" s="10">
        <v>0.19</v>
      </c>
      <c r="CE978" s="10" t="s">
        <v>941</v>
      </c>
      <c r="CG978" t="s">
        <v>651</v>
      </c>
      <c r="CH978" t="s">
        <v>786</v>
      </c>
    </row>
    <row r="979" spans="1:86" x14ac:dyDescent="0.3">
      <c r="A979">
        <v>1151</v>
      </c>
      <c r="B979" t="s">
        <v>396</v>
      </c>
      <c r="C979" t="s">
        <v>369</v>
      </c>
      <c r="D979" t="s">
        <v>945</v>
      </c>
      <c r="E979" t="s">
        <v>611</v>
      </c>
      <c r="F979" t="s">
        <v>940</v>
      </c>
      <c r="I979" t="s">
        <v>564</v>
      </c>
      <c r="J979" t="s">
        <v>932</v>
      </c>
      <c r="K979">
        <v>5</v>
      </c>
      <c r="BG979" t="s">
        <v>312</v>
      </c>
      <c r="BH979" t="s">
        <v>944</v>
      </c>
      <c r="BK979" s="10" t="s">
        <v>41</v>
      </c>
      <c r="BL979" s="17">
        <v>0.05</v>
      </c>
      <c r="BN979" s="17">
        <v>0.28000000000000003</v>
      </c>
      <c r="BS979" s="10">
        <v>3.15</v>
      </c>
      <c r="BT979" s="10">
        <v>0.19</v>
      </c>
      <c r="BY979" s="10">
        <v>3.1</v>
      </c>
      <c r="BZ979" s="10">
        <v>0.28000000000000003</v>
      </c>
      <c r="CE979" s="10" t="s">
        <v>941</v>
      </c>
      <c r="CG979" t="s">
        <v>651</v>
      </c>
      <c r="CH979" t="s">
        <v>786</v>
      </c>
    </row>
    <row r="980" spans="1:86" x14ac:dyDescent="0.3">
      <c r="A980">
        <v>1152</v>
      </c>
      <c r="B980" t="s">
        <v>396</v>
      </c>
      <c r="C980" t="s">
        <v>369</v>
      </c>
      <c r="D980" t="s">
        <v>945</v>
      </c>
      <c r="E980" t="s">
        <v>611</v>
      </c>
      <c r="F980" t="s">
        <v>940</v>
      </c>
      <c r="I980" t="s">
        <v>564</v>
      </c>
      <c r="J980" t="s">
        <v>932</v>
      </c>
      <c r="K980">
        <v>5</v>
      </c>
      <c r="BG980" t="s">
        <v>312</v>
      </c>
      <c r="BH980" t="s">
        <v>787</v>
      </c>
      <c r="BK980" s="10" t="s">
        <v>41</v>
      </c>
      <c r="BL980" s="17">
        <v>0.04</v>
      </c>
      <c r="BN980" s="17">
        <v>0.34</v>
      </c>
      <c r="BS980" s="10">
        <v>3.88</v>
      </c>
      <c r="BT980" s="10">
        <v>0.13</v>
      </c>
      <c r="BY980" s="10">
        <v>3.83</v>
      </c>
      <c r="BZ980" s="10">
        <v>0.34</v>
      </c>
      <c r="CE980" s="10" t="s">
        <v>941</v>
      </c>
      <c r="CG980" t="s">
        <v>651</v>
      </c>
      <c r="CH980" t="s">
        <v>786</v>
      </c>
    </row>
    <row r="981" spans="1:86" x14ac:dyDescent="0.3">
      <c r="A981">
        <v>1153</v>
      </c>
      <c r="B981" t="s">
        <v>396</v>
      </c>
      <c r="C981" t="s">
        <v>369</v>
      </c>
      <c r="D981" t="s">
        <v>945</v>
      </c>
      <c r="E981" t="s">
        <v>611</v>
      </c>
      <c r="F981" t="s">
        <v>940</v>
      </c>
      <c r="I981" t="s">
        <v>564</v>
      </c>
      <c r="J981" t="s">
        <v>932</v>
      </c>
      <c r="K981">
        <v>5</v>
      </c>
      <c r="BG981" t="s">
        <v>311</v>
      </c>
      <c r="BH981" t="s">
        <v>763</v>
      </c>
      <c r="BK981" s="10" t="s">
        <v>41</v>
      </c>
      <c r="BL981" s="17">
        <v>-0.39</v>
      </c>
      <c r="BN981" s="17">
        <v>0.09</v>
      </c>
      <c r="BS981" s="10">
        <v>6.54</v>
      </c>
      <c r="BT981" s="10">
        <v>0.04</v>
      </c>
      <c r="BY981" s="10">
        <v>6.93</v>
      </c>
      <c r="BZ981" s="10">
        <v>0.09</v>
      </c>
      <c r="CE981" s="10" t="s">
        <v>941</v>
      </c>
      <c r="CG981" t="s">
        <v>651</v>
      </c>
      <c r="CH981" t="s">
        <v>786</v>
      </c>
    </row>
    <row r="982" spans="1:86" x14ac:dyDescent="0.3">
      <c r="A982">
        <v>1154</v>
      </c>
      <c r="B982" t="s">
        <v>396</v>
      </c>
      <c r="C982" t="s">
        <v>329</v>
      </c>
      <c r="D982" t="s">
        <v>939</v>
      </c>
      <c r="E982" t="s">
        <v>611</v>
      </c>
      <c r="F982" t="s">
        <v>940</v>
      </c>
      <c r="I982" t="s">
        <v>564</v>
      </c>
      <c r="S982">
        <v>40</v>
      </c>
      <c r="BG982" t="s">
        <v>312</v>
      </c>
      <c r="BH982" t="s">
        <v>314</v>
      </c>
      <c r="BK982" s="10" t="s">
        <v>41</v>
      </c>
      <c r="BL982" s="17">
        <v>4.38</v>
      </c>
      <c r="BR982" s="10" t="s">
        <v>842</v>
      </c>
      <c r="BS982" s="10">
        <v>4.38</v>
      </c>
      <c r="BT982" s="10">
        <v>0.02</v>
      </c>
      <c r="BY982" s="10">
        <v>0</v>
      </c>
      <c r="BZ982" s="10">
        <v>0</v>
      </c>
      <c r="CE982" s="10" t="s">
        <v>941</v>
      </c>
      <c r="CG982" t="s">
        <v>651</v>
      </c>
      <c r="CH982" t="s">
        <v>786</v>
      </c>
    </row>
    <row r="983" spans="1:86" x14ac:dyDescent="0.3">
      <c r="A983">
        <v>1155</v>
      </c>
      <c r="B983" t="s">
        <v>396</v>
      </c>
      <c r="C983" t="s">
        <v>329</v>
      </c>
      <c r="D983" t="s">
        <v>939</v>
      </c>
      <c r="E983" t="s">
        <v>611</v>
      </c>
      <c r="F983" t="s">
        <v>940</v>
      </c>
      <c r="I983" t="s">
        <v>564</v>
      </c>
      <c r="S983">
        <v>40</v>
      </c>
      <c r="BG983" t="s">
        <v>312</v>
      </c>
      <c r="BH983" t="s">
        <v>785</v>
      </c>
      <c r="BK983" s="10" t="s">
        <v>41</v>
      </c>
      <c r="BL983" s="17">
        <v>4.5999999999999996</v>
      </c>
      <c r="BR983" s="10" t="s">
        <v>842</v>
      </c>
      <c r="BS983" s="10">
        <v>4.5999999999999996</v>
      </c>
      <c r="BT983" s="10">
        <v>0.01</v>
      </c>
      <c r="BY983" s="10">
        <v>0</v>
      </c>
      <c r="BZ983" s="10">
        <v>0</v>
      </c>
      <c r="CE983" s="10" t="s">
        <v>941</v>
      </c>
      <c r="CG983" t="s">
        <v>651</v>
      </c>
      <c r="CH983" t="s">
        <v>786</v>
      </c>
    </row>
    <row r="984" spans="1:86" x14ac:dyDescent="0.3">
      <c r="A984">
        <v>1156</v>
      </c>
      <c r="B984" t="s">
        <v>396</v>
      </c>
      <c r="C984" t="s">
        <v>329</v>
      </c>
      <c r="D984" t="s">
        <v>939</v>
      </c>
      <c r="E984" t="s">
        <v>611</v>
      </c>
      <c r="F984" t="s">
        <v>940</v>
      </c>
      <c r="I984" t="s">
        <v>564</v>
      </c>
      <c r="S984">
        <v>40</v>
      </c>
      <c r="BG984" t="s">
        <v>312</v>
      </c>
      <c r="BH984" t="s">
        <v>944</v>
      </c>
      <c r="BK984" s="10" t="s">
        <v>41</v>
      </c>
      <c r="BL984" s="17">
        <v>4.08</v>
      </c>
      <c r="BR984" s="10" t="s">
        <v>842</v>
      </c>
      <c r="BS984" s="10">
        <v>3.78</v>
      </c>
      <c r="BT984" s="10">
        <v>0.26</v>
      </c>
      <c r="BY984" s="10">
        <v>-0.3</v>
      </c>
      <c r="BZ984" s="10">
        <v>0</v>
      </c>
      <c r="CE984" s="10" t="s">
        <v>941</v>
      </c>
      <c r="CG984" t="s">
        <v>651</v>
      </c>
      <c r="CH984" t="s">
        <v>786</v>
      </c>
    </row>
    <row r="985" spans="1:86" x14ac:dyDescent="0.3">
      <c r="A985">
        <v>1157</v>
      </c>
      <c r="B985" t="s">
        <v>396</v>
      </c>
      <c r="C985" t="s">
        <v>329</v>
      </c>
      <c r="D985" t="s">
        <v>939</v>
      </c>
      <c r="E985" t="s">
        <v>611</v>
      </c>
      <c r="F985" t="s">
        <v>940</v>
      </c>
      <c r="I985" t="s">
        <v>564</v>
      </c>
      <c r="S985">
        <v>40</v>
      </c>
      <c r="BG985" t="s">
        <v>312</v>
      </c>
      <c r="BH985" t="s">
        <v>787</v>
      </c>
      <c r="BK985" s="10" t="s">
        <v>41</v>
      </c>
      <c r="BL985" s="17">
        <v>4.29</v>
      </c>
      <c r="BR985" s="10" t="s">
        <v>842</v>
      </c>
      <c r="BS985" s="10">
        <v>3.99</v>
      </c>
      <c r="BT985" s="10">
        <v>0.06</v>
      </c>
      <c r="BY985" s="10">
        <v>-0.3</v>
      </c>
      <c r="BZ985" s="10">
        <v>0</v>
      </c>
      <c r="CE985" s="10" t="s">
        <v>941</v>
      </c>
      <c r="CG985" t="s">
        <v>651</v>
      </c>
      <c r="CH985" t="s">
        <v>786</v>
      </c>
    </row>
    <row r="986" spans="1:86" x14ac:dyDescent="0.3">
      <c r="A986">
        <v>1158</v>
      </c>
      <c r="B986" t="s">
        <v>396</v>
      </c>
      <c r="C986" t="s">
        <v>329</v>
      </c>
      <c r="D986" t="s">
        <v>939</v>
      </c>
      <c r="E986" t="s">
        <v>611</v>
      </c>
      <c r="F986" t="s">
        <v>940</v>
      </c>
      <c r="I986" t="s">
        <v>564</v>
      </c>
      <c r="S986">
        <v>40</v>
      </c>
      <c r="BG986" t="s">
        <v>311</v>
      </c>
      <c r="BH986" t="s">
        <v>763</v>
      </c>
      <c r="BK986" s="10" t="s">
        <v>41</v>
      </c>
      <c r="BL986" s="17">
        <v>3.2</v>
      </c>
      <c r="BR986" s="10" t="s">
        <v>842</v>
      </c>
      <c r="BS986" s="10">
        <v>3.2</v>
      </c>
      <c r="BT986" s="10">
        <v>0.14000000000000001</v>
      </c>
      <c r="BY986" s="10">
        <v>0</v>
      </c>
      <c r="BZ986" s="10">
        <v>0</v>
      </c>
      <c r="CE986" s="10" t="s">
        <v>941</v>
      </c>
      <c r="CG986" t="s">
        <v>651</v>
      </c>
      <c r="CH986" t="s">
        <v>786</v>
      </c>
    </row>
    <row r="987" spans="1:86" x14ac:dyDescent="0.3">
      <c r="A987">
        <v>1159</v>
      </c>
      <c r="B987" t="s">
        <v>396</v>
      </c>
      <c r="C987" t="s">
        <v>329</v>
      </c>
      <c r="D987" t="s">
        <v>946</v>
      </c>
      <c r="E987" t="s">
        <v>611</v>
      </c>
      <c r="F987" t="s">
        <v>940</v>
      </c>
      <c r="I987" t="s">
        <v>564</v>
      </c>
      <c r="S987">
        <v>40</v>
      </c>
      <c r="BG987" t="s">
        <v>312</v>
      </c>
      <c r="BH987" t="s">
        <v>314</v>
      </c>
      <c r="BK987" s="10" t="s">
        <v>41</v>
      </c>
      <c r="BL987" s="17">
        <v>3.88</v>
      </c>
      <c r="BR987" s="10" t="s">
        <v>842</v>
      </c>
      <c r="BS987" s="10">
        <v>3.88</v>
      </c>
      <c r="BT987" s="10">
        <v>0.08</v>
      </c>
      <c r="BY987" s="10">
        <v>0</v>
      </c>
      <c r="BZ987" s="10">
        <v>0</v>
      </c>
      <c r="CE987" s="10" t="s">
        <v>941</v>
      </c>
      <c r="CG987" t="s">
        <v>651</v>
      </c>
      <c r="CH987" t="s">
        <v>786</v>
      </c>
    </row>
    <row r="988" spans="1:86" x14ac:dyDescent="0.3">
      <c r="A988">
        <v>1160</v>
      </c>
      <c r="B988" t="s">
        <v>396</v>
      </c>
      <c r="C988" t="s">
        <v>329</v>
      </c>
      <c r="D988" t="s">
        <v>946</v>
      </c>
      <c r="E988" t="s">
        <v>611</v>
      </c>
      <c r="F988" t="s">
        <v>940</v>
      </c>
      <c r="I988" t="s">
        <v>564</v>
      </c>
      <c r="S988">
        <v>40</v>
      </c>
      <c r="BG988" t="s">
        <v>312</v>
      </c>
      <c r="BH988" t="s">
        <v>785</v>
      </c>
      <c r="BK988" s="10" t="s">
        <v>41</v>
      </c>
      <c r="BL988" s="17">
        <v>3.55</v>
      </c>
      <c r="BR988" s="10" t="s">
        <v>842</v>
      </c>
      <c r="BS988" s="10">
        <v>3.55</v>
      </c>
      <c r="BT988" s="10">
        <v>7.0000000000000007E-2</v>
      </c>
      <c r="BY988" s="10">
        <v>0</v>
      </c>
      <c r="BZ988" s="10">
        <v>0</v>
      </c>
      <c r="CE988" s="10" t="s">
        <v>941</v>
      </c>
      <c r="CG988" t="s">
        <v>651</v>
      </c>
      <c r="CH988" t="s">
        <v>786</v>
      </c>
    </row>
    <row r="989" spans="1:86" x14ac:dyDescent="0.3">
      <c r="A989">
        <v>1161</v>
      </c>
      <c r="B989" t="s">
        <v>396</v>
      </c>
      <c r="C989" t="s">
        <v>329</v>
      </c>
      <c r="D989" t="s">
        <v>946</v>
      </c>
      <c r="E989" t="s">
        <v>611</v>
      </c>
      <c r="F989" t="s">
        <v>940</v>
      </c>
      <c r="I989" t="s">
        <v>564</v>
      </c>
      <c r="S989">
        <v>40</v>
      </c>
      <c r="BG989" t="s">
        <v>312</v>
      </c>
      <c r="BH989" t="s">
        <v>944</v>
      </c>
      <c r="BK989" s="10" t="s">
        <v>41</v>
      </c>
      <c r="BL989" s="17">
        <v>3.1</v>
      </c>
      <c r="BR989" s="10" t="s">
        <v>842</v>
      </c>
      <c r="BS989" s="10">
        <v>2.8</v>
      </c>
      <c r="BT989" s="10">
        <v>0.32</v>
      </c>
      <c r="BY989" s="10">
        <v>-0.3</v>
      </c>
      <c r="BZ989" s="10">
        <v>0</v>
      </c>
      <c r="CE989" s="10" t="s">
        <v>941</v>
      </c>
      <c r="CG989" t="s">
        <v>651</v>
      </c>
      <c r="CH989" t="s">
        <v>786</v>
      </c>
    </row>
    <row r="990" spans="1:86" x14ac:dyDescent="0.3">
      <c r="A990">
        <v>1162</v>
      </c>
      <c r="B990" t="s">
        <v>396</v>
      </c>
      <c r="C990" t="s">
        <v>329</v>
      </c>
      <c r="D990" t="s">
        <v>946</v>
      </c>
      <c r="E990" t="s">
        <v>611</v>
      </c>
      <c r="F990" t="s">
        <v>940</v>
      </c>
      <c r="I990" t="s">
        <v>564</v>
      </c>
      <c r="S990">
        <v>40</v>
      </c>
      <c r="BG990" t="s">
        <v>312</v>
      </c>
      <c r="BH990" t="s">
        <v>787</v>
      </c>
      <c r="BK990" s="10" t="s">
        <v>41</v>
      </c>
      <c r="BL990" s="17">
        <v>3.18</v>
      </c>
      <c r="BR990" s="10" t="s">
        <v>842</v>
      </c>
      <c r="BS990" s="10">
        <v>2.88</v>
      </c>
      <c r="BT990" s="10">
        <v>0.15</v>
      </c>
      <c r="BY990" s="10">
        <v>-0.3</v>
      </c>
      <c r="BZ990" s="10">
        <v>0</v>
      </c>
      <c r="CE990" s="10" t="s">
        <v>941</v>
      </c>
      <c r="CG990" t="s">
        <v>651</v>
      </c>
      <c r="CH990" t="s">
        <v>786</v>
      </c>
    </row>
    <row r="991" spans="1:86" x14ac:dyDescent="0.3">
      <c r="A991">
        <v>1163</v>
      </c>
      <c r="B991" t="s">
        <v>396</v>
      </c>
      <c r="C991" t="s">
        <v>329</v>
      </c>
      <c r="D991" t="s">
        <v>946</v>
      </c>
      <c r="E991" t="s">
        <v>611</v>
      </c>
      <c r="F991" t="s">
        <v>940</v>
      </c>
      <c r="I991" t="s">
        <v>564</v>
      </c>
      <c r="S991">
        <v>40</v>
      </c>
      <c r="BG991" t="s">
        <v>311</v>
      </c>
      <c r="BH991" t="s">
        <v>763</v>
      </c>
      <c r="BK991" s="10" t="s">
        <v>41</v>
      </c>
      <c r="BL991" s="17">
        <v>0</v>
      </c>
      <c r="BR991" s="10" t="s">
        <v>842</v>
      </c>
      <c r="BS991" s="10">
        <v>0</v>
      </c>
      <c r="BT991" s="10">
        <v>0</v>
      </c>
      <c r="BY991" s="10">
        <v>0</v>
      </c>
      <c r="BZ991" s="10">
        <v>0</v>
      </c>
      <c r="CE991" s="10" t="s">
        <v>941</v>
      </c>
      <c r="CG991" t="s">
        <v>651</v>
      </c>
      <c r="CH991" t="s">
        <v>786</v>
      </c>
    </row>
    <row r="992" spans="1:86" x14ac:dyDescent="0.3">
      <c r="A992">
        <v>1164</v>
      </c>
      <c r="B992" t="s">
        <v>396</v>
      </c>
      <c r="C992" t="s">
        <v>329</v>
      </c>
      <c r="D992" t="s">
        <v>947</v>
      </c>
      <c r="E992" t="s">
        <v>611</v>
      </c>
      <c r="F992" t="s">
        <v>940</v>
      </c>
      <c r="I992" t="s">
        <v>564</v>
      </c>
      <c r="S992">
        <v>40</v>
      </c>
      <c r="BG992" t="s">
        <v>312</v>
      </c>
      <c r="BH992" t="s">
        <v>314</v>
      </c>
      <c r="BK992" s="10" t="s">
        <v>41</v>
      </c>
      <c r="BL992" s="17">
        <v>3.97</v>
      </c>
      <c r="BR992" s="10" t="s">
        <v>842</v>
      </c>
      <c r="BS992" s="10">
        <v>3.97</v>
      </c>
      <c r="BT992" s="10">
        <v>0.02</v>
      </c>
      <c r="BY992" s="10">
        <v>0</v>
      </c>
      <c r="BZ992" s="10">
        <v>0</v>
      </c>
      <c r="CE992" s="10" t="s">
        <v>941</v>
      </c>
      <c r="CG992" t="s">
        <v>651</v>
      </c>
      <c r="CH992" t="s">
        <v>786</v>
      </c>
    </row>
    <row r="993" spans="1:86" x14ac:dyDescent="0.3">
      <c r="A993">
        <v>1165</v>
      </c>
      <c r="B993" t="s">
        <v>396</v>
      </c>
      <c r="C993" t="s">
        <v>329</v>
      </c>
      <c r="D993" t="s">
        <v>947</v>
      </c>
      <c r="E993" t="s">
        <v>611</v>
      </c>
      <c r="F993" t="s">
        <v>940</v>
      </c>
      <c r="I993" t="s">
        <v>564</v>
      </c>
      <c r="S993">
        <v>40</v>
      </c>
      <c r="BG993" t="s">
        <v>312</v>
      </c>
      <c r="BH993" t="s">
        <v>785</v>
      </c>
      <c r="BK993" s="10" t="s">
        <v>41</v>
      </c>
      <c r="BL993" s="17">
        <v>3.5</v>
      </c>
      <c r="BR993" s="10" t="s">
        <v>842</v>
      </c>
      <c r="BS993" s="10">
        <v>3.5</v>
      </c>
      <c r="BT993" s="10">
        <v>0.04</v>
      </c>
      <c r="BY993" s="10">
        <v>0</v>
      </c>
      <c r="BZ993" s="10">
        <v>0</v>
      </c>
      <c r="CE993" s="10" t="s">
        <v>941</v>
      </c>
      <c r="CG993" t="s">
        <v>651</v>
      </c>
      <c r="CH993" t="s">
        <v>786</v>
      </c>
    </row>
    <row r="994" spans="1:86" x14ac:dyDescent="0.3">
      <c r="A994">
        <v>1166</v>
      </c>
      <c r="B994" t="s">
        <v>396</v>
      </c>
      <c r="C994" t="s">
        <v>329</v>
      </c>
      <c r="D994" t="s">
        <v>947</v>
      </c>
      <c r="E994" t="s">
        <v>611</v>
      </c>
      <c r="F994" t="s">
        <v>940</v>
      </c>
      <c r="I994" t="s">
        <v>564</v>
      </c>
      <c r="S994">
        <v>40</v>
      </c>
      <c r="BG994" t="s">
        <v>312</v>
      </c>
      <c r="BH994" t="s">
        <v>944</v>
      </c>
      <c r="BK994" s="10" t="s">
        <v>41</v>
      </c>
      <c r="BL994" s="17">
        <v>1.56</v>
      </c>
      <c r="BR994" s="10" t="s">
        <v>842</v>
      </c>
      <c r="BS994" s="10">
        <v>1.26</v>
      </c>
      <c r="BT994" s="10">
        <v>0.59</v>
      </c>
      <c r="BY994" s="10">
        <v>-0.3</v>
      </c>
      <c r="BZ994" s="10">
        <v>0</v>
      </c>
      <c r="CE994" s="10" t="s">
        <v>941</v>
      </c>
      <c r="CG994" t="s">
        <v>651</v>
      </c>
      <c r="CH994" t="s">
        <v>786</v>
      </c>
    </row>
    <row r="995" spans="1:86" x14ac:dyDescent="0.3">
      <c r="A995">
        <v>1167</v>
      </c>
      <c r="B995" t="s">
        <v>396</v>
      </c>
      <c r="C995" t="s">
        <v>329</v>
      </c>
      <c r="D995" t="s">
        <v>947</v>
      </c>
      <c r="E995" t="s">
        <v>611</v>
      </c>
      <c r="F995" t="s">
        <v>940</v>
      </c>
      <c r="I995" t="s">
        <v>564</v>
      </c>
      <c r="S995">
        <v>40</v>
      </c>
      <c r="BG995" t="s">
        <v>312</v>
      </c>
      <c r="BH995" t="s">
        <v>787</v>
      </c>
      <c r="BK995" s="10" t="s">
        <v>41</v>
      </c>
      <c r="BL995" s="17">
        <v>2.0299999999999998</v>
      </c>
      <c r="BR995" s="10" t="s">
        <v>842</v>
      </c>
      <c r="BS995" s="10">
        <v>1.73</v>
      </c>
      <c r="BT995" s="10">
        <v>0.47</v>
      </c>
      <c r="BY995" s="10">
        <v>-0.3</v>
      </c>
      <c r="BZ995" s="10">
        <v>0</v>
      </c>
      <c r="CE995" s="10" t="s">
        <v>941</v>
      </c>
      <c r="CG995" t="s">
        <v>651</v>
      </c>
      <c r="CH995" t="s">
        <v>786</v>
      </c>
    </row>
    <row r="996" spans="1:86" x14ac:dyDescent="0.3">
      <c r="A996">
        <v>1168</v>
      </c>
      <c r="B996" t="s">
        <v>396</v>
      </c>
      <c r="C996" t="s">
        <v>329</v>
      </c>
      <c r="D996" t="s">
        <v>947</v>
      </c>
      <c r="E996" t="s">
        <v>611</v>
      </c>
      <c r="F996" t="s">
        <v>940</v>
      </c>
      <c r="I996" t="s">
        <v>564</v>
      </c>
      <c r="S996">
        <v>40</v>
      </c>
      <c r="BG996" t="s">
        <v>311</v>
      </c>
      <c r="BH996" t="s">
        <v>763</v>
      </c>
      <c r="BK996" s="10" t="s">
        <v>41</v>
      </c>
      <c r="BL996" s="17">
        <v>2.11</v>
      </c>
      <c r="BN996" s="17">
        <v>0.28000000000000003</v>
      </c>
      <c r="BS996" s="10">
        <v>6.82</v>
      </c>
      <c r="BT996" s="10">
        <v>7.0000000000000007E-2</v>
      </c>
      <c r="BY996" s="10">
        <v>4.82</v>
      </c>
      <c r="BZ996" s="10">
        <v>0.28000000000000003</v>
      </c>
      <c r="CE996" s="10" t="s">
        <v>941</v>
      </c>
      <c r="CG996" t="s">
        <v>651</v>
      </c>
      <c r="CH996" t="s">
        <v>786</v>
      </c>
    </row>
    <row r="997" spans="1:86" x14ac:dyDescent="0.3">
      <c r="A997">
        <v>1169</v>
      </c>
      <c r="B997" t="s">
        <v>396</v>
      </c>
      <c r="C997" t="s">
        <v>329</v>
      </c>
      <c r="D997" t="s">
        <v>948</v>
      </c>
      <c r="E997" t="s">
        <v>611</v>
      </c>
      <c r="F997" t="s">
        <v>940</v>
      </c>
      <c r="I997" t="s">
        <v>564</v>
      </c>
      <c r="S997">
        <v>40</v>
      </c>
      <c r="BG997" t="s">
        <v>312</v>
      </c>
      <c r="BH997" t="s">
        <v>314</v>
      </c>
      <c r="BK997" s="10" t="s">
        <v>41</v>
      </c>
      <c r="BL997" s="17">
        <v>4.4800000000000004</v>
      </c>
      <c r="BR997" s="10" t="s">
        <v>842</v>
      </c>
      <c r="BS997" s="10">
        <v>4.4800000000000004</v>
      </c>
      <c r="BT997" s="10">
        <v>7.0000000000000007E-2</v>
      </c>
      <c r="BY997" s="10">
        <v>0</v>
      </c>
      <c r="BZ997" s="10">
        <v>0</v>
      </c>
      <c r="CE997" s="10" t="s">
        <v>941</v>
      </c>
      <c r="CG997" t="s">
        <v>651</v>
      </c>
      <c r="CH997" t="s">
        <v>786</v>
      </c>
    </row>
    <row r="998" spans="1:86" x14ac:dyDescent="0.3">
      <c r="A998">
        <v>1170</v>
      </c>
      <c r="B998" t="s">
        <v>396</v>
      </c>
      <c r="C998" t="s">
        <v>329</v>
      </c>
      <c r="D998" t="s">
        <v>948</v>
      </c>
      <c r="E998" t="s">
        <v>611</v>
      </c>
      <c r="F998" t="s">
        <v>940</v>
      </c>
      <c r="I998" t="s">
        <v>564</v>
      </c>
      <c r="S998">
        <v>40</v>
      </c>
      <c r="BG998" t="s">
        <v>312</v>
      </c>
      <c r="BH998" t="s">
        <v>785</v>
      </c>
      <c r="BK998" s="10" t="s">
        <v>41</v>
      </c>
      <c r="BL998" s="17">
        <v>4.29</v>
      </c>
      <c r="BR998" s="10" t="s">
        <v>842</v>
      </c>
      <c r="BS998" s="10">
        <v>4.29</v>
      </c>
      <c r="BT998" s="10">
        <v>0.2</v>
      </c>
      <c r="BY998" s="10">
        <v>0</v>
      </c>
      <c r="BZ998" s="10">
        <v>0</v>
      </c>
      <c r="CE998" s="10" t="s">
        <v>941</v>
      </c>
      <c r="CG998" t="s">
        <v>651</v>
      </c>
      <c r="CH998" t="s">
        <v>786</v>
      </c>
    </row>
    <row r="999" spans="1:86" x14ac:dyDescent="0.3">
      <c r="A999">
        <v>1171</v>
      </c>
      <c r="B999" t="s">
        <v>396</v>
      </c>
      <c r="C999" t="s">
        <v>329</v>
      </c>
      <c r="D999" t="s">
        <v>948</v>
      </c>
      <c r="E999" t="s">
        <v>611</v>
      </c>
      <c r="F999" t="s">
        <v>940</v>
      </c>
      <c r="I999" t="s">
        <v>564</v>
      </c>
      <c r="S999">
        <v>40</v>
      </c>
      <c r="BG999" t="s">
        <v>312</v>
      </c>
      <c r="BH999" t="s">
        <v>944</v>
      </c>
      <c r="BK999" s="10" t="s">
        <v>41</v>
      </c>
      <c r="BL999" s="17">
        <v>4.33</v>
      </c>
      <c r="BR999" s="10" t="s">
        <v>842</v>
      </c>
      <c r="BS999" s="10">
        <v>4.03</v>
      </c>
      <c r="BT999" s="10">
        <v>0</v>
      </c>
      <c r="BY999" s="10">
        <v>-0.3</v>
      </c>
      <c r="BZ999" s="10">
        <v>0</v>
      </c>
      <c r="CE999" s="10" t="s">
        <v>941</v>
      </c>
      <c r="CG999" t="s">
        <v>651</v>
      </c>
      <c r="CH999" t="s">
        <v>786</v>
      </c>
    </row>
    <row r="1000" spans="1:86" x14ac:dyDescent="0.3">
      <c r="A1000">
        <v>1172</v>
      </c>
      <c r="B1000" t="s">
        <v>396</v>
      </c>
      <c r="C1000" t="s">
        <v>329</v>
      </c>
      <c r="D1000" t="s">
        <v>948</v>
      </c>
      <c r="E1000" t="s">
        <v>611</v>
      </c>
      <c r="F1000" t="s">
        <v>940</v>
      </c>
      <c r="I1000" t="s">
        <v>564</v>
      </c>
      <c r="S1000">
        <v>40</v>
      </c>
      <c r="BG1000" t="s">
        <v>312</v>
      </c>
      <c r="BH1000" t="s">
        <v>787</v>
      </c>
      <c r="BK1000" s="10" t="s">
        <v>41</v>
      </c>
      <c r="BL1000" s="17">
        <v>4.33</v>
      </c>
      <c r="BR1000" s="10" t="s">
        <v>842</v>
      </c>
      <c r="BS1000" s="10">
        <v>4.03</v>
      </c>
      <c r="BT1000" s="10">
        <v>0</v>
      </c>
      <c r="BY1000" s="10">
        <v>-0.3</v>
      </c>
      <c r="BZ1000" s="10">
        <v>0</v>
      </c>
      <c r="CE1000" s="10" t="s">
        <v>941</v>
      </c>
      <c r="CG1000" t="s">
        <v>651</v>
      </c>
      <c r="CH1000" t="s">
        <v>786</v>
      </c>
    </row>
    <row r="1001" spans="1:86" x14ac:dyDescent="0.3">
      <c r="A1001">
        <v>1173</v>
      </c>
      <c r="B1001" t="s">
        <v>396</v>
      </c>
      <c r="C1001" t="s">
        <v>329</v>
      </c>
      <c r="D1001" t="s">
        <v>948</v>
      </c>
      <c r="E1001" t="s">
        <v>611</v>
      </c>
      <c r="F1001" t="s">
        <v>940</v>
      </c>
      <c r="I1001" t="s">
        <v>564</v>
      </c>
      <c r="S1001">
        <v>40</v>
      </c>
      <c r="BG1001" t="s">
        <v>311</v>
      </c>
      <c r="BH1001" t="s">
        <v>763</v>
      </c>
      <c r="BK1001" s="10" t="s">
        <v>41</v>
      </c>
      <c r="BL1001" s="17">
        <v>0.62</v>
      </c>
      <c r="BR1001" s="10" t="s">
        <v>842</v>
      </c>
      <c r="BS1001" s="10">
        <v>0.62</v>
      </c>
      <c r="BT1001" s="10">
        <v>0.71</v>
      </c>
      <c r="BY1001" s="10">
        <v>0</v>
      </c>
      <c r="BZ1001" s="10">
        <v>0</v>
      </c>
      <c r="CE1001" s="10" t="s">
        <v>941</v>
      </c>
      <c r="CG1001" t="s">
        <v>651</v>
      </c>
      <c r="CH1001" t="s">
        <v>786</v>
      </c>
    </row>
    <row r="1002" spans="1:86" x14ac:dyDescent="0.3">
      <c r="A1002">
        <v>1174</v>
      </c>
      <c r="B1002" t="s">
        <v>396</v>
      </c>
      <c r="C1002" t="s">
        <v>329</v>
      </c>
      <c r="D1002" t="s">
        <v>945</v>
      </c>
      <c r="E1002" t="s">
        <v>611</v>
      </c>
      <c r="F1002" t="s">
        <v>940</v>
      </c>
      <c r="I1002" t="s">
        <v>564</v>
      </c>
      <c r="S1002">
        <v>40</v>
      </c>
      <c r="BG1002" t="s">
        <v>312</v>
      </c>
      <c r="BH1002" t="s">
        <v>314</v>
      </c>
      <c r="BK1002" s="10" t="s">
        <v>41</v>
      </c>
      <c r="BL1002" s="17">
        <v>4.42</v>
      </c>
      <c r="BR1002" s="10" t="s">
        <v>842</v>
      </c>
      <c r="BS1002" s="10">
        <v>4.42</v>
      </c>
      <c r="BT1002" s="10">
        <v>0.04</v>
      </c>
      <c r="BY1002" s="10">
        <v>0</v>
      </c>
      <c r="BZ1002" s="10">
        <v>0</v>
      </c>
      <c r="CE1002" s="10" t="s">
        <v>941</v>
      </c>
      <c r="CG1002" t="s">
        <v>651</v>
      </c>
      <c r="CH1002" t="s">
        <v>786</v>
      </c>
    </row>
    <row r="1003" spans="1:86" x14ac:dyDescent="0.3">
      <c r="A1003">
        <v>1175</v>
      </c>
      <c r="B1003" t="s">
        <v>396</v>
      </c>
      <c r="C1003" t="s">
        <v>329</v>
      </c>
      <c r="D1003" t="s">
        <v>945</v>
      </c>
      <c r="E1003" t="s">
        <v>611</v>
      </c>
      <c r="F1003" t="s">
        <v>940</v>
      </c>
      <c r="I1003" t="s">
        <v>564</v>
      </c>
      <c r="S1003">
        <v>40</v>
      </c>
      <c r="BG1003" t="s">
        <v>312</v>
      </c>
      <c r="BH1003" t="s">
        <v>785</v>
      </c>
      <c r="BK1003" s="10" t="s">
        <v>41</v>
      </c>
      <c r="BL1003" s="17">
        <v>4.3899999999999997</v>
      </c>
      <c r="BR1003" s="10" t="s">
        <v>842</v>
      </c>
      <c r="BS1003" s="10">
        <v>4.3899999999999997</v>
      </c>
      <c r="BT1003" s="10">
        <v>0.02</v>
      </c>
      <c r="BY1003" s="10">
        <v>0</v>
      </c>
      <c r="BZ1003" s="10">
        <v>0</v>
      </c>
      <c r="CE1003" s="10" t="s">
        <v>941</v>
      </c>
      <c r="CG1003" t="s">
        <v>651</v>
      </c>
      <c r="CH1003" t="s">
        <v>786</v>
      </c>
    </row>
    <row r="1004" spans="1:86" x14ac:dyDescent="0.3">
      <c r="A1004">
        <v>1176</v>
      </c>
      <c r="B1004" t="s">
        <v>396</v>
      </c>
      <c r="C1004" t="s">
        <v>329</v>
      </c>
      <c r="D1004" t="s">
        <v>945</v>
      </c>
      <c r="E1004" t="s">
        <v>611</v>
      </c>
      <c r="F1004" t="s">
        <v>940</v>
      </c>
      <c r="I1004" t="s">
        <v>564</v>
      </c>
      <c r="S1004">
        <v>40</v>
      </c>
      <c r="BG1004" t="s">
        <v>312</v>
      </c>
      <c r="BH1004" t="s">
        <v>944</v>
      </c>
      <c r="BK1004" s="10" t="s">
        <v>41</v>
      </c>
      <c r="BL1004" s="17">
        <v>3.19</v>
      </c>
      <c r="BR1004" s="10" t="s">
        <v>842</v>
      </c>
      <c r="BS1004" s="10">
        <v>3.49</v>
      </c>
      <c r="BT1004" s="10">
        <v>0.36</v>
      </c>
      <c r="BY1004" s="10">
        <v>0.3</v>
      </c>
      <c r="BZ1004" s="10">
        <v>0</v>
      </c>
      <c r="CE1004" s="10" t="s">
        <v>941</v>
      </c>
      <c r="CG1004" t="s">
        <v>651</v>
      </c>
      <c r="CH1004" t="s">
        <v>786</v>
      </c>
    </row>
    <row r="1005" spans="1:86" x14ac:dyDescent="0.3">
      <c r="A1005">
        <v>1177</v>
      </c>
      <c r="B1005" t="s">
        <v>396</v>
      </c>
      <c r="C1005" t="s">
        <v>329</v>
      </c>
      <c r="D1005" t="s">
        <v>945</v>
      </c>
      <c r="E1005" t="s">
        <v>611</v>
      </c>
      <c r="F1005" t="s">
        <v>940</v>
      </c>
      <c r="I1005" t="s">
        <v>564</v>
      </c>
      <c r="S1005">
        <v>40</v>
      </c>
      <c r="BG1005" t="s">
        <v>312</v>
      </c>
      <c r="BH1005" t="s">
        <v>787</v>
      </c>
      <c r="BK1005" s="10" t="s">
        <v>41</v>
      </c>
      <c r="BL1005" s="17">
        <v>4.33</v>
      </c>
      <c r="BR1005" s="10" t="s">
        <v>842</v>
      </c>
      <c r="BS1005" s="10">
        <v>4.03</v>
      </c>
      <c r="BT1005" s="10">
        <v>0</v>
      </c>
      <c r="BY1005" s="10">
        <v>-0.3</v>
      </c>
      <c r="BZ1005" s="10">
        <v>0</v>
      </c>
      <c r="CE1005" s="10" t="s">
        <v>941</v>
      </c>
      <c r="CG1005" t="s">
        <v>651</v>
      </c>
      <c r="CH1005" t="s">
        <v>786</v>
      </c>
    </row>
    <row r="1006" spans="1:86" x14ac:dyDescent="0.3">
      <c r="A1006">
        <v>1178</v>
      </c>
      <c r="B1006" t="s">
        <v>396</v>
      </c>
      <c r="C1006" t="s">
        <v>329</v>
      </c>
      <c r="D1006" t="s">
        <v>945</v>
      </c>
      <c r="E1006" t="s">
        <v>611</v>
      </c>
      <c r="F1006" t="s">
        <v>940</v>
      </c>
      <c r="I1006" t="s">
        <v>564</v>
      </c>
      <c r="S1006">
        <v>40</v>
      </c>
      <c r="BG1006" t="s">
        <v>311</v>
      </c>
      <c r="BH1006" t="s">
        <v>763</v>
      </c>
      <c r="BK1006" s="10" t="s">
        <v>41</v>
      </c>
      <c r="BL1006" s="17">
        <v>4.8499999999999996</v>
      </c>
      <c r="BR1006" s="10" t="s">
        <v>842</v>
      </c>
      <c r="BS1006" s="10">
        <v>4.8499999999999996</v>
      </c>
      <c r="BT1006" s="10">
        <v>0.27</v>
      </c>
      <c r="BY1006" s="10">
        <v>0</v>
      </c>
      <c r="BZ1006" s="10">
        <v>0</v>
      </c>
      <c r="CE1006" s="10" t="s">
        <v>941</v>
      </c>
      <c r="CG1006" t="s">
        <v>651</v>
      </c>
      <c r="CH1006" t="s">
        <v>786</v>
      </c>
    </row>
    <row r="1007" spans="1:86" x14ac:dyDescent="0.3">
      <c r="A1007">
        <v>1179</v>
      </c>
      <c r="B1007" t="s">
        <v>1222</v>
      </c>
      <c r="C1007" t="s">
        <v>340</v>
      </c>
      <c r="D1007" t="s">
        <v>949</v>
      </c>
      <c r="E1007" t="s">
        <v>950</v>
      </c>
      <c r="F1007" t="s">
        <v>565</v>
      </c>
      <c r="G1007" t="s">
        <v>951</v>
      </c>
      <c r="I1007" t="s">
        <v>564</v>
      </c>
      <c r="J1007" t="s">
        <v>668</v>
      </c>
      <c r="K1007">
        <v>0.22</v>
      </c>
      <c r="M1007">
        <v>20</v>
      </c>
      <c r="AC1007" t="s">
        <v>952</v>
      </c>
      <c r="AD1007">
        <v>20</v>
      </c>
      <c r="BG1007" t="s">
        <v>312</v>
      </c>
      <c r="BH1007" t="s">
        <v>953</v>
      </c>
      <c r="BJ1007" s="10" t="s">
        <v>959</v>
      </c>
      <c r="BK1007" s="10" t="s">
        <v>41</v>
      </c>
      <c r="BL1007" s="17">
        <v>3.86</v>
      </c>
      <c r="BM1007" s="52">
        <v>3</v>
      </c>
      <c r="BN1007" s="17">
        <v>0.36</v>
      </c>
      <c r="BS1007" s="10">
        <f>LOG(4400000)</f>
        <v>6.6434526764861879</v>
      </c>
      <c r="BT1007" s="10">
        <f>LOG(1100000)</f>
        <v>6.0413926851582254</v>
      </c>
      <c r="CE1007" s="10" t="s">
        <v>647</v>
      </c>
      <c r="CG1007" t="s">
        <v>651</v>
      </c>
      <c r="CH1007" t="s">
        <v>786</v>
      </c>
    </row>
    <row r="1008" spans="1:86" x14ac:dyDescent="0.3">
      <c r="A1008">
        <v>1180</v>
      </c>
      <c r="B1008" t="s">
        <v>1222</v>
      </c>
      <c r="C1008" t="s">
        <v>340</v>
      </c>
      <c r="D1008" t="s">
        <v>949</v>
      </c>
      <c r="E1008" t="s">
        <v>950</v>
      </c>
      <c r="F1008" t="s">
        <v>565</v>
      </c>
      <c r="G1008" t="s">
        <v>951</v>
      </c>
      <c r="I1008" t="s">
        <v>564</v>
      </c>
      <c r="J1008" t="s">
        <v>668</v>
      </c>
      <c r="K1008">
        <v>0.22</v>
      </c>
      <c r="M1008">
        <v>40</v>
      </c>
      <c r="AC1008" t="s">
        <v>952</v>
      </c>
      <c r="AD1008">
        <v>40</v>
      </c>
      <c r="BG1008" t="s">
        <v>312</v>
      </c>
      <c r="BH1008" t="s">
        <v>953</v>
      </c>
      <c r="BJ1008" s="10" t="s">
        <v>959</v>
      </c>
      <c r="BK1008" s="10" t="s">
        <v>41</v>
      </c>
      <c r="BL1008" s="17">
        <v>3.92</v>
      </c>
      <c r="BM1008" s="52">
        <v>3</v>
      </c>
      <c r="BN1008" s="17">
        <v>0.42</v>
      </c>
      <c r="BS1008" s="10">
        <f t="shared" ref="BS1008:BS1017" si="36">LOG(4400000)</f>
        <v>6.6434526764861879</v>
      </c>
      <c r="BT1008" s="10">
        <f t="shared" ref="BT1008:BT1017" si="37">LOG(1100000)</f>
        <v>6.0413926851582254</v>
      </c>
      <c r="CE1008" s="10" t="s">
        <v>647</v>
      </c>
      <c r="CG1008" t="s">
        <v>651</v>
      </c>
      <c r="CH1008" t="s">
        <v>786</v>
      </c>
    </row>
    <row r="1009" spans="1:86" x14ac:dyDescent="0.3">
      <c r="A1009">
        <v>1181</v>
      </c>
      <c r="B1009" t="s">
        <v>1222</v>
      </c>
      <c r="C1009" t="s">
        <v>340</v>
      </c>
      <c r="D1009" t="s">
        <v>949</v>
      </c>
      <c r="E1009" t="s">
        <v>950</v>
      </c>
      <c r="F1009" t="s">
        <v>565</v>
      </c>
      <c r="G1009" t="s">
        <v>951</v>
      </c>
      <c r="I1009" t="s">
        <v>564</v>
      </c>
      <c r="J1009" t="s">
        <v>668</v>
      </c>
      <c r="K1009">
        <v>0.22</v>
      </c>
      <c r="M1009">
        <v>80</v>
      </c>
      <c r="AC1009" t="s">
        <v>952</v>
      </c>
      <c r="AD1009">
        <v>80</v>
      </c>
      <c r="BG1009" t="s">
        <v>312</v>
      </c>
      <c r="BH1009" t="s">
        <v>953</v>
      </c>
      <c r="BJ1009" s="10" t="s">
        <v>959</v>
      </c>
      <c r="BK1009" s="10" t="s">
        <v>41</v>
      </c>
      <c r="BL1009" s="17">
        <v>4</v>
      </c>
      <c r="BM1009" s="52">
        <v>3</v>
      </c>
      <c r="BN1009" s="17">
        <v>0.7</v>
      </c>
      <c r="BS1009" s="10">
        <f t="shared" si="36"/>
        <v>6.6434526764861879</v>
      </c>
      <c r="BT1009" s="10">
        <f t="shared" si="37"/>
        <v>6.0413926851582254</v>
      </c>
      <c r="CE1009" s="10" t="s">
        <v>647</v>
      </c>
      <c r="CG1009" t="s">
        <v>651</v>
      </c>
      <c r="CH1009" t="s">
        <v>786</v>
      </c>
    </row>
    <row r="1010" spans="1:86" x14ac:dyDescent="0.3">
      <c r="A1010">
        <v>1182</v>
      </c>
      <c r="B1010" t="s">
        <v>1222</v>
      </c>
      <c r="C1010" t="s">
        <v>340</v>
      </c>
      <c r="D1010" t="s">
        <v>949</v>
      </c>
      <c r="E1010" t="s">
        <v>950</v>
      </c>
      <c r="F1010" t="s">
        <v>565</v>
      </c>
      <c r="G1010" t="s">
        <v>951</v>
      </c>
      <c r="I1010" t="s">
        <v>564</v>
      </c>
      <c r="J1010" t="s">
        <v>668</v>
      </c>
      <c r="K1010">
        <v>0.22</v>
      </c>
      <c r="M1010">
        <v>100</v>
      </c>
      <c r="AC1010" t="s">
        <v>952</v>
      </c>
      <c r="AD1010">
        <v>100</v>
      </c>
      <c r="BG1010" t="s">
        <v>312</v>
      </c>
      <c r="BH1010" t="s">
        <v>953</v>
      </c>
      <c r="BJ1010" s="10" t="s">
        <v>959</v>
      </c>
      <c r="BK1010" s="10" t="s">
        <v>41</v>
      </c>
      <c r="BL1010" s="17">
        <f>LRV[[#This Row],[in_ave]]</f>
        <v>6.6434526764861879</v>
      </c>
      <c r="BM1010" s="52">
        <v>3</v>
      </c>
      <c r="BR1010" s="10" t="s">
        <v>842</v>
      </c>
      <c r="BS1010" s="10">
        <f t="shared" si="36"/>
        <v>6.6434526764861879</v>
      </c>
      <c r="BT1010" s="10">
        <f t="shared" si="37"/>
        <v>6.0413926851582254</v>
      </c>
      <c r="CE1010" s="10" t="s">
        <v>647</v>
      </c>
      <c r="CG1010" t="s">
        <v>651</v>
      </c>
      <c r="CH1010" t="s">
        <v>786</v>
      </c>
    </row>
    <row r="1011" spans="1:86" x14ac:dyDescent="0.3">
      <c r="A1011">
        <v>1183</v>
      </c>
      <c r="B1011" t="s">
        <v>1222</v>
      </c>
      <c r="C1011" t="s">
        <v>340</v>
      </c>
      <c r="D1011" t="s">
        <v>954</v>
      </c>
      <c r="E1011" t="s">
        <v>950</v>
      </c>
      <c r="F1011" t="s">
        <v>565</v>
      </c>
      <c r="G1011" t="s">
        <v>951</v>
      </c>
      <c r="I1011" t="s">
        <v>564</v>
      </c>
      <c r="J1011" t="s">
        <v>668</v>
      </c>
      <c r="K1011">
        <v>0.22</v>
      </c>
      <c r="M1011">
        <v>20</v>
      </c>
      <c r="AC1011" t="s">
        <v>952</v>
      </c>
      <c r="AD1011">
        <v>20</v>
      </c>
      <c r="BG1011" t="s">
        <v>312</v>
      </c>
      <c r="BH1011" t="s">
        <v>953</v>
      </c>
      <c r="BJ1011" s="10" t="s">
        <v>959</v>
      </c>
      <c r="BK1011" s="10" t="s">
        <v>41</v>
      </c>
      <c r="BL1011" s="17">
        <v>3.9</v>
      </c>
      <c r="BM1011" s="52">
        <v>3</v>
      </c>
      <c r="BN1011" s="17">
        <v>0.5</v>
      </c>
      <c r="BS1011" s="10">
        <f t="shared" si="36"/>
        <v>6.6434526764861879</v>
      </c>
      <c r="BT1011" s="10">
        <f t="shared" si="37"/>
        <v>6.0413926851582254</v>
      </c>
      <c r="CE1011" s="10" t="s">
        <v>647</v>
      </c>
      <c r="CG1011" t="s">
        <v>651</v>
      </c>
      <c r="CH1011" t="s">
        <v>786</v>
      </c>
    </row>
    <row r="1012" spans="1:86" x14ac:dyDescent="0.3">
      <c r="A1012">
        <v>1184</v>
      </c>
      <c r="B1012" t="s">
        <v>1222</v>
      </c>
      <c r="C1012" t="s">
        <v>340</v>
      </c>
      <c r="D1012" t="s">
        <v>954</v>
      </c>
      <c r="E1012" t="s">
        <v>950</v>
      </c>
      <c r="F1012" t="s">
        <v>565</v>
      </c>
      <c r="G1012" t="s">
        <v>951</v>
      </c>
      <c r="I1012" t="s">
        <v>564</v>
      </c>
      <c r="J1012" t="s">
        <v>668</v>
      </c>
      <c r="K1012">
        <v>0.22</v>
      </c>
      <c r="M1012">
        <v>40</v>
      </c>
      <c r="AC1012" t="s">
        <v>952</v>
      </c>
      <c r="AD1012">
        <v>40</v>
      </c>
      <c r="BG1012" t="s">
        <v>312</v>
      </c>
      <c r="BH1012" t="s">
        <v>953</v>
      </c>
      <c r="BJ1012" s="10" t="s">
        <v>959</v>
      </c>
      <c r="BK1012" s="10" t="s">
        <v>41</v>
      </c>
      <c r="BL1012" s="17">
        <v>3.99</v>
      </c>
      <c r="BM1012" s="52">
        <v>3</v>
      </c>
      <c r="BN1012" s="17">
        <v>0.6</v>
      </c>
      <c r="BS1012" s="10">
        <f t="shared" si="36"/>
        <v>6.6434526764861879</v>
      </c>
      <c r="BT1012" s="10">
        <f t="shared" si="37"/>
        <v>6.0413926851582254</v>
      </c>
      <c r="CE1012" s="10" t="s">
        <v>647</v>
      </c>
      <c r="CG1012" t="s">
        <v>651</v>
      </c>
      <c r="CH1012" t="s">
        <v>786</v>
      </c>
    </row>
    <row r="1013" spans="1:86" x14ac:dyDescent="0.3">
      <c r="A1013">
        <v>1185</v>
      </c>
      <c r="B1013" t="s">
        <v>1222</v>
      </c>
      <c r="C1013" t="s">
        <v>340</v>
      </c>
      <c r="D1013" t="s">
        <v>954</v>
      </c>
      <c r="E1013" t="s">
        <v>950</v>
      </c>
      <c r="F1013" t="s">
        <v>565</v>
      </c>
      <c r="G1013" t="s">
        <v>951</v>
      </c>
      <c r="I1013" t="s">
        <v>564</v>
      </c>
      <c r="J1013" t="s">
        <v>668</v>
      </c>
      <c r="K1013">
        <v>0.22</v>
      </c>
      <c r="M1013">
        <v>80</v>
      </c>
      <c r="AC1013" t="s">
        <v>952</v>
      </c>
      <c r="AD1013">
        <v>80</v>
      </c>
      <c r="BG1013" t="s">
        <v>312</v>
      </c>
      <c r="BH1013" t="s">
        <v>953</v>
      </c>
      <c r="BJ1013" s="10" t="s">
        <v>959</v>
      </c>
      <c r="BK1013" s="10" t="s">
        <v>41</v>
      </c>
      <c r="BL1013" s="17">
        <v>4.0599999999999996</v>
      </c>
      <c r="BM1013" s="52">
        <v>3</v>
      </c>
      <c r="BN1013" s="17">
        <v>0.83</v>
      </c>
      <c r="BS1013" s="10">
        <f t="shared" si="36"/>
        <v>6.6434526764861879</v>
      </c>
      <c r="BT1013" s="10">
        <f t="shared" si="37"/>
        <v>6.0413926851582254</v>
      </c>
      <c r="CE1013" s="10" t="s">
        <v>647</v>
      </c>
      <c r="CG1013" t="s">
        <v>651</v>
      </c>
      <c r="CH1013" t="s">
        <v>786</v>
      </c>
    </row>
    <row r="1014" spans="1:86" x14ac:dyDescent="0.3">
      <c r="A1014">
        <v>1186</v>
      </c>
      <c r="B1014" t="s">
        <v>1222</v>
      </c>
      <c r="C1014" t="s">
        <v>340</v>
      </c>
      <c r="D1014" t="s">
        <v>954</v>
      </c>
      <c r="E1014" t="s">
        <v>950</v>
      </c>
      <c r="F1014" t="s">
        <v>565</v>
      </c>
      <c r="G1014" t="s">
        <v>951</v>
      </c>
      <c r="I1014" t="s">
        <v>564</v>
      </c>
      <c r="J1014" t="s">
        <v>668</v>
      </c>
      <c r="K1014">
        <v>0.22</v>
      </c>
      <c r="M1014">
        <v>100</v>
      </c>
      <c r="AC1014" t="s">
        <v>952</v>
      </c>
      <c r="AD1014">
        <v>100</v>
      </c>
      <c r="BG1014" t="s">
        <v>312</v>
      </c>
      <c r="BH1014" t="s">
        <v>953</v>
      </c>
      <c r="BJ1014" s="10" t="s">
        <v>959</v>
      </c>
      <c r="BK1014" s="10" t="s">
        <v>41</v>
      </c>
      <c r="BL1014" s="17">
        <f>LRV[[#This Row],[in_ave]]</f>
        <v>6.6434526764861879</v>
      </c>
      <c r="BM1014" s="52">
        <v>3</v>
      </c>
      <c r="BR1014" s="10" t="s">
        <v>842</v>
      </c>
      <c r="BS1014" s="10">
        <f t="shared" si="36"/>
        <v>6.6434526764861879</v>
      </c>
      <c r="BT1014" s="10">
        <f t="shared" si="37"/>
        <v>6.0413926851582254</v>
      </c>
      <c r="CE1014" s="10" t="s">
        <v>647</v>
      </c>
      <c r="CG1014" t="s">
        <v>651</v>
      </c>
      <c r="CH1014" t="s">
        <v>786</v>
      </c>
    </row>
    <row r="1015" spans="1:86" x14ac:dyDescent="0.3">
      <c r="A1015">
        <v>1187</v>
      </c>
      <c r="B1015" t="s">
        <v>1222</v>
      </c>
      <c r="C1015" t="s">
        <v>340</v>
      </c>
      <c r="D1015" t="s">
        <v>955</v>
      </c>
      <c r="E1015" t="s">
        <v>950</v>
      </c>
      <c r="F1015" t="s">
        <v>565</v>
      </c>
      <c r="G1015" t="s">
        <v>951</v>
      </c>
      <c r="I1015" t="s">
        <v>564</v>
      </c>
      <c r="J1015" t="s">
        <v>668</v>
      </c>
      <c r="K1015">
        <v>0.2</v>
      </c>
      <c r="M1015">
        <v>20</v>
      </c>
      <c r="AC1015" t="s">
        <v>952</v>
      </c>
      <c r="AD1015">
        <v>20</v>
      </c>
      <c r="BG1015" t="s">
        <v>312</v>
      </c>
      <c r="BH1015" t="s">
        <v>953</v>
      </c>
      <c r="BJ1015" s="10" t="s">
        <v>959</v>
      </c>
      <c r="BK1015" s="10" t="s">
        <v>41</v>
      </c>
      <c r="BL1015" s="17">
        <v>2.85</v>
      </c>
      <c r="BM1015" s="52">
        <v>3</v>
      </c>
      <c r="BN1015" s="17">
        <v>0.17</v>
      </c>
      <c r="BS1015" s="10">
        <f t="shared" si="36"/>
        <v>6.6434526764861879</v>
      </c>
      <c r="BT1015" s="10">
        <f t="shared" si="37"/>
        <v>6.0413926851582254</v>
      </c>
      <c r="CE1015" s="10" t="s">
        <v>647</v>
      </c>
      <c r="CG1015" t="s">
        <v>651</v>
      </c>
      <c r="CH1015" t="s">
        <v>786</v>
      </c>
    </row>
    <row r="1016" spans="1:86" x14ac:dyDescent="0.3">
      <c r="A1016">
        <v>1188</v>
      </c>
      <c r="B1016" t="s">
        <v>1222</v>
      </c>
      <c r="C1016" t="s">
        <v>340</v>
      </c>
      <c r="D1016" t="s">
        <v>955</v>
      </c>
      <c r="E1016" t="s">
        <v>950</v>
      </c>
      <c r="F1016" t="s">
        <v>565</v>
      </c>
      <c r="G1016" t="s">
        <v>951</v>
      </c>
      <c r="I1016" t="s">
        <v>564</v>
      </c>
      <c r="J1016" t="s">
        <v>668</v>
      </c>
      <c r="K1016">
        <v>0.1</v>
      </c>
      <c r="M1016">
        <v>80</v>
      </c>
      <c r="AC1016" t="s">
        <v>952</v>
      </c>
      <c r="AD1016">
        <v>80</v>
      </c>
      <c r="BG1016" t="s">
        <v>312</v>
      </c>
      <c r="BH1016" t="s">
        <v>953</v>
      </c>
      <c r="BJ1016" s="10" t="s">
        <v>959</v>
      </c>
      <c r="BK1016" s="10" t="s">
        <v>41</v>
      </c>
      <c r="BL1016" s="17">
        <v>3.26</v>
      </c>
      <c r="BM1016" s="52">
        <v>3</v>
      </c>
      <c r="BN1016" s="17">
        <v>0.18</v>
      </c>
      <c r="BS1016" s="10">
        <f t="shared" si="36"/>
        <v>6.6434526764861879</v>
      </c>
      <c r="BT1016" s="10">
        <f t="shared" si="37"/>
        <v>6.0413926851582254</v>
      </c>
      <c r="CE1016" s="10" t="s">
        <v>647</v>
      </c>
      <c r="CG1016" t="s">
        <v>651</v>
      </c>
      <c r="CH1016" t="s">
        <v>786</v>
      </c>
    </row>
    <row r="1017" spans="1:86" x14ac:dyDescent="0.3">
      <c r="A1017">
        <v>1189</v>
      </c>
      <c r="B1017" t="s">
        <v>1222</v>
      </c>
      <c r="C1017" t="s">
        <v>340</v>
      </c>
      <c r="D1017" t="s">
        <v>955</v>
      </c>
      <c r="E1017" t="s">
        <v>950</v>
      </c>
      <c r="F1017" t="s">
        <v>565</v>
      </c>
      <c r="G1017" t="s">
        <v>951</v>
      </c>
      <c r="I1017" t="s">
        <v>564</v>
      </c>
      <c r="J1017" t="s">
        <v>668</v>
      </c>
      <c r="K1017">
        <v>0.05</v>
      </c>
      <c r="M1017">
        <v>100</v>
      </c>
      <c r="AC1017" t="s">
        <v>952</v>
      </c>
      <c r="AD1017">
        <v>100</v>
      </c>
      <c r="BG1017" t="s">
        <v>312</v>
      </c>
      <c r="BH1017" t="s">
        <v>953</v>
      </c>
      <c r="BJ1017" s="10" t="s">
        <v>959</v>
      </c>
      <c r="BK1017" s="10" t="s">
        <v>41</v>
      </c>
      <c r="BL1017" s="17">
        <v>3.12</v>
      </c>
      <c r="BM1017" s="52">
        <v>3</v>
      </c>
      <c r="BN1017" s="17">
        <v>0.19</v>
      </c>
      <c r="BS1017" s="10">
        <f t="shared" si="36"/>
        <v>6.6434526764861879</v>
      </c>
      <c r="BT1017" s="10">
        <f t="shared" si="37"/>
        <v>6.0413926851582254</v>
      </c>
      <c r="CE1017" s="10" t="s">
        <v>647</v>
      </c>
      <c r="CG1017" t="s">
        <v>651</v>
      </c>
      <c r="CH1017" t="s">
        <v>786</v>
      </c>
    </row>
    <row r="1018" spans="1:86" x14ac:dyDescent="0.3">
      <c r="A1018">
        <v>1190</v>
      </c>
      <c r="B1018" t="s">
        <v>1222</v>
      </c>
      <c r="C1018" t="s">
        <v>340</v>
      </c>
      <c r="D1018" t="s">
        <v>949</v>
      </c>
      <c r="E1018" t="s">
        <v>950</v>
      </c>
      <c r="F1018" t="s">
        <v>577</v>
      </c>
      <c r="G1018" t="s">
        <v>789</v>
      </c>
      <c r="I1018" t="s">
        <v>564</v>
      </c>
      <c r="J1018" t="s">
        <v>668</v>
      </c>
      <c r="K1018">
        <v>0.22</v>
      </c>
      <c r="M1018">
        <v>20</v>
      </c>
      <c r="AC1018" t="s">
        <v>952</v>
      </c>
      <c r="AD1018">
        <v>20</v>
      </c>
      <c r="BG1018" t="s">
        <v>312</v>
      </c>
      <c r="BH1018" t="s">
        <v>736</v>
      </c>
      <c r="BJ1018" s="10" t="s">
        <v>959</v>
      </c>
      <c r="BK1018" s="10" t="s">
        <v>41</v>
      </c>
      <c r="BL1018" s="17">
        <f>LRV[[#This Row],[in_ave]]</f>
        <v>7.4149733479708182</v>
      </c>
      <c r="BM1018" s="52">
        <v>3</v>
      </c>
      <c r="BR1018" s="10" t="s">
        <v>842</v>
      </c>
      <c r="BS1018" s="10">
        <f>LOG(26000000)</f>
        <v>7.4149733479708182</v>
      </c>
      <c r="BT1018" s="10">
        <f>LOG(5000000)</f>
        <v>6.6989700043360187</v>
      </c>
      <c r="CE1018" s="10" t="s">
        <v>647</v>
      </c>
      <c r="CG1018" t="s">
        <v>651</v>
      </c>
      <c r="CH1018" t="s">
        <v>786</v>
      </c>
    </row>
    <row r="1019" spans="1:86" x14ac:dyDescent="0.3">
      <c r="A1019">
        <v>1191</v>
      </c>
      <c r="B1019" t="s">
        <v>1222</v>
      </c>
      <c r="C1019" t="s">
        <v>340</v>
      </c>
      <c r="D1019" t="s">
        <v>949</v>
      </c>
      <c r="E1019" t="s">
        <v>950</v>
      </c>
      <c r="F1019" t="s">
        <v>577</v>
      </c>
      <c r="G1019" t="s">
        <v>789</v>
      </c>
      <c r="I1019" t="s">
        <v>564</v>
      </c>
      <c r="J1019" t="s">
        <v>668</v>
      </c>
      <c r="K1019">
        <v>0.22</v>
      </c>
      <c r="M1019">
        <v>40</v>
      </c>
      <c r="AC1019" t="s">
        <v>952</v>
      </c>
      <c r="AD1019">
        <v>40</v>
      </c>
      <c r="BG1019" t="s">
        <v>312</v>
      </c>
      <c r="BH1019" t="s">
        <v>736</v>
      </c>
      <c r="BJ1019" s="10" t="s">
        <v>959</v>
      </c>
      <c r="BK1019" s="10" t="s">
        <v>41</v>
      </c>
      <c r="BL1019" s="17">
        <v>3.3</v>
      </c>
      <c r="BM1019" s="52">
        <v>3</v>
      </c>
      <c r="BN1019" s="17">
        <v>0.37</v>
      </c>
      <c r="BS1019" s="10">
        <f t="shared" ref="BS1019:BS1028" si="38">LOG(26000000)</f>
        <v>7.4149733479708182</v>
      </c>
      <c r="BT1019" s="10">
        <f t="shared" ref="BT1019:BT1028" si="39">LOG(5000000)</f>
        <v>6.6989700043360187</v>
      </c>
      <c r="CE1019" s="10" t="s">
        <v>647</v>
      </c>
      <c r="CG1019" t="s">
        <v>651</v>
      </c>
      <c r="CH1019" t="s">
        <v>786</v>
      </c>
    </row>
    <row r="1020" spans="1:86" x14ac:dyDescent="0.3">
      <c r="A1020">
        <v>1192</v>
      </c>
      <c r="B1020" t="s">
        <v>1222</v>
      </c>
      <c r="C1020" t="s">
        <v>340</v>
      </c>
      <c r="D1020" t="s">
        <v>949</v>
      </c>
      <c r="E1020" t="s">
        <v>950</v>
      </c>
      <c r="F1020" t="s">
        <v>577</v>
      </c>
      <c r="G1020" t="s">
        <v>789</v>
      </c>
      <c r="I1020" t="s">
        <v>564</v>
      </c>
      <c r="J1020" t="s">
        <v>668</v>
      </c>
      <c r="K1020">
        <v>0.22</v>
      </c>
      <c r="M1020">
        <v>80</v>
      </c>
      <c r="AC1020" t="s">
        <v>952</v>
      </c>
      <c r="AD1020">
        <v>80</v>
      </c>
      <c r="BG1020" t="s">
        <v>312</v>
      </c>
      <c r="BH1020" t="s">
        <v>736</v>
      </c>
      <c r="BJ1020" s="10" t="s">
        <v>959</v>
      </c>
      <c r="BK1020" s="10" t="s">
        <v>41</v>
      </c>
      <c r="BL1020" s="17">
        <v>3.6</v>
      </c>
      <c r="BM1020" s="52">
        <v>3</v>
      </c>
      <c r="BN1020" s="17">
        <v>0.1</v>
      </c>
      <c r="BS1020" s="10">
        <f t="shared" si="38"/>
        <v>7.4149733479708182</v>
      </c>
      <c r="BT1020" s="10">
        <f t="shared" si="39"/>
        <v>6.6989700043360187</v>
      </c>
      <c r="CE1020" s="10" t="s">
        <v>647</v>
      </c>
      <c r="CG1020" t="s">
        <v>651</v>
      </c>
      <c r="CH1020" t="s">
        <v>786</v>
      </c>
    </row>
    <row r="1021" spans="1:86" x14ac:dyDescent="0.3">
      <c r="A1021">
        <v>1193</v>
      </c>
      <c r="B1021" t="s">
        <v>1222</v>
      </c>
      <c r="C1021" t="s">
        <v>340</v>
      </c>
      <c r="D1021" t="s">
        <v>949</v>
      </c>
      <c r="E1021" t="s">
        <v>950</v>
      </c>
      <c r="F1021" t="s">
        <v>577</v>
      </c>
      <c r="G1021" t="s">
        <v>789</v>
      </c>
      <c r="I1021" t="s">
        <v>564</v>
      </c>
      <c r="J1021" t="s">
        <v>668</v>
      </c>
      <c r="K1021">
        <v>0.22</v>
      </c>
      <c r="M1021">
        <v>100</v>
      </c>
      <c r="AC1021" t="s">
        <v>952</v>
      </c>
      <c r="AD1021">
        <v>100</v>
      </c>
      <c r="BG1021" t="s">
        <v>312</v>
      </c>
      <c r="BH1021" t="s">
        <v>736</v>
      </c>
      <c r="BJ1021" s="10" t="s">
        <v>959</v>
      </c>
      <c r="BK1021" s="10" t="s">
        <v>41</v>
      </c>
      <c r="BL1021" s="17">
        <v>3.56</v>
      </c>
      <c r="BM1021" s="52">
        <v>3</v>
      </c>
      <c r="BN1021" s="17">
        <v>0.09</v>
      </c>
      <c r="BS1021" s="10">
        <f t="shared" si="38"/>
        <v>7.4149733479708182</v>
      </c>
      <c r="BT1021" s="10">
        <f t="shared" si="39"/>
        <v>6.6989700043360187</v>
      </c>
      <c r="CE1021" s="10" t="s">
        <v>647</v>
      </c>
      <c r="CG1021" t="s">
        <v>651</v>
      </c>
      <c r="CH1021" t="s">
        <v>786</v>
      </c>
    </row>
    <row r="1022" spans="1:86" x14ac:dyDescent="0.3">
      <c r="A1022">
        <v>1194</v>
      </c>
      <c r="B1022" t="s">
        <v>1222</v>
      </c>
      <c r="C1022" t="s">
        <v>340</v>
      </c>
      <c r="D1022" t="s">
        <v>954</v>
      </c>
      <c r="E1022" t="s">
        <v>950</v>
      </c>
      <c r="F1022" t="s">
        <v>577</v>
      </c>
      <c r="G1022" t="s">
        <v>789</v>
      </c>
      <c r="I1022" t="s">
        <v>564</v>
      </c>
      <c r="J1022" t="s">
        <v>668</v>
      </c>
      <c r="K1022">
        <v>0.22</v>
      </c>
      <c r="M1022">
        <v>20</v>
      </c>
      <c r="AC1022" t="s">
        <v>952</v>
      </c>
      <c r="AD1022">
        <v>20</v>
      </c>
      <c r="BG1022" t="s">
        <v>312</v>
      </c>
      <c r="BH1022" t="s">
        <v>736</v>
      </c>
      <c r="BJ1022" s="10" t="s">
        <v>959</v>
      </c>
      <c r="BK1022" s="10" t="s">
        <v>41</v>
      </c>
      <c r="BL1022" s="17">
        <f>LRV[[#This Row],[in_ave]]</f>
        <v>7.4149733479708182</v>
      </c>
      <c r="BM1022" s="52">
        <v>3</v>
      </c>
      <c r="BR1022" s="10" t="s">
        <v>842</v>
      </c>
      <c r="BS1022" s="10">
        <f t="shared" si="38"/>
        <v>7.4149733479708182</v>
      </c>
      <c r="BT1022" s="10">
        <f t="shared" si="39"/>
        <v>6.6989700043360187</v>
      </c>
      <c r="CE1022" s="10" t="s">
        <v>647</v>
      </c>
      <c r="CG1022" t="s">
        <v>651</v>
      </c>
      <c r="CH1022" t="s">
        <v>786</v>
      </c>
    </row>
    <row r="1023" spans="1:86" x14ac:dyDescent="0.3">
      <c r="A1023">
        <v>1195</v>
      </c>
      <c r="B1023" t="s">
        <v>1222</v>
      </c>
      <c r="C1023" t="s">
        <v>340</v>
      </c>
      <c r="D1023" t="s">
        <v>954</v>
      </c>
      <c r="E1023" t="s">
        <v>950</v>
      </c>
      <c r="F1023" t="s">
        <v>577</v>
      </c>
      <c r="G1023" t="s">
        <v>789</v>
      </c>
      <c r="I1023" t="s">
        <v>564</v>
      </c>
      <c r="J1023" t="s">
        <v>668</v>
      </c>
      <c r="K1023">
        <v>0.22</v>
      </c>
      <c r="M1023">
        <v>40</v>
      </c>
      <c r="AC1023" t="s">
        <v>952</v>
      </c>
      <c r="AD1023">
        <v>40</v>
      </c>
      <c r="BG1023" t="s">
        <v>312</v>
      </c>
      <c r="BH1023" t="s">
        <v>736</v>
      </c>
      <c r="BJ1023" s="10" t="s">
        <v>959</v>
      </c>
      <c r="BK1023" s="10" t="s">
        <v>41</v>
      </c>
      <c r="BL1023" s="17">
        <v>3.49</v>
      </c>
      <c r="BM1023" s="52">
        <v>3</v>
      </c>
      <c r="BN1023" s="17">
        <v>0.09</v>
      </c>
      <c r="BS1023" s="10">
        <f t="shared" si="38"/>
        <v>7.4149733479708182</v>
      </c>
      <c r="BT1023" s="10">
        <f t="shared" si="39"/>
        <v>6.6989700043360187</v>
      </c>
      <c r="CE1023" s="10" t="s">
        <v>647</v>
      </c>
      <c r="CG1023" t="s">
        <v>651</v>
      </c>
      <c r="CH1023" t="s">
        <v>786</v>
      </c>
    </row>
    <row r="1024" spans="1:86" x14ac:dyDescent="0.3">
      <c r="A1024">
        <v>1196</v>
      </c>
      <c r="B1024" t="s">
        <v>1222</v>
      </c>
      <c r="C1024" t="s">
        <v>340</v>
      </c>
      <c r="D1024" t="s">
        <v>954</v>
      </c>
      <c r="E1024" t="s">
        <v>950</v>
      </c>
      <c r="F1024" t="s">
        <v>577</v>
      </c>
      <c r="G1024" t="s">
        <v>789</v>
      </c>
      <c r="I1024" t="s">
        <v>564</v>
      </c>
      <c r="J1024" t="s">
        <v>668</v>
      </c>
      <c r="K1024">
        <v>0.22</v>
      </c>
      <c r="M1024">
        <v>80</v>
      </c>
      <c r="AC1024" t="s">
        <v>952</v>
      </c>
      <c r="AD1024">
        <v>80</v>
      </c>
      <c r="BG1024" t="s">
        <v>312</v>
      </c>
      <c r="BH1024" t="s">
        <v>736</v>
      </c>
      <c r="BJ1024" s="10" t="s">
        <v>959</v>
      </c>
      <c r="BK1024" s="10" t="s">
        <v>41</v>
      </c>
      <c r="BL1024" s="17">
        <v>3.56</v>
      </c>
      <c r="BM1024" s="52">
        <v>3</v>
      </c>
      <c r="BN1024" s="17">
        <v>0.1</v>
      </c>
      <c r="BS1024" s="10">
        <f t="shared" si="38"/>
        <v>7.4149733479708182</v>
      </c>
      <c r="BT1024" s="10">
        <f t="shared" si="39"/>
        <v>6.6989700043360187</v>
      </c>
      <c r="CE1024" s="10" t="s">
        <v>647</v>
      </c>
      <c r="CG1024" t="s">
        <v>651</v>
      </c>
      <c r="CH1024" t="s">
        <v>786</v>
      </c>
    </row>
    <row r="1025" spans="1:86" x14ac:dyDescent="0.3">
      <c r="A1025">
        <v>1197</v>
      </c>
      <c r="B1025" t="s">
        <v>1222</v>
      </c>
      <c r="C1025" t="s">
        <v>340</v>
      </c>
      <c r="D1025" t="s">
        <v>954</v>
      </c>
      <c r="E1025" t="s">
        <v>950</v>
      </c>
      <c r="F1025" t="s">
        <v>577</v>
      </c>
      <c r="G1025" t="s">
        <v>789</v>
      </c>
      <c r="I1025" t="s">
        <v>564</v>
      </c>
      <c r="J1025" t="s">
        <v>668</v>
      </c>
      <c r="K1025">
        <v>0.22</v>
      </c>
      <c r="M1025">
        <v>100</v>
      </c>
      <c r="AC1025" t="s">
        <v>952</v>
      </c>
      <c r="AD1025">
        <v>100</v>
      </c>
      <c r="BG1025" t="s">
        <v>312</v>
      </c>
      <c r="BH1025" t="s">
        <v>736</v>
      </c>
      <c r="BJ1025" s="10" t="s">
        <v>959</v>
      </c>
      <c r="BK1025" s="10" t="s">
        <v>41</v>
      </c>
      <c r="BL1025" s="17">
        <v>3.55</v>
      </c>
      <c r="BM1025" s="52">
        <v>3</v>
      </c>
      <c r="BN1025" s="17">
        <v>0.14000000000000001</v>
      </c>
      <c r="BS1025" s="10">
        <f t="shared" si="38"/>
        <v>7.4149733479708182</v>
      </c>
      <c r="BT1025" s="10">
        <f t="shared" si="39"/>
        <v>6.6989700043360187</v>
      </c>
      <c r="CE1025" s="10" t="s">
        <v>647</v>
      </c>
      <c r="CG1025" t="s">
        <v>651</v>
      </c>
      <c r="CH1025" t="s">
        <v>786</v>
      </c>
    </row>
    <row r="1026" spans="1:86" x14ac:dyDescent="0.3">
      <c r="A1026">
        <v>1198</v>
      </c>
      <c r="B1026" t="s">
        <v>1222</v>
      </c>
      <c r="C1026" t="s">
        <v>340</v>
      </c>
      <c r="D1026" t="s">
        <v>955</v>
      </c>
      <c r="E1026" t="s">
        <v>950</v>
      </c>
      <c r="F1026" t="s">
        <v>577</v>
      </c>
      <c r="G1026" t="s">
        <v>789</v>
      </c>
      <c r="I1026" t="s">
        <v>564</v>
      </c>
      <c r="J1026" t="s">
        <v>668</v>
      </c>
      <c r="K1026">
        <v>0.2</v>
      </c>
      <c r="M1026">
        <v>20</v>
      </c>
      <c r="AC1026" t="s">
        <v>952</v>
      </c>
      <c r="AD1026">
        <v>20</v>
      </c>
      <c r="BG1026" t="s">
        <v>312</v>
      </c>
      <c r="BH1026" t="s">
        <v>736</v>
      </c>
      <c r="BJ1026" s="10" t="s">
        <v>959</v>
      </c>
      <c r="BK1026" s="10" t="s">
        <v>41</v>
      </c>
      <c r="BL1026" s="17">
        <v>1.5</v>
      </c>
      <c r="BM1026" s="52">
        <v>3</v>
      </c>
      <c r="BN1026" s="17">
        <v>0.23</v>
      </c>
      <c r="BS1026" s="10">
        <f t="shared" si="38"/>
        <v>7.4149733479708182</v>
      </c>
      <c r="BT1026" s="10">
        <f t="shared" si="39"/>
        <v>6.6989700043360187</v>
      </c>
      <c r="CE1026" s="10" t="s">
        <v>647</v>
      </c>
      <c r="CG1026" t="s">
        <v>651</v>
      </c>
      <c r="CH1026" t="s">
        <v>786</v>
      </c>
    </row>
    <row r="1027" spans="1:86" x14ac:dyDescent="0.3">
      <c r="A1027">
        <v>1199</v>
      </c>
      <c r="B1027" t="s">
        <v>1222</v>
      </c>
      <c r="C1027" t="s">
        <v>340</v>
      </c>
      <c r="D1027" t="s">
        <v>955</v>
      </c>
      <c r="E1027" t="s">
        <v>950</v>
      </c>
      <c r="F1027" t="s">
        <v>577</v>
      </c>
      <c r="G1027" t="s">
        <v>789</v>
      </c>
      <c r="I1027" t="s">
        <v>564</v>
      </c>
      <c r="J1027" t="s">
        <v>668</v>
      </c>
      <c r="K1027">
        <v>0.1</v>
      </c>
      <c r="M1027">
        <v>80</v>
      </c>
      <c r="AC1027" t="s">
        <v>952</v>
      </c>
      <c r="AD1027">
        <v>80</v>
      </c>
      <c r="BG1027" t="s">
        <v>312</v>
      </c>
      <c r="BH1027" t="s">
        <v>736</v>
      </c>
      <c r="BJ1027" s="10" t="s">
        <v>959</v>
      </c>
      <c r="BK1027" s="10" t="s">
        <v>41</v>
      </c>
      <c r="BL1027" s="17">
        <v>3.64</v>
      </c>
      <c r="BM1027" s="52">
        <v>3</v>
      </c>
      <c r="BN1027" s="17">
        <v>0.19</v>
      </c>
      <c r="BS1027" s="10">
        <f t="shared" si="38"/>
        <v>7.4149733479708182</v>
      </c>
      <c r="BT1027" s="10">
        <f t="shared" si="39"/>
        <v>6.6989700043360187</v>
      </c>
      <c r="CE1027" s="10" t="s">
        <v>647</v>
      </c>
      <c r="CG1027" t="s">
        <v>651</v>
      </c>
      <c r="CH1027" t="s">
        <v>786</v>
      </c>
    </row>
    <row r="1028" spans="1:86" x14ac:dyDescent="0.3">
      <c r="A1028">
        <v>1200</v>
      </c>
      <c r="B1028" t="s">
        <v>1222</v>
      </c>
      <c r="C1028" t="s">
        <v>340</v>
      </c>
      <c r="D1028" t="s">
        <v>955</v>
      </c>
      <c r="E1028" t="s">
        <v>950</v>
      </c>
      <c r="F1028" t="s">
        <v>577</v>
      </c>
      <c r="G1028" t="s">
        <v>789</v>
      </c>
      <c r="I1028" t="s">
        <v>564</v>
      </c>
      <c r="J1028" t="s">
        <v>668</v>
      </c>
      <c r="K1028">
        <v>0.05</v>
      </c>
      <c r="M1028">
        <v>100</v>
      </c>
      <c r="AC1028" t="s">
        <v>952</v>
      </c>
      <c r="AD1028">
        <v>100</v>
      </c>
      <c r="BG1028" t="s">
        <v>312</v>
      </c>
      <c r="BH1028" t="s">
        <v>736</v>
      </c>
      <c r="BJ1028" s="10" t="s">
        <v>959</v>
      </c>
      <c r="BK1028" s="10" t="s">
        <v>41</v>
      </c>
      <c r="BL1028" s="17">
        <v>3.45</v>
      </c>
      <c r="BM1028" s="52">
        <v>3</v>
      </c>
      <c r="BN1028" s="17">
        <v>0.27</v>
      </c>
      <c r="BS1028" s="10">
        <f t="shared" si="38"/>
        <v>7.4149733479708182</v>
      </c>
      <c r="BT1028" s="10">
        <f t="shared" si="39"/>
        <v>6.6989700043360187</v>
      </c>
      <c r="CE1028" s="10" t="s">
        <v>647</v>
      </c>
      <c r="CG1028" t="s">
        <v>651</v>
      </c>
      <c r="CH1028" t="s">
        <v>786</v>
      </c>
    </row>
    <row r="1029" spans="1:86" x14ac:dyDescent="0.3">
      <c r="A1029">
        <v>1201</v>
      </c>
      <c r="B1029" t="s">
        <v>397</v>
      </c>
      <c r="C1029" t="s">
        <v>377</v>
      </c>
      <c r="D1029" t="s">
        <v>956</v>
      </c>
      <c r="E1029" t="s">
        <v>957</v>
      </c>
      <c r="F1029" t="s">
        <v>577</v>
      </c>
      <c r="G1029" t="s">
        <v>789</v>
      </c>
      <c r="I1029" t="s">
        <v>567</v>
      </c>
      <c r="L1029">
        <f>AVERAGE(150,300)</f>
        <v>225</v>
      </c>
      <c r="AG1029">
        <v>7.6</v>
      </c>
      <c r="AI1029">
        <v>25</v>
      </c>
      <c r="AK1029">
        <v>29</v>
      </c>
      <c r="AP1029">
        <v>20</v>
      </c>
      <c r="AQ1029">
        <v>32</v>
      </c>
      <c r="AT1029">
        <v>4.0999999999999996</v>
      </c>
      <c r="AV1029">
        <v>1.972</v>
      </c>
      <c r="BG1029" t="s">
        <v>312</v>
      </c>
      <c r="BH1029" t="s">
        <v>958</v>
      </c>
      <c r="BJ1029" t="s">
        <v>959</v>
      </c>
      <c r="BK1029" s="10" t="s">
        <v>41</v>
      </c>
      <c r="BL1029" s="17">
        <v>1.89</v>
      </c>
      <c r="BS1029" s="17">
        <f>LOG(1500000)</f>
        <v>6.1760912590556813</v>
      </c>
      <c r="BT1029" s="10">
        <f>LOG(55000)</f>
        <v>4.7403626894942441</v>
      </c>
      <c r="BY1029" s="17">
        <f>LOG(19000)</f>
        <v>4.2787536009528289</v>
      </c>
      <c r="BZ1029" s="10">
        <f>LOG(2700)</f>
        <v>3.4313637641589874</v>
      </c>
      <c r="CE1029" s="10" t="s">
        <v>960</v>
      </c>
      <c r="CF1029" t="s">
        <v>961</v>
      </c>
      <c r="CG1029" t="s">
        <v>651</v>
      </c>
      <c r="CH1029" t="s">
        <v>765</v>
      </c>
    </row>
    <row r="1030" spans="1:86" x14ac:dyDescent="0.3">
      <c r="A1030">
        <v>1202</v>
      </c>
      <c r="B1030" t="s">
        <v>397</v>
      </c>
      <c r="C1030" t="s">
        <v>377</v>
      </c>
      <c r="D1030" t="s">
        <v>956</v>
      </c>
      <c r="E1030" t="s">
        <v>957</v>
      </c>
      <c r="F1030" t="s">
        <v>577</v>
      </c>
      <c r="G1030" t="s">
        <v>789</v>
      </c>
      <c r="I1030" t="s">
        <v>567</v>
      </c>
      <c r="L1030">
        <f>AVERAGE(150,300)</f>
        <v>225</v>
      </c>
      <c r="AG1030">
        <v>7.6</v>
      </c>
      <c r="AI1030">
        <v>25</v>
      </c>
      <c r="AK1030">
        <v>29</v>
      </c>
      <c r="AP1030">
        <v>20</v>
      </c>
      <c r="AQ1030">
        <v>32</v>
      </c>
      <c r="AT1030">
        <v>4.0999999999999996</v>
      </c>
      <c r="AV1030">
        <v>1.972</v>
      </c>
      <c r="BG1030" t="s">
        <v>312</v>
      </c>
      <c r="BH1030" t="s">
        <v>962</v>
      </c>
      <c r="BJ1030" t="s">
        <v>959</v>
      </c>
      <c r="BK1030" s="10" t="s">
        <v>41</v>
      </c>
      <c r="BL1030" s="17">
        <v>1.93</v>
      </c>
      <c r="BS1030" s="17">
        <f>LOG(1100000)</f>
        <v>6.0413926851582254</v>
      </c>
      <c r="BT1030" s="10">
        <f>LOG(28000)</f>
        <v>4.4471580313422194</v>
      </c>
      <c r="BY1030" s="17">
        <f>LOG(13000)</f>
        <v>4.1139433523068369</v>
      </c>
      <c r="BZ1030" s="10">
        <f>LOG(2700)</f>
        <v>3.4313637641589874</v>
      </c>
      <c r="CE1030" s="10" t="s">
        <v>960</v>
      </c>
      <c r="CG1030" t="s">
        <v>651</v>
      </c>
      <c r="CH1030" t="s">
        <v>765</v>
      </c>
    </row>
    <row r="1031" spans="1:86" x14ac:dyDescent="0.3">
      <c r="A1031">
        <v>1203</v>
      </c>
      <c r="B1031" t="s">
        <v>397</v>
      </c>
      <c r="C1031" t="s">
        <v>377</v>
      </c>
      <c r="D1031" t="s">
        <v>956</v>
      </c>
      <c r="E1031" t="s">
        <v>957</v>
      </c>
      <c r="F1031" t="s">
        <v>577</v>
      </c>
      <c r="G1031" t="s">
        <v>789</v>
      </c>
      <c r="I1031" t="s">
        <v>567</v>
      </c>
      <c r="L1031">
        <f>AVERAGE(150,300)</f>
        <v>225</v>
      </c>
      <c r="AG1031">
        <v>7.6</v>
      </c>
      <c r="AI1031">
        <v>25</v>
      </c>
      <c r="AK1031">
        <v>29</v>
      </c>
      <c r="AP1031">
        <v>20</v>
      </c>
      <c r="AQ1031">
        <v>32</v>
      </c>
      <c r="AT1031">
        <v>4.0999999999999996</v>
      </c>
      <c r="AV1031">
        <v>1.972</v>
      </c>
      <c r="BG1031" t="s">
        <v>312</v>
      </c>
      <c r="BH1031" t="s">
        <v>963</v>
      </c>
      <c r="BJ1031" t="s">
        <v>959</v>
      </c>
      <c r="BK1031" s="10" t="s">
        <v>41</v>
      </c>
      <c r="BL1031" s="17">
        <v>1.81</v>
      </c>
      <c r="BS1031" s="17">
        <f>LOG(400000)</f>
        <v>5.6020599913279625</v>
      </c>
      <c r="BT1031" s="10">
        <f>LOG(28000)</f>
        <v>4.4471580313422194</v>
      </c>
      <c r="BY1031" s="17">
        <f>LOG(6200)</f>
        <v>3.7923916894982539</v>
      </c>
      <c r="BZ1031" s="10">
        <f>LOG(1200)</f>
        <v>3.0791812460476247</v>
      </c>
      <c r="CE1031" s="10" t="s">
        <v>960</v>
      </c>
      <c r="CG1031" t="s">
        <v>651</v>
      </c>
      <c r="CH1031" t="s">
        <v>765</v>
      </c>
    </row>
    <row r="1032" spans="1:86" x14ac:dyDescent="0.3">
      <c r="A1032">
        <v>1204</v>
      </c>
      <c r="B1032" t="s">
        <v>230</v>
      </c>
      <c r="C1032" t="s">
        <v>335</v>
      </c>
      <c r="D1032" t="s">
        <v>964</v>
      </c>
      <c r="E1032" t="s">
        <v>611</v>
      </c>
      <c r="F1032" t="s">
        <v>577</v>
      </c>
      <c r="G1032" t="s">
        <v>965</v>
      </c>
      <c r="I1032" t="s">
        <v>567</v>
      </c>
      <c r="Q1032">
        <v>0.48</v>
      </c>
      <c r="AG1032">
        <v>7.96</v>
      </c>
      <c r="AJ1032">
        <v>17.100000000000001</v>
      </c>
      <c r="AL1032">
        <v>0.1</v>
      </c>
      <c r="AO1032">
        <v>0.13</v>
      </c>
      <c r="AP1032">
        <v>16</v>
      </c>
      <c r="AS1032">
        <v>9.5</v>
      </c>
      <c r="AT1032">
        <v>3.92</v>
      </c>
      <c r="BG1032" t="s">
        <v>312</v>
      </c>
      <c r="BH1032" t="s">
        <v>314</v>
      </c>
      <c r="BI1032" s="10" t="s">
        <v>966</v>
      </c>
      <c r="BK1032" s="10" t="s">
        <v>967</v>
      </c>
      <c r="BL1032" s="17">
        <v>1</v>
      </c>
      <c r="BM1032" s="52" t="s">
        <v>968</v>
      </c>
      <c r="CE1032" s="10" t="s">
        <v>969</v>
      </c>
      <c r="CG1032" t="s">
        <v>573</v>
      </c>
      <c r="CH1032" t="s">
        <v>744</v>
      </c>
    </row>
    <row r="1033" spans="1:86" x14ac:dyDescent="0.3">
      <c r="A1033">
        <v>1205</v>
      </c>
      <c r="B1033" t="s">
        <v>230</v>
      </c>
      <c r="C1033" t="s">
        <v>335</v>
      </c>
      <c r="D1033" t="s">
        <v>964</v>
      </c>
      <c r="E1033" t="s">
        <v>611</v>
      </c>
      <c r="F1033" t="s">
        <v>577</v>
      </c>
      <c r="G1033" t="s">
        <v>965</v>
      </c>
      <c r="I1033" t="s">
        <v>567</v>
      </c>
      <c r="Q1033">
        <v>0.32</v>
      </c>
      <c r="AG1033">
        <v>7.96</v>
      </c>
      <c r="AJ1033">
        <v>17.100000000000001</v>
      </c>
      <c r="AL1033">
        <v>0.1</v>
      </c>
      <c r="AO1033">
        <v>0.13</v>
      </c>
      <c r="AP1033">
        <v>16</v>
      </c>
      <c r="AS1033">
        <v>9.5</v>
      </c>
      <c r="AT1033">
        <v>3.92</v>
      </c>
      <c r="BG1033" t="s">
        <v>311</v>
      </c>
      <c r="BH1033" t="s">
        <v>746</v>
      </c>
      <c r="BI1033" s="10" t="s">
        <v>966</v>
      </c>
      <c r="BK1033" s="10" t="s">
        <v>967</v>
      </c>
      <c r="BL1033" s="17">
        <v>1</v>
      </c>
      <c r="BM1033" s="52" t="s">
        <v>968</v>
      </c>
      <c r="CE1033" s="10" t="s">
        <v>969</v>
      </c>
      <c r="CG1033" t="s">
        <v>573</v>
      </c>
      <c r="CH1033" t="s">
        <v>744</v>
      </c>
    </row>
    <row r="1034" spans="1:86" x14ac:dyDescent="0.3">
      <c r="A1034">
        <v>1206</v>
      </c>
      <c r="B1034" t="s">
        <v>230</v>
      </c>
      <c r="C1034" t="s">
        <v>335</v>
      </c>
      <c r="D1034" t="s">
        <v>964</v>
      </c>
      <c r="E1034" t="s">
        <v>611</v>
      </c>
      <c r="F1034" t="s">
        <v>577</v>
      </c>
      <c r="G1034" t="s">
        <v>965</v>
      </c>
      <c r="I1034" t="s">
        <v>567</v>
      </c>
      <c r="Q1034">
        <v>0.47</v>
      </c>
      <c r="AG1034">
        <v>7.96</v>
      </c>
      <c r="AJ1034">
        <v>17.100000000000001</v>
      </c>
      <c r="AL1034">
        <v>0.1</v>
      </c>
      <c r="AO1034">
        <v>0.13</v>
      </c>
      <c r="AP1034">
        <v>16</v>
      </c>
      <c r="AS1034">
        <v>9.5</v>
      </c>
      <c r="AT1034">
        <v>3.92</v>
      </c>
      <c r="BG1034" t="s">
        <v>311</v>
      </c>
      <c r="BH1034" t="s">
        <v>748</v>
      </c>
      <c r="BI1034" s="10" t="s">
        <v>966</v>
      </c>
      <c r="BK1034" s="10" t="s">
        <v>967</v>
      </c>
      <c r="BL1034" s="17">
        <v>1</v>
      </c>
      <c r="BM1034" s="52" t="s">
        <v>968</v>
      </c>
      <c r="CE1034" s="10" t="s">
        <v>969</v>
      </c>
      <c r="CG1034" t="s">
        <v>573</v>
      </c>
      <c r="CH1034" t="s">
        <v>744</v>
      </c>
    </row>
    <row r="1035" spans="1:86" x14ac:dyDescent="0.3">
      <c r="A1035">
        <v>1207</v>
      </c>
      <c r="B1035" t="s">
        <v>230</v>
      </c>
      <c r="C1035" t="s">
        <v>335</v>
      </c>
      <c r="D1035" t="s">
        <v>964</v>
      </c>
      <c r="E1035" t="s">
        <v>611</v>
      </c>
      <c r="F1035" t="s">
        <v>577</v>
      </c>
      <c r="G1035" t="s">
        <v>965</v>
      </c>
      <c r="I1035" t="s">
        <v>567</v>
      </c>
      <c r="Q1035">
        <v>0.4</v>
      </c>
      <c r="AG1035">
        <v>7.96</v>
      </c>
      <c r="AJ1035">
        <v>17.100000000000001</v>
      </c>
      <c r="AL1035">
        <v>0.1</v>
      </c>
      <c r="AO1035">
        <v>0.13</v>
      </c>
      <c r="AP1035">
        <v>16</v>
      </c>
      <c r="AS1035">
        <v>9.5</v>
      </c>
      <c r="AT1035">
        <v>3.92</v>
      </c>
      <c r="BG1035" t="s">
        <v>311</v>
      </c>
      <c r="BH1035" t="s">
        <v>749</v>
      </c>
      <c r="BI1035" s="10" t="s">
        <v>966</v>
      </c>
      <c r="BK1035" s="10" t="s">
        <v>967</v>
      </c>
      <c r="BL1035" s="17">
        <v>1</v>
      </c>
      <c r="BM1035" s="52" t="s">
        <v>968</v>
      </c>
      <c r="CE1035" s="10" t="s">
        <v>969</v>
      </c>
      <c r="CG1035" t="s">
        <v>573</v>
      </c>
      <c r="CH1035" t="s">
        <v>744</v>
      </c>
    </row>
    <row r="1036" spans="1:86" x14ac:dyDescent="0.3">
      <c r="A1036">
        <v>1208</v>
      </c>
      <c r="B1036" t="s">
        <v>230</v>
      </c>
      <c r="C1036" t="s">
        <v>335</v>
      </c>
      <c r="D1036" t="s">
        <v>964</v>
      </c>
      <c r="E1036" t="s">
        <v>611</v>
      </c>
      <c r="F1036" t="s">
        <v>577</v>
      </c>
      <c r="G1036" t="s">
        <v>965</v>
      </c>
      <c r="I1036" t="s">
        <v>567</v>
      </c>
      <c r="Q1036">
        <v>0.33</v>
      </c>
      <c r="AG1036">
        <v>7.96</v>
      </c>
      <c r="AJ1036">
        <v>17.100000000000001</v>
      </c>
      <c r="AL1036">
        <v>0.1</v>
      </c>
      <c r="AO1036">
        <v>0.13</v>
      </c>
      <c r="AP1036">
        <v>16</v>
      </c>
      <c r="AS1036">
        <v>9.5</v>
      </c>
      <c r="AT1036">
        <v>3.92</v>
      </c>
      <c r="BG1036" t="s">
        <v>311</v>
      </c>
      <c r="BH1036" t="s">
        <v>970</v>
      </c>
      <c r="BI1036" s="10" t="s">
        <v>966</v>
      </c>
      <c r="BK1036" s="10" t="s">
        <v>967</v>
      </c>
      <c r="BL1036" s="17">
        <v>1</v>
      </c>
      <c r="BM1036" s="52" t="s">
        <v>968</v>
      </c>
      <c r="CE1036" s="10" t="s">
        <v>969</v>
      </c>
      <c r="CG1036" t="s">
        <v>573</v>
      </c>
      <c r="CH1036" t="s">
        <v>744</v>
      </c>
    </row>
    <row r="1037" spans="1:86" x14ac:dyDescent="0.3">
      <c r="A1037">
        <v>1209</v>
      </c>
      <c r="B1037" t="s">
        <v>230</v>
      </c>
      <c r="C1037" t="s">
        <v>335</v>
      </c>
      <c r="D1037" t="s">
        <v>964</v>
      </c>
      <c r="E1037" t="s">
        <v>611</v>
      </c>
      <c r="F1037" t="s">
        <v>577</v>
      </c>
      <c r="G1037" t="s">
        <v>965</v>
      </c>
      <c r="I1037" t="s">
        <v>567</v>
      </c>
      <c r="Q1037">
        <v>0.43</v>
      </c>
      <c r="AG1037">
        <v>7.96</v>
      </c>
      <c r="AJ1037">
        <v>17.100000000000001</v>
      </c>
      <c r="AL1037">
        <v>0.1</v>
      </c>
      <c r="AO1037">
        <v>0.13</v>
      </c>
      <c r="AP1037">
        <v>16</v>
      </c>
      <c r="AS1037">
        <v>9.5</v>
      </c>
      <c r="AT1037">
        <v>3.92</v>
      </c>
      <c r="BG1037" t="s">
        <v>311</v>
      </c>
      <c r="BH1037" t="s">
        <v>971</v>
      </c>
      <c r="BI1037" s="10" t="s">
        <v>966</v>
      </c>
      <c r="BK1037" s="10" t="s">
        <v>967</v>
      </c>
      <c r="BL1037" s="17">
        <v>1</v>
      </c>
      <c r="BM1037" s="52" t="s">
        <v>968</v>
      </c>
      <c r="CE1037" s="10" t="s">
        <v>969</v>
      </c>
      <c r="CG1037" t="s">
        <v>573</v>
      </c>
      <c r="CH1037" t="s">
        <v>744</v>
      </c>
    </row>
    <row r="1038" spans="1:86" x14ac:dyDescent="0.3">
      <c r="A1038">
        <v>1210</v>
      </c>
      <c r="B1038" t="s">
        <v>230</v>
      </c>
      <c r="C1038" t="s">
        <v>335</v>
      </c>
      <c r="D1038" t="s">
        <v>964</v>
      </c>
      <c r="E1038" t="s">
        <v>611</v>
      </c>
      <c r="F1038" t="s">
        <v>577</v>
      </c>
      <c r="G1038" t="s">
        <v>965</v>
      </c>
      <c r="I1038" t="s">
        <v>567</v>
      </c>
      <c r="Q1038">
        <v>0.65</v>
      </c>
      <c r="AG1038">
        <v>7.96</v>
      </c>
      <c r="AJ1038">
        <v>17.100000000000001</v>
      </c>
      <c r="AL1038">
        <v>0.1</v>
      </c>
      <c r="AO1038">
        <v>0.13</v>
      </c>
      <c r="AP1038">
        <v>16</v>
      </c>
      <c r="AS1038">
        <v>9.5</v>
      </c>
      <c r="AT1038">
        <v>3.92</v>
      </c>
      <c r="BG1038" t="s">
        <v>312</v>
      </c>
      <c r="BH1038" t="s">
        <v>314</v>
      </c>
      <c r="BI1038" s="10" t="s">
        <v>966</v>
      </c>
      <c r="BK1038" s="10" t="s">
        <v>967</v>
      </c>
      <c r="BL1038" s="17">
        <v>2</v>
      </c>
      <c r="BM1038" s="52" t="s">
        <v>968</v>
      </c>
      <c r="CE1038" s="10" t="s">
        <v>969</v>
      </c>
      <c r="CG1038" t="s">
        <v>573</v>
      </c>
      <c r="CH1038" t="s">
        <v>744</v>
      </c>
    </row>
    <row r="1039" spans="1:86" x14ac:dyDescent="0.3">
      <c r="A1039">
        <v>1211</v>
      </c>
      <c r="B1039" t="s">
        <v>230</v>
      </c>
      <c r="C1039" t="s">
        <v>335</v>
      </c>
      <c r="D1039" t="s">
        <v>964</v>
      </c>
      <c r="E1039" t="s">
        <v>611</v>
      </c>
      <c r="F1039" t="s">
        <v>577</v>
      </c>
      <c r="G1039" t="s">
        <v>965</v>
      </c>
      <c r="I1039" t="s">
        <v>567</v>
      </c>
      <c r="Q1039">
        <v>0.51</v>
      </c>
      <c r="AG1039">
        <v>7.96</v>
      </c>
      <c r="AJ1039">
        <v>17.100000000000001</v>
      </c>
      <c r="AL1039">
        <v>0.1</v>
      </c>
      <c r="AO1039">
        <v>0.13</v>
      </c>
      <c r="AP1039">
        <v>16</v>
      </c>
      <c r="AS1039">
        <v>9.5</v>
      </c>
      <c r="AT1039">
        <v>3.92</v>
      </c>
      <c r="BG1039" t="s">
        <v>311</v>
      </c>
      <c r="BH1039" t="s">
        <v>746</v>
      </c>
      <c r="BI1039" s="10" t="s">
        <v>966</v>
      </c>
      <c r="BK1039" s="10" t="s">
        <v>967</v>
      </c>
      <c r="BL1039" s="17">
        <v>2</v>
      </c>
      <c r="BM1039" s="52" t="s">
        <v>968</v>
      </c>
      <c r="CE1039" s="10" t="s">
        <v>969</v>
      </c>
      <c r="CG1039" t="s">
        <v>573</v>
      </c>
      <c r="CH1039" t="s">
        <v>744</v>
      </c>
    </row>
    <row r="1040" spans="1:86" x14ac:dyDescent="0.3">
      <c r="A1040">
        <v>1212</v>
      </c>
      <c r="B1040" t="s">
        <v>230</v>
      </c>
      <c r="C1040" t="s">
        <v>335</v>
      </c>
      <c r="D1040" t="s">
        <v>964</v>
      </c>
      <c r="E1040" t="s">
        <v>611</v>
      </c>
      <c r="F1040" t="s">
        <v>577</v>
      </c>
      <c r="G1040" t="s">
        <v>965</v>
      </c>
      <c r="I1040" t="s">
        <v>567</v>
      </c>
      <c r="Q1040">
        <v>0.57999999999999996</v>
      </c>
      <c r="AG1040">
        <v>7.96</v>
      </c>
      <c r="AJ1040">
        <v>17.100000000000001</v>
      </c>
      <c r="AL1040">
        <v>0.1</v>
      </c>
      <c r="AO1040">
        <v>0.13</v>
      </c>
      <c r="AP1040">
        <v>16</v>
      </c>
      <c r="AS1040">
        <v>9.5</v>
      </c>
      <c r="AT1040">
        <v>3.92</v>
      </c>
      <c r="BG1040" t="s">
        <v>311</v>
      </c>
      <c r="BH1040" t="s">
        <v>748</v>
      </c>
      <c r="BI1040" s="10" t="s">
        <v>966</v>
      </c>
      <c r="BK1040" s="10" t="s">
        <v>967</v>
      </c>
      <c r="BL1040" s="17">
        <v>2</v>
      </c>
      <c r="BM1040" s="52" t="s">
        <v>968</v>
      </c>
      <c r="CE1040" s="10" t="s">
        <v>969</v>
      </c>
      <c r="CG1040" t="s">
        <v>573</v>
      </c>
      <c r="CH1040" t="s">
        <v>744</v>
      </c>
    </row>
    <row r="1041" spans="1:86" x14ac:dyDescent="0.3">
      <c r="A1041">
        <v>1213</v>
      </c>
      <c r="B1041" t="s">
        <v>230</v>
      </c>
      <c r="C1041" t="s">
        <v>335</v>
      </c>
      <c r="D1041" t="s">
        <v>964</v>
      </c>
      <c r="E1041" t="s">
        <v>611</v>
      </c>
      <c r="F1041" t="s">
        <v>577</v>
      </c>
      <c r="G1041" t="s">
        <v>965</v>
      </c>
      <c r="I1041" t="s">
        <v>567</v>
      </c>
      <c r="Q1041">
        <v>0.51</v>
      </c>
      <c r="AG1041">
        <v>7.96</v>
      </c>
      <c r="AJ1041">
        <v>17.100000000000001</v>
      </c>
      <c r="AL1041">
        <v>0.1</v>
      </c>
      <c r="AO1041">
        <v>0.13</v>
      </c>
      <c r="AP1041">
        <v>16</v>
      </c>
      <c r="AS1041">
        <v>9.5</v>
      </c>
      <c r="AT1041">
        <v>3.92</v>
      </c>
      <c r="BG1041" t="s">
        <v>311</v>
      </c>
      <c r="BH1041" t="s">
        <v>749</v>
      </c>
      <c r="BI1041" s="10" t="s">
        <v>966</v>
      </c>
      <c r="BK1041" s="10" t="s">
        <v>967</v>
      </c>
      <c r="BL1041" s="17">
        <v>2</v>
      </c>
      <c r="BM1041" s="52" t="s">
        <v>968</v>
      </c>
      <c r="CE1041" s="10" t="s">
        <v>969</v>
      </c>
      <c r="CG1041" t="s">
        <v>573</v>
      </c>
      <c r="CH1041" t="s">
        <v>744</v>
      </c>
    </row>
    <row r="1042" spans="1:86" x14ac:dyDescent="0.3">
      <c r="A1042">
        <v>1214</v>
      </c>
      <c r="B1042" t="s">
        <v>230</v>
      </c>
      <c r="C1042" t="s">
        <v>335</v>
      </c>
      <c r="D1042" t="s">
        <v>964</v>
      </c>
      <c r="E1042" t="s">
        <v>611</v>
      </c>
      <c r="F1042" t="s">
        <v>577</v>
      </c>
      <c r="G1042" t="s">
        <v>965</v>
      </c>
      <c r="I1042" t="s">
        <v>567</v>
      </c>
      <c r="Q1042">
        <v>0.45</v>
      </c>
      <c r="AG1042">
        <v>7.96</v>
      </c>
      <c r="AJ1042">
        <v>17.100000000000001</v>
      </c>
      <c r="AL1042">
        <v>0.1</v>
      </c>
      <c r="AO1042">
        <v>0.13</v>
      </c>
      <c r="AP1042">
        <v>16</v>
      </c>
      <c r="AS1042">
        <v>9.5</v>
      </c>
      <c r="AT1042">
        <v>3.92</v>
      </c>
      <c r="BG1042" t="s">
        <v>311</v>
      </c>
      <c r="BH1042" t="s">
        <v>970</v>
      </c>
      <c r="BI1042" s="10" t="s">
        <v>966</v>
      </c>
      <c r="BK1042" s="10" t="s">
        <v>967</v>
      </c>
      <c r="BL1042" s="17">
        <v>2</v>
      </c>
      <c r="BM1042" s="52" t="s">
        <v>968</v>
      </c>
      <c r="CE1042" s="10" t="s">
        <v>969</v>
      </c>
      <c r="CG1042" t="s">
        <v>573</v>
      </c>
      <c r="CH1042" t="s">
        <v>744</v>
      </c>
    </row>
    <row r="1043" spans="1:86" x14ac:dyDescent="0.3">
      <c r="A1043">
        <v>1215</v>
      </c>
      <c r="B1043" t="s">
        <v>230</v>
      </c>
      <c r="C1043" t="s">
        <v>335</v>
      </c>
      <c r="D1043" t="s">
        <v>964</v>
      </c>
      <c r="E1043" t="s">
        <v>611</v>
      </c>
      <c r="F1043" t="s">
        <v>577</v>
      </c>
      <c r="G1043" t="s">
        <v>965</v>
      </c>
      <c r="I1043" t="s">
        <v>567</v>
      </c>
      <c r="Q1043">
        <v>0.63</v>
      </c>
      <c r="AG1043">
        <v>7.96</v>
      </c>
      <c r="AJ1043">
        <v>17.100000000000001</v>
      </c>
      <c r="AL1043">
        <v>0.1</v>
      </c>
      <c r="AO1043">
        <v>0.13</v>
      </c>
      <c r="AP1043">
        <v>16</v>
      </c>
      <c r="AS1043">
        <v>9.5</v>
      </c>
      <c r="AT1043">
        <v>3.92</v>
      </c>
      <c r="BG1043" t="s">
        <v>311</v>
      </c>
      <c r="BH1043" t="s">
        <v>971</v>
      </c>
      <c r="BI1043" s="10" t="s">
        <v>966</v>
      </c>
      <c r="BK1043" s="10" t="s">
        <v>967</v>
      </c>
      <c r="BL1043" s="17">
        <v>2</v>
      </c>
      <c r="BM1043" s="52" t="s">
        <v>968</v>
      </c>
      <c r="CE1043" s="10" t="s">
        <v>969</v>
      </c>
      <c r="CG1043" t="s">
        <v>573</v>
      </c>
      <c r="CH1043" t="s">
        <v>744</v>
      </c>
    </row>
    <row r="1044" spans="1:86" x14ac:dyDescent="0.3">
      <c r="A1044">
        <v>1216</v>
      </c>
      <c r="B1044" t="s">
        <v>230</v>
      </c>
      <c r="C1044" t="s">
        <v>335</v>
      </c>
      <c r="D1044" t="s">
        <v>964</v>
      </c>
      <c r="E1044" t="s">
        <v>611</v>
      </c>
      <c r="F1044" t="s">
        <v>577</v>
      </c>
      <c r="G1044" t="s">
        <v>965</v>
      </c>
      <c r="I1044" t="s">
        <v>567</v>
      </c>
      <c r="Q1044">
        <v>0.82</v>
      </c>
      <c r="AG1044">
        <v>7.96</v>
      </c>
      <c r="AJ1044">
        <v>17.100000000000001</v>
      </c>
      <c r="AL1044">
        <v>0.1</v>
      </c>
      <c r="AO1044">
        <v>0.13</v>
      </c>
      <c r="AP1044">
        <v>16</v>
      </c>
      <c r="AS1044">
        <v>9.5</v>
      </c>
      <c r="AT1044">
        <v>3.92</v>
      </c>
      <c r="BG1044" t="s">
        <v>312</v>
      </c>
      <c r="BH1044" t="s">
        <v>314</v>
      </c>
      <c r="BI1044" s="10" t="s">
        <v>966</v>
      </c>
      <c r="BK1044" s="10" t="s">
        <v>967</v>
      </c>
      <c r="BL1044" s="17">
        <v>3</v>
      </c>
      <c r="BM1044" s="52" t="s">
        <v>968</v>
      </c>
      <c r="CE1044" s="10" t="s">
        <v>969</v>
      </c>
      <c r="CG1044" t="s">
        <v>573</v>
      </c>
      <c r="CH1044" t="s">
        <v>744</v>
      </c>
    </row>
    <row r="1045" spans="1:86" x14ac:dyDescent="0.3">
      <c r="A1045">
        <v>1217</v>
      </c>
      <c r="B1045" t="s">
        <v>230</v>
      </c>
      <c r="C1045" t="s">
        <v>335</v>
      </c>
      <c r="D1045" t="s">
        <v>964</v>
      </c>
      <c r="E1045" t="s">
        <v>611</v>
      </c>
      <c r="F1045" t="s">
        <v>577</v>
      </c>
      <c r="G1045" t="s">
        <v>965</v>
      </c>
      <c r="I1045" t="s">
        <v>567</v>
      </c>
      <c r="Q1045">
        <v>0.71</v>
      </c>
      <c r="AG1045">
        <v>7.96</v>
      </c>
      <c r="AJ1045">
        <v>17.100000000000001</v>
      </c>
      <c r="AL1045">
        <v>0.1</v>
      </c>
      <c r="AO1045">
        <v>0.13</v>
      </c>
      <c r="AP1045">
        <v>16</v>
      </c>
      <c r="AS1045">
        <v>9.5</v>
      </c>
      <c r="AT1045">
        <v>3.92</v>
      </c>
      <c r="BG1045" t="s">
        <v>311</v>
      </c>
      <c r="BH1045" t="s">
        <v>746</v>
      </c>
      <c r="BI1045" s="10" t="s">
        <v>966</v>
      </c>
      <c r="BK1045" s="10" t="s">
        <v>967</v>
      </c>
      <c r="BL1045" s="17">
        <v>3</v>
      </c>
      <c r="BM1045" s="52" t="s">
        <v>968</v>
      </c>
      <c r="CE1045" s="10" t="s">
        <v>969</v>
      </c>
      <c r="CG1045" t="s">
        <v>573</v>
      </c>
      <c r="CH1045" t="s">
        <v>744</v>
      </c>
    </row>
    <row r="1046" spans="1:86" x14ac:dyDescent="0.3">
      <c r="A1046">
        <v>1218</v>
      </c>
      <c r="B1046" t="s">
        <v>230</v>
      </c>
      <c r="C1046" t="s">
        <v>335</v>
      </c>
      <c r="D1046" t="s">
        <v>964</v>
      </c>
      <c r="E1046" t="s">
        <v>611</v>
      </c>
      <c r="F1046" t="s">
        <v>577</v>
      </c>
      <c r="G1046" t="s">
        <v>965</v>
      </c>
      <c r="I1046" t="s">
        <v>567</v>
      </c>
      <c r="Q1046">
        <v>0.68</v>
      </c>
      <c r="AG1046">
        <v>7.96</v>
      </c>
      <c r="AJ1046">
        <v>17.100000000000001</v>
      </c>
      <c r="AL1046">
        <v>0.1</v>
      </c>
      <c r="AO1046">
        <v>0.13</v>
      </c>
      <c r="AP1046">
        <v>16</v>
      </c>
      <c r="AS1046">
        <v>9.5</v>
      </c>
      <c r="AT1046">
        <v>3.92</v>
      </c>
      <c r="BG1046" t="s">
        <v>311</v>
      </c>
      <c r="BH1046" t="s">
        <v>748</v>
      </c>
      <c r="BI1046" s="10" t="s">
        <v>966</v>
      </c>
      <c r="BK1046" s="10" t="s">
        <v>967</v>
      </c>
      <c r="BL1046" s="17">
        <v>3</v>
      </c>
      <c r="BM1046" s="52" t="s">
        <v>968</v>
      </c>
      <c r="CE1046" s="10" t="s">
        <v>969</v>
      </c>
      <c r="CG1046" t="s">
        <v>573</v>
      </c>
      <c r="CH1046" t="s">
        <v>744</v>
      </c>
    </row>
    <row r="1047" spans="1:86" x14ac:dyDescent="0.3">
      <c r="A1047">
        <v>1219</v>
      </c>
      <c r="B1047" t="s">
        <v>230</v>
      </c>
      <c r="C1047" t="s">
        <v>335</v>
      </c>
      <c r="D1047" t="s">
        <v>964</v>
      </c>
      <c r="E1047" t="s">
        <v>611</v>
      </c>
      <c r="F1047" t="s">
        <v>577</v>
      </c>
      <c r="G1047" t="s">
        <v>965</v>
      </c>
      <c r="I1047" t="s">
        <v>567</v>
      </c>
      <c r="Q1047">
        <v>0.8</v>
      </c>
      <c r="AG1047">
        <v>7.96</v>
      </c>
      <c r="AJ1047">
        <v>17.100000000000001</v>
      </c>
      <c r="AL1047">
        <v>0.1</v>
      </c>
      <c r="AO1047">
        <v>0.13</v>
      </c>
      <c r="AP1047">
        <v>16</v>
      </c>
      <c r="AS1047">
        <v>9.5</v>
      </c>
      <c r="AT1047">
        <v>3.92</v>
      </c>
      <c r="BG1047" t="s">
        <v>311</v>
      </c>
      <c r="BH1047" t="s">
        <v>749</v>
      </c>
      <c r="BI1047" s="10" t="s">
        <v>966</v>
      </c>
      <c r="BK1047" s="10" t="s">
        <v>967</v>
      </c>
      <c r="BL1047" s="17">
        <v>3</v>
      </c>
      <c r="BM1047" s="52" t="s">
        <v>968</v>
      </c>
      <c r="CE1047" s="10" t="s">
        <v>969</v>
      </c>
      <c r="CF1047" t="s">
        <v>972</v>
      </c>
      <c r="CG1047" t="s">
        <v>573</v>
      </c>
      <c r="CH1047" t="s">
        <v>744</v>
      </c>
    </row>
    <row r="1048" spans="1:86" x14ac:dyDescent="0.3">
      <c r="A1048">
        <v>1220</v>
      </c>
      <c r="B1048" t="s">
        <v>230</v>
      </c>
      <c r="C1048" t="s">
        <v>335</v>
      </c>
      <c r="D1048" t="s">
        <v>964</v>
      </c>
      <c r="E1048" t="s">
        <v>611</v>
      </c>
      <c r="F1048" t="s">
        <v>577</v>
      </c>
      <c r="G1048" t="s">
        <v>965</v>
      </c>
      <c r="I1048" t="s">
        <v>567</v>
      </c>
      <c r="Q1048">
        <v>0.56999999999999995</v>
      </c>
      <c r="AG1048">
        <v>7.96</v>
      </c>
      <c r="AJ1048">
        <v>17.100000000000001</v>
      </c>
      <c r="AL1048">
        <v>0.1</v>
      </c>
      <c r="AO1048">
        <v>0.13</v>
      </c>
      <c r="AP1048">
        <v>16</v>
      </c>
      <c r="AS1048">
        <v>9.5</v>
      </c>
      <c r="AT1048">
        <v>3.92</v>
      </c>
      <c r="BG1048" t="s">
        <v>311</v>
      </c>
      <c r="BH1048" t="s">
        <v>970</v>
      </c>
      <c r="BI1048" s="10" t="s">
        <v>966</v>
      </c>
      <c r="BK1048" s="10" t="s">
        <v>967</v>
      </c>
      <c r="BL1048" s="17">
        <v>3</v>
      </c>
      <c r="BM1048" s="52" t="s">
        <v>968</v>
      </c>
      <c r="CE1048" s="10" t="s">
        <v>969</v>
      </c>
      <c r="CG1048" t="s">
        <v>573</v>
      </c>
      <c r="CH1048" t="s">
        <v>744</v>
      </c>
    </row>
    <row r="1049" spans="1:86" x14ac:dyDescent="0.3">
      <c r="A1049">
        <v>1221</v>
      </c>
      <c r="B1049" t="s">
        <v>230</v>
      </c>
      <c r="C1049" t="s">
        <v>335</v>
      </c>
      <c r="D1049" t="s">
        <v>964</v>
      </c>
      <c r="E1049" t="s">
        <v>611</v>
      </c>
      <c r="F1049" t="s">
        <v>577</v>
      </c>
      <c r="G1049" t="s">
        <v>965</v>
      </c>
      <c r="I1049" t="s">
        <v>567</v>
      </c>
      <c r="Q1049">
        <v>0.83</v>
      </c>
      <c r="AG1049">
        <v>7.96</v>
      </c>
      <c r="AJ1049">
        <v>17.100000000000001</v>
      </c>
      <c r="AL1049">
        <v>0.1</v>
      </c>
      <c r="AO1049">
        <v>0.13</v>
      </c>
      <c r="AP1049">
        <v>16</v>
      </c>
      <c r="AS1049">
        <v>9.5</v>
      </c>
      <c r="AT1049">
        <v>3.92</v>
      </c>
      <c r="BG1049" t="s">
        <v>311</v>
      </c>
      <c r="BH1049" t="s">
        <v>971</v>
      </c>
      <c r="BI1049" s="10" t="s">
        <v>966</v>
      </c>
      <c r="BK1049" s="10" t="s">
        <v>967</v>
      </c>
      <c r="BL1049" s="17">
        <v>3</v>
      </c>
      <c r="BM1049" s="52" t="s">
        <v>968</v>
      </c>
      <c r="CE1049" s="10" t="s">
        <v>969</v>
      </c>
      <c r="CG1049" t="s">
        <v>573</v>
      </c>
      <c r="CH1049" t="s">
        <v>744</v>
      </c>
    </row>
    <row r="1050" spans="1:86" x14ac:dyDescent="0.3">
      <c r="A1050">
        <v>1222</v>
      </c>
      <c r="B1050" t="s">
        <v>230</v>
      </c>
      <c r="C1050" t="s">
        <v>335</v>
      </c>
      <c r="D1050" t="s">
        <v>964</v>
      </c>
      <c r="E1050" t="s">
        <v>611</v>
      </c>
      <c r="F1050" t="s">
        <v>577</v>
      </c>
      <c r="G1050" t="s">
        <v>965</v>
      </c>
      <c r="I1050" t="s">
        <v>567</v>
      </c>
      <c r="Q1050">
        <v>0.98</v>
      </c>
      <c r="AG1050">
        <v>7.96</v>
      </c>
      <c r="AJ1050">
        <v>17.100000000000001</v>
      </c>
      <c r="AL1050">
        <v>0.1</v>
      </c>
      <c r="AO1050">
        <v>0.13</v>
      </c>
      <c r="AP1050">
        <v>16</v>
      </c>
      <c r="AS1050">
        <v>9.5</v>
      </c>
      <c r="AT1050">
        <v>3.92</v>
      </c>
      <c r="BG1050" t="s">
        <v>312</v>
      </c>
      <c r="BH1050" t="s">
        <v>314</v>
      </c>
      <c r="BI1050" s="10" t="s">
        <v>966</v>
      </c>
      <c r="BK1050" s="10" t="s">
        <v>967</v>
      </c>
      <c r="BL1050" s="17">
        <v>4</v>
      </c>
      <c r="BM1050" s="52" t="s">
        <v>968</v>
      </c>
      <c r="CE1050" s="10" t="s">
        <v>969</v>
      </c>
      <c r="CG1050" t="s">
        <v>573</v>
      </c>
      <c r="CH1050" t="s">
        <v>744</v>
      </c>
    </row>
    <row r="1051" spans="1:86" x14ac:dyDescent="0.3">
      <c r="A1051">
        <v>1223</v>
      </c>
      <c r="B1051" t="s">
        <v>230</v>
      </c>
      <c r="C1051" t="s">
        <v>335</v>
      </c>
      <c r="D1051" t="s">
        <v>964</v>
      </c>
      <c r="E1051" t="s">
        <v>611</v>
      </c>
      <c r="F1051" t="s">
        <v>577</v>
      </c>
      <c r="G1051" t="s">
        <v>965</v>
      </c>
      <c r="I1051" t="s">
        <v>567</v>
      </c>
      <c r="Q1051">
        <v>0.9</v>
      </c>
      <c r="AG1051">
        <v>7.96</v>
      </c>
      <c r="AJ1051">
        <v>17.100000000000001</v>
      </c>
      <c r="AL1051">
        <v>0.1</v>
      </c>
      <c r="AO1051">
        <v>0.13</v>
      </c>
      <c r="AP1051">
        <v>16</v>
      </c>
      <c r="AS1051">
        <v>9.5</v>
      </c>
      <c r="AT1051">
        <v>3.92</v>
      </c>
      <c r="BG1051" t="s">
        <v>311</v>
      </c>
      <c r="BH1051" t="s">
        <v>746</v>
      </c>
      <c r="BI1051" s="10" t="s">
        <v>966</v>
      </c>
      <c r="BK1051" s="10" t="s">
        <v>967</v>
      </c>
      <c r="BL1051" s="17">
        <v>4</v>
      </c>
      <c r="BM1051" s="52" t="s">
        <v>968</v>
      </c>
      <c r="CE1051" s="10" t="s">
        <v>969</v>
      </c>
      <c r="CG1051" t="s">
        <v>573</v>
      </c>
      <c r="CH1051" t="s">
        <v>744</v>
      </c>
    </row>
    <row r="1052" spans="1:86" x14ac:dyDescent="0.3">
      <c r="A1052">
        <v>1224</v>
      </c>
      <c r="B1052" t="s">
        <v>230</v>
      </c>
      <c r="C1052" t="s">
        <v>335</v>
      </c>
      <c r="D1052" t="s">
        <v>964</v>
      </c>
      <c r="E1052" t="s">
        <v>611</v>
      </c>
      <c r="F1052" t="s">
        <v>577</v>
      </c>
      <c r="G1052" t="s">
        <v>965</v>
      </c>
      <c r="I1052" t="s">
        <v>567</v>
      </c>
      <c r="Q1052">
        <v>0.78</v>
      </c>
      <c r="AG1052">
        <v>7.96</v>
      </c>
      <c r="AJ1052">
        <v>17.100000000000001</v>
      </c>
      <c r="AL1052">
        <v>0.1</v>
      </c>
      <c r="AO1052">
        <v>0.13</v>
      </c>
      <c r="AP1052">
        <v>16</v>
      </c>
      <c r="AS1052">
        <v>9.5</v>
      </c>
      <c r="AT1052">
        <v>3.92</v>
      </c>
      <c r="BG1052" t="s">
        <v>311</v>
      </c>
      <c r="BH1052" t="s">
        <v>748</v>
      </c>
      <c r="BI1052" s="10" t="s">
        <v>966</v>
      </c>
      <c r="BK1052" s="10" t="s">
        <v>967</v>
      </c>
      <c r="BL1052" s="17">
        <v>4</v>
      </c>
      <c r="BM1052" s="52" t="s">
        <v>968</v>
      </c>
      <c r="CE1052" s="10" t="s">
        <v>969</v>
      </c>
      <c r="CG1052" t="s">
        <v>573</v>
      </c>
      <c r="CH1052" t="s">
        <v>744</v>
      </c>
    </row>
    <row r="1053" spans="1:86" x14ac:dyDescent="0.3">
      <c r="A1053">
        <v>1225</v>
      </c>
      <c r="B1053" t="s">
        <v>230</v>
      </c>
      <c r="C1053" t="s">
        <v>335</v>
      </c>
      <c r="D1053" t="s">
        <v>964</v>
      </c>
      <c r="E1053" t="s">
        <v>611</v>
      </c>
      <c r="F1053" t="s">
        <v>577</v>
      </c>
      <c r="G1053" t="s">
        <v>965</v>
      </c>
      <c r="I1053" t="s">
        <v>567</v>
      </c>
      <c r="Q1053">
        <f>AVERAGE(0.77,1.1)</f>
        <v>0.93500000000000005</v>
      </c>
      <c r="AG1053">
        <v>7.96</v>
      </c>
      <c r="AJ1053">
        <v>17.100000000000001</v>
      </c>
      <c r="AL1053">
        <v>0.1</v>
      </c>
      <c r="AO1053">
        <v>0.13</v>
      </c>
      <c r="AP1053">
        <v>16</v>
      </c>
      <c r="AS1053">
        <v>9.5</v>
      </c>
      <c r="AT1053">
        <v>3.92</v>
      </c>
      <c r="BG1053" t="s">
        <v>311</v>
      </c>
      <c r="BH1053" t="s">
        <v>749</v>
      </c>
      <c r="BI1053" s="10" t="s">
        <v>966</v>
      </c>
      <c r="BK1053" s="10" t="s">
        <v>967</v>
      </c>
      <c r="BL1053" s="17">
        <v>4</v>
      </c>
      <c r="BM1053" s="52" t="s">
        <v>968</v>
      </c>
      <c r="CE1053" s="10" t="s">
        <v>969</v>
      </c>
      <c r="CF1053" t="s">
        <v>972</v>
      </c>
      <c r="CG1053" t="s">
        <v>573</v>
      </c>
      <c r="CH1053" t="s">
        <v>744</v>
      </c>
    </row>
    <row r="1054" spans="1:86" x14ac:dyDescent="0.3">
      <c r="A1054">
        <v>1226</v>
      </c>
      <c r="B1054" t="s">
        <v>230</v>
      </c>
      <c r="C1054" t="s">
        <v>335</v>
      </c>
      <c r="D1054" t="s">
        <v>964</v>
      </c>
      <c r="E1054" t="s">
        <v>611</v>
      </c>
      <c r="F1054" t="s">
        <v>577</v>
      </c>
      <c r="G1054" t="s">
        <v>965</v>
      </c>
      <c r="I1054" t="s">
        <v>567</v>
      </c>
      <c r="Q1054">
        <v>0.69</v>
      </c>
      <c r="AG1054">
        <v>7.96</v>
      </c>
      <c r="AJ1054">
        <v>17.100000000000001</v>
      </c>
      <c r="AL1054">
        <v>0.1</v>
      </c>
      <c r="AO1054">
        <v>0.13</v>
      </c>
      <c r="AP1054">
        <v>16</v>
      </c>
      <c r="AS1054">
        <v>9.5</v>
      </c>
      <c r="AT1054">
        <v>3.92</v>
      </c>
      <c r="BG1054" t="s">
        <v>311</v>
      </c>
      <c r="BH1054" t="s">
        <v>970</v>
      </c>
      <c r="BI1054" s="10" t="s">
        <v>966</v>
      </c>
      <c r="BK1054" s="10" t="s">
        <v>967</v>
      </c>
      <c r="BL1054" s="17">
        <v>4</v>
      </c>
      <c r="BM1054" s="52" t="s">
        <v>968</v>
      </c>
      <c r="CE1054" s="10" t="s">
        <v>969</v>
      </c>
      <c r="CG1054" t="s">
        <v>573</v>
      </c>
      <c r="CH1054" t="s">
        <v>744</v>
      </c>
    </row>
    <row r="1055" spans="1:86" x14ac:dyDescent="0.3">
      <c r="A1055">
        <v>1227</v>
      </c>
      <c r="B1055" t="s">
        <v>230</v>
      </c>
      <c r="C1055" t="s">
        <v>335</v>
      </c>
      <c r="D1055" t="s">
        <v>964</v>
      </c>
      <c r="E1055" t="s">
        <v>611</v>
      </c>
      <c r="F1055" t="s">
        <v>577</v>
      </c>
      <c r="G1055" t="s">
        <v>965</v>
      </c>
      <c r="I1055" t="s">
        <v>567</v>
      </c>
      <c r="Q1055">
        <v>1</v>
      </c>
      <c r="AG1055">
        <v>7.96</v>
      </c>
      <c r="AJ1055">
        <v>17.100000000000001</v>
      </c>
      <c r="AL1055">
        <v>0.1</v>
      </c>
      <c r="AO1055">
        <v>0.13</v>
      </c>
      <c r="AP1055">
        <v>16</v>
      </c>
      <c r="AS1055">
        <v>9.5</v>
      </c>
      <c r="AT1055">
        <v>3.92</v>
      </c>
      <c r="BG1055" t="s">
        <v>311</v>
      </c>
      <c r="BH1055" t="s">
        <v>971</v>
      </c>
      <c r="BI1055" s="10" t="s">
        <v>966</v>
      </c>
      <c r="BK1055" s="10" t="s">
        <v>967</v>
      </c>
      <c r="BL1055" s="17">
        <v>4</v>
      </c>
      <c r="BM1055" s="52" t="s">
        <v>968</v>
      </c>
      <c r="CE1055" s="10" t="s">
        <v>969</v>
      </c>
      <c r="CG1055" t="s">
        <v>573</v>
      </c>
      <c r="CH1055" t="s">
        <v>744</v>
      </c>
    </row>
    <row r="1056" spans="1:86" x14ac:dyDescent="0.3">
      <c r="A1056">
        <v>1228</v>
      </c>
      <c r="B1056" t="s">
        <v>285</v>
      </c>
      <c r="C1056" t="s">
        <v>329</v>
      </c>
      <c r="D1056" t="s">
        <v>973</v>
      </c>
      <c r="F1056" t="s">
        <v>565</v>
      </c>
      <c r="I1056" t="s">
        <v>564</v>
      </c>
      <c r="S1056">
        <v>3</v>
      </c>
      <c r="BG1056" t="s">
        <v>312</v>
      </c>
      <c r="BH1056" t="s">
        <v>314</v>
      </c>
      <c r="BL1056" s="17">
        <v>1.75</v>
      </c>
      <c r="BM1056" s="52">
        <v>6</v>
      </c>
      <c r="CE1056" s="10" t="s">
        <v>642</v>
      </c>
      <c r="CG1056" t="s">
        <v>744</v>
      </c>
      <c r="CH1056" t="s">
        <v>573</v>
      </c>
    </row>
    <row r="1057" spans="1:86" x14ac:dyDescent="0.3">
      <c r="A1057">
        <v>1229</v>
      </c>
      <c r="B1057" t="s">
        <v>285</v>
      </c>
      <c r="C1057" t="s">
        <v>329</v>
      </c>
      <c r="D1057" t="s">
        <v>973</v>
      </c>
      <c r="F1057" t="s">
        <v>565</v>
      </c>
      <c r="I1057" t="s">
        <v>564</v>
      </c>
      <c r="S1057">
        <v>3</v>
      </c>
      <c r="BG1057" t="s">
        <v>311</v>
      </c>
      <c r="BH1057" t="s">
        <v>828</v>
      </c>
      <c r="BL1057" s="17">
        <v>2.5499999999999998</v>
      </c>
      <c r="BM1057" s="52">
        <v>6</v>
      </c>
      <c r="CE1057" s="10" t="s">
        <v>642</v>
      </c>
      <c r="CG1057" t="s">
        <v>744</v>
      </c>
      <c r="CH1057" t="s">
        <v>573</v>
      </c>
    </row>
    <row r="1058" spans="1:86" x14ac:dyDescent="0.3">
      <c r="A1058">
        <v>1230</v>
      </c>
      <c r="B1058" t="s">
        <v>285</v>
      </c>
      <c r="C1058" t="s">
        <v>329</v>
      </c>
      <c r="D1058" t="s">
        <v>973</v>
      </c>
      <c r="F1058" t="s">
        <v>565</v>
      </c>
      <c r="I1058" t="s">
        <v>564</v>
      </c>
      <c r="S1058">
        <v>3</v>
      </c>
      <c r="BG1058" t="s">
        <v>311</v>
      </c>
      <c r="BH1058" t="s">
        <v>974</v>
      </c>
      <c r="BL1058" s="17">
        <v>1.05</v>
      </c>
      <c r="BM1058" s="52">
        <v>6</v>
      </c>
      <c r="CE1058" s="10" t="s">
        <v>642</v>
      </c>
      <c r="CG1058" t="s">
        <v>744</v>
      </c>
      <c r="CH1058" t="s">
        <v>573</v>
      </c>
    </row>
    <row r="1059" spans="1:86" x14ac:dyDescent="0.3">
      <c r="A1059">
        <v>1231</v>
      </c>
      <c r="B1059" t="s">
        <v>285</v>
      </c>
      <c r="C1059" t="s">
        <v>329</v>
      </c>
      <c r="D1059" t="s">
        <v>975</v>
      </c>
      <c r="F1059" t="s">
        <v>565</v>
      </c>
      <c r="I1059" t="s">
        <v>564</v>
      </c>
      <c r="S1059">
        <v>3</v>
      </c>
      <c r="BG1059" t="s">
        <v>312</v>
      </c>
      <c r="BH1059" t="s">
        <v>314</v>
      </c>
      <c r="BL1059" s="17">
        <v>1.8</v>
      </c>
      <c r="BM1059" s="52">
        <v>6</v>
      </c>
      <c r="CE1059" s="10" t="s">
        <v>642</v>
      </c>
      <c r="CG1059" t="s">
        <v>744</v>
      </c>
      <c r="CH1059" t="s">
        <v>573</v>
      </c>
    </row>
    <row r="1060" spans="1:86" x14ac:dyDescent="0.3">
      <c r="A1060">
        <v>1232</v>
      </c>
      <c r="B1060" t="s">
        <v>285</v>
      </c>
      <c r="C1060" t="s">
        <v>329</v>
      </c>
      <c r="D1060" t="s">
        <v>975</v>
      </c>
      <c r="F1060" t="s">
        <v>565</v>
      </c>
      <c r="I1060" t="s">
        <v>564</v>
      </c>
      <c r="S1060">
        <v>3</v>
      </c>
      <c r="BG1060" t="s">
        <v>311</v>
      </c>
      <c r="BH1060" t="s">
        <v>828</v>
      </c>
      <c r="BL1060" s="17">
        <v>2.67</v>
      </c>
      <c r="BM1060" s="52">
        <v>6</v>
      </c>
      <c r="CE1060" s="10" t="s">
        <v>642</v>
      </c>
      <c r="CG1060" t="s">
        <v>744</v>
      </c>
      <c r="CH1060" t="s">
        <v>573</v>
      </c>
    </row>
    <row r="1061" spans="1:86" x14ac:dyDescent="0.3">
      <c r="A1061">
        <v>1233</v>
      </c>
      <c r="B1061" t="s">
        <v>285</v>
      </c>
      <c r="C1061" t="s">
        <v>329</v>
      </c>
      <c r="D1061" t="s">
        <v>975</v>
      </c>
      <c r="F1061" t="s">
        <v>565</v>
      </c>
      <c r="I1061" t="s">
        <v>564</v>
      </c>
      <c r="S1061">
        <v>3</v>
      </c>
      <c r="BG1061" t="s">
        <v>311</v>
      </c>
      <c r="BH1061" t="s">
        <v>974</v>
      </c>
      <c r="BL1061" s="17">
        <v>1.52</v>
      </c>
      <c r="BM1061" s="52">
        <v>6</v>
      </c>
      <c r="CE1061" s="10" t="s">
        <v>642</v>
      </c>
      <c r="CG1061" t="s">
        <v>744</v>
      </c>
      <c r="CH1061" t="s">
        <v>573</v>
      </c>
    </row>
    <row r="1062" spans="1:86" x14ac:dyDescent="0.3">
      <c r="A1062">
        <v>1234</v>
      </c>
      <c r="B1062" t="s">
        <v>285</v>
      </c>
      <c r="C1062" t="s">
        <v>329</v>
      </c>
      <c r="D1062" t="s">
        <v>976</v>
      </c>
      <c r="F1062" t="s">
        <v>565</v>
      </c>
      <c r="I1062" t="s">
        <v>564</v>
      </c>
      <c r="S1062">
        <v>3</v>
      </c>
      <c r="BG1062" t="s">
        <v>312</v>
      </c>
      <c r="BH1062" t="s">
        <v>314</v>
      </c>
      <c r="BL1062" s="17">
        <v>-0.01</v>
      </c>
      <c r="BM1062" s="52">
        <v>6</v>
      </c>
      <c r="CE1062" s="10" t="s">
        <v>642</v>
      </c>
      <c r="CG1062" t="s">
        <v>744</v>
      </c>
      <c r="CH1062" t="s">
        <v>573</v>
      </c>
    </row>
    <row r="1063" spans="1:86" x14ac:dyDescent="0.3">
      <c r="A1063">
        <v>1235</v>
      </c>
      <c r="B1063" t="s">
        <v>285</v>
      </c>
      <c r="C1063" t="s">
        <v>329</v>
      </c>
      <c r="D1063" t="s">
        <v>976</v>
      </c>
      <c r="F1063" t="s">
        <v>565</v>
      </c>
      <c r="I1063" t="s">
        <v>564</v>
      </c>
      <c r="S1063">
        <v>3</v>
      </c>
      <c r="BG1063" t="s">
        <v>311</v>
      </c>
      <c r="BH1063" t="s">
        <v>828</v>
      </c>
      <c r="BL1063" s="17">
        <v>-7.0000000000000007E-2</v>
      </c>
      <c r="BM1063" s="52">
        <v>6</v>
      </c>
      <c r="CE1063" s="10" t="s">
        <v>642</v>
      </c>
      <c r="CG1063" t="s">
        <v>744</v>
      </c>
      <c r="CH1063" t="s">
        <v>573</v>
      </c>
    </row>
    <row r="1064" spans="1:86" x14ac:dyDescent="0.3">
      <c r="A1064">
        <v>1236</v>
      </c>
      <c r="B1064" t="s">
        <v>285</v>
      </c>
      <c r="C1064" t="s">
        <v>329</v>
      </c>
      <c r="D1064" t="s">
        <v>976</v>
      </c>
      <c r="F1064" t="s">
        <v>565</v>
      </c>
      <c r="I1064" t="s">
        <v>564</v>
      </c>
      <c r="S1064">
        <v>3</v>
      </c>
      <c r="BG1064" t="s">
        <v>311</v>
      </c>
      <c r="BH1064" t="s">
        <v>974</v>
      </c>
      <c r="BL1064" s="17">
        <v>0.06</v>
      </c>
      <c r="BM1064" s="52">
        <v>6</v>
      </c>
      <c r="CE1064" s="10" t="s">
        <v>642</v>
      </c>
      <c r="CG1064" t="s">
        <v>744</v>
      </c>
      <c r="CH1064" t="s">
        <v>573</v>
      </c>
    </row>
    <row r="1065" spans="1:86" x14ac:dyDescent="0.3">
      <c r="A1065">
        <v>1237</v>
      </c>
      <c r="B1065" t="s">
        <v>285</v>
      </c>
      <c r="C1065" t="s">
        <v>329</v>
      </c>
      <c r="D1065" t="s">
        <v>977</v>
      </c>
      <c r="F1065" t="s">
        <v>565</v>
      </c>
      <c r="I1065" t="s">
        <v>564</v>
      </c>
      <c r="S1065">
        <v>3</v>
      </c>
      <c r="BG1065" t="s">
        <v>312</v>
      </c>
      <c r="BH1065" t="s">
        <v>314</v>
      </c>
      <c r="BL1065" s="17">
        <v>4.26</v>
      </c>
      <c r="BM1065" s="52">
        <v>6</v>
      </c>
      <c r="CE1065" s="10" t="s">
        <v>642</v>
      </c>
      <c r="CG1065" t="s">
        <v>744</v>
      </c>
      <c r="CH1065" t="s">
        <v>573</v>
      </c>
    </row>
    <row r="1066" spans="1:86" x14ac:dyDescent="0.3">
      <c r="A1066">
        <v>1238</v>
      </c>
      <c r="B1066" t="s">
        <v>285</v>
      </c>
      <c r="C1066" t="s">
        <v>329</v>
      </c>
      <c r="D1066" t="s">
        <v>977</v>
      </c>
      <c r="F1066" t="s">
        <v>565</v>
      </c>
      <c r="I1066" t="s">
        <v>564</v>
      </c>
      <c r="S1066">
        <v>3</v>
      </c>
      <c r="BG1066" t="s">
        <v>311</v>
      </c>
      <c r="BH1066" t="s">
        <v>828</v>
      </c>
      <c r="BL1066" s="17">
        <v>4.29</v>
      </c>
      <c r="BM1066" s="52">
        <v>6</v>
      </c>
      <c r="CE1066" s="10" t="s">
        <v>642</v>
      </c>
      <c r="CG1066" t="s">
        <v>744</v>
      </c>
      <c r="CH1066" t="s">
        <v>573</v>
      </c>
    </row>
    <row r="1067" spans="1:86" x14ac:dyDescent="0.3">
      <c r="A1067">
        <v>1239</v>
      </c>
      <c r="B1067" t="s">
        <v>285</v>
      </c>
      <c r="C1067" t="s">
        <v>329</v>
      </c>
      <c r="D1067" t="s">
        <v>977</v>
      </c>
      <c r="F1067" t="s">
        <v>565</v>
      </c>
      <c r="I1067" t="s">
        <v>564</v>
      </c>
      <c r="S1067">
        <v>3</v>
      </c>
      <c r="BG1067" t="s">
        <v>311</v>
      </c>
      <c r="BH1067" t="s">
        <v>974</v>
      </c>
      <c r="BL1067" s="17">
        <v>2.72</v>
      </c>
      <c r="BM1067" s="52">
        <v>6</v>
      </c>
      <c r="CE1067" s="10" t="s">
        <v>642</v>
      </c>
      <c r="CG1067" t="s">
        <v>744</v>
      </c>
      <c r="CH1067" t="s">
        <v>573</v>
      </c>
    </row>
    <row r="1068" spans="1:86" x14ac:dyDescent="0.3">
      <c r="A1068">
        <v>1240</v>
      </c>
      <c r="B1068" t="s">
        <v>285</v>
      </c>
      <c r="C1068" t="s">
        <v>329</v>
      </c>
      <c r="D1068" t="s">
        <v>978</v>
      </c>
      <c r="F1068" t="s">
        <v>565</v>
      </c>
      <c r="I1068" t="s">
        <v>564</v>
      </c>
      <c r="S1068">
        <v>3</v>
      </c>
      <c r="BG1068" t="s">
        <v>312</v>
      </c>
      <c r="BH1068" t="s">
        <v>314</v>
      </c>
      <c r="BL1068" s="17">
        <v>0.25</v>
      </c>
      <c r="BM1068" s="52">
        <v>6</v>
      </c>
      <c r="CE1068" s="10" t="s">
        <v>642</v>
      </c>
      <c r="CG1068" t="s">
        <v>744</v>
      </c>
      <c r="CH1068" t="s">
        <v>573</v>
      </c>
    </row>
    <row r="1069" spans="1:86" x14ac:dyDescent="0.3">
      <c r="A1069">
        <v>1241</v>
      </c>
      <c r="B1069" t="s">
        <v>285</v>
      </c>
      <c r="C1069" t="s">
        <v>329</v>
      </c>
      <c r="D1069" t="s">
        <v>978</v>
      </c>
      <c r="F1069" t="s">
        <v>565</v>
      </c>
      <c r="I1069" t="s">
        <v>564</v>
      </c>
      <c r="S1069">
        <v>3</v>
      </c>
      <c r="BG1069" t="s">
        <v>311</v>
      </c>
      <c r="BH1069" t="s">
        <v>828</v>
      </c>
      <c r="BL1069" s="17">
        <v>1.2</v>
      </c>
      <c r="BM1069" s="52">
        <v>6</v>
      </c>
      <c r="CE1069" s="10" t="s">
        <v>642</v>
      </c>
      <c r="CG1069" t="s">
        <v>744</v>
      </c>
      <c r="CH1069" t="s">
        <v>573</v>
      </c>
    </row>
    <row r="1070" spans="1:86" x14ac:dyDescent="0.3">
      <c r="A1070">
        <v>1242</v>
      </c>
      <c r="B1070" t="s">
        <v>285</v>
      </c>
      <c r="C1070" t="s">
        <v>329</v>
      </c>
      <c r="D1070" t="s">
        <v>978</v>
      </c>
      <c r="F1070" t="s">
        <v>565</v>
      </c>
      <c r="I1070" t="s">
        <v>564</v>
      </c>
      <c r="S1070">
        <v>3</v>
      </c>
      <c r="BG1070" t="s">
        <v>311</v>
      </c>
      <c r="BH1070" t="s">
        <v>974</v>
      </c>
      <c r="BL1070" s="17">
        <v>0.93</v>
      </c>
      <c r="BM1070" s="52">
        <v>6</v>
      </c>
      <c r="CE1070" s="10" t="s">
        <v>642</v>
      </c>
      <c r="CG1070" t="s">
        <v>744</v>
      </c>
      <c r="CH1070" t="s">
        <v>573</v>
      </c>
    </row>
    <row r="1071" spans="1:86" x14ac:dyDescent="0.3">
      <c r="A1071">
        <v>1243</v>
      </c>
      <c r="B1071" t="s">
        <v>285</v>
      </c>
      <c r="C1071" t="s">
        <v>329</v>
      </c>
      <c r="D1071" t="s">
        <v>979</v>
      </c>
      <c r="F1071" t="s">
        <v>565</v>
      </c>
      <c r="I1071" t="s">
        <v>564</v>
      </c>
      <c r="S1071">
        <v>3</v>
      </c>
      <c r="BG1071" t="s">
        <v>312</v>
      </c>
      <c r="BH1071" t="s">
        <v>314</v>
      </c>
      <c r="BL1071" s="17">
        <v>0.08</v>
      </c>
      <c r="BM1071" s="52">
        <v>6</v>
      </c>
      <c r="CE1071" s="10" t="s">
        <v>642</v>
      </c>
      <c r="CG1071" t="s">
        <v>744</v>
      </c>
      <c r="CH1071" t="s">
        <v>573</v>
      </c>
    </row>
    <row r="1072" spans="1:86" x14ac:dyDescent="0.3">
      <c r="A1072">
        <v>1244</v>
      </c>
      <c r="B1072" t="s">
        <v>285</v>
      </c>
      <c r="C1072" t="s">
        <v>329</v>
      </c>
      <c r="D1072" t="s">
        <v>979</v>
      </c>
      <c r="F1072" t="s">
        <v>565</v>
      </c>
      <c r="I1072" t="s">
        <v>564</v>
      </c>
      <c r="S1072">
        <v>3</v>
      </c>
      <c r="BG1072" t="s">
        <v>311</v>
      </c>
      <c r="BH1072" t="s">
        <v>828</v>
      </c>
      <c r="BL1072" s="17">
        <v>0.49</v>
      </c>
      <c r="BM1072" s="52">
        <v>6</v>
      </c>
      <c r="CE1072" s="10" t="s">
        <v>642</v>
      </c>
      <c r="CG1072" t="s">
        <v>744</v>
      </c>
      <c r="CH1072" t="s">
        <v>573</v>
      </c>
    </row>
    <row r="1073" spans="1:86" x14ac:dyDescent="0.3">
      <c r="A1073">
        <v>1245</v>
      </c>
      <c r="B1073" t="s">
        <v>285</v>
      </c>
      <c r="C1073" t="s">
        <v>329</v>
      </c>
      <c r="D1073" t="s">
        <v>979</v>
      </c>
      <c r="F1073" t="s">
        <v>565</v>
      </c>
      <c r="I1073" t="s">
        <v>564</v>
      </c>
      <c r="S1073">
        <v>3</v>
      </c>
      <c r="BG1073" t="s">
        <v>311</v>
      </c>
      <c r="BH1073" t="s">
        <v>974</v>
      </c>
      <c r="BL1073" s="17">
        <v>0.52</v>
      </c>
      <c r="BM1073" s="52">
        <v>6</v>
      </c>
      <c r="CE1073" s="10" t="s">
        <v>642</v>
      </c>
      <c r="CG1073" t="s">
        <v>744</v>
      </c>
      <c r="CH1073" t="s">
        <v>573</v>
      </c>
    </row>
    <row r="1074" spans="1:86" x14ac:dyDescent="0.3">
      <c r="A1074">
        <v>1246</v>
      </c>
      <c r="B1074" t="s">
        <v>285</v>
      </c>
      <c r="C1074" t="s">
        <v>329</v>
      </c>
      <c r="D1074" t="s">
        <v>973</v>
      </c>
      <c r="F1074" t="s">
        <v>565</v>
      </c>
      <c r="I1074" t="s">
        <v>564</v>
      </c>
      <c r="S1074">
        <v>5.0999999999999996</v>
      </c>
      <c r="BG1074" t="s">
        <v>312</v>
      </c>
      <c r="BH1074" t="s">
        <v>314</v>
      </c>
      <c r="BL1074" s="17">
        <v>3</v>
      </c>
      <c r="CE1074" s="10" t="s">
        <v>980</v>
      </c>
      <c r="CG1074" t="s">
        <v>744</v>
      </c>
      <c r="CH1074" t="s">
        <v>573</v>
      </c>
    </row>
    <row r="1075" spans="1:86" x14ac:dyDescent="0.3">
      <c r="A1075">
        <v>1247</v>
      </c>
      <c r="B1075" t="s">
        <v>285</v>
      </c>
      <c r="C1075" t="s">
        <v>329</v>
      </c>
      <c r="D1075" t="s">
        <v>975</v>
      </c>
      <c r="F1075" t="s">
        <v>565</v>
      </c>
      <c r="I1075" t="s">
        <v>564</v>
      </c>
      <c r="S1075">
        <v>5.0999999999999996</v>
      </c>
      <c r="BG1075" t="s">
        <v>312</v>
      </c>
      <c r="BH1075" t="s">
        <v>314</v>
      </c>
      <c r="BL1075" s="17">
        <v>3</v>
      </c>
      <c r="CE1075" s="10" t="s">
        <v>980</v>
      </c>
      <c r="CG1075" t="s">
        <v>744</v>
      </c>
      <c r="CH1075" t="s">
        <v>573</v>
      </c>
    </row>
    <row r="1076" spans="1:86" x14ac:dyDescent="0.3">
      <c r="A1076">
        <v>1248</v>
      </c>
      <c r="B1076" t="s">
        <v>285</v>
      </c>
      <c r="C1076" t="s">
        <v>329</v>
      </c>
      <c r="D1076" t="s">
        <v>977</v>
      </c>
      <c r="F1076" t="s">
        <v>565</v>
      </c>
      <c r="I1076" t="s">
        <v>564</v>
      </c>
      <c r="S1076">
        <v>2.2000000000000002</v>
      </c>
      <c r="BG1076" t="s">
        <v>312</v>
      </c>
      <c r="BH1076" t="s">
        <v>314</v>
      </c>
      <c r="BL1076" s="17">
        <v>3</v>
      </c>
      <c r="CE1076" s="10" t="s">
        <v>980</v>
      </c>
      <c r="CG1076" t="s">
        <v>744</v>
      </c>
      <c r="CH1076" t="s">
        <v>573</v>
      </c>
    </row>
    <row r="1077" spans="1:86" x14ac:dyDescent="0.3">
      <c r="A1077">
        <v>1249</v>
      </c>
      <c r="B1077" t="s">
        <v>285</v>
      </c>
      <c r="C1077" t="s">
        <v>329</v>
      </c>
      <c r="D1077" t="s">
        <v>973</v>
      </c>
      <c r="F1077" t="s">
        <v>565</v>
      </c>
      <c r="I1077" t="s">
        <v>564</v>
      </c>
      <c r="S1077">
        <v>3.6</v>
      </c>
      <c r="BG1077" t="s">
        <v>311</v>
      </c>
      <c r="BH1077" t="s">
        <v>828</v>
      </c>
      <c r="BL1077" s="17">
        <v>3</v>
      </c>
      <c r="CE1077" s="10" t="s">
        <v>981</v>
      </c>
      <c r="CG1077" t="s">
        <v>744</v>
      </c>
      <c r="CH1077" t="s">
        <v>573</v>
      </c>
    </row>
    <row r="1078" spans="1:86" x14ac:dyDescent="0.3">
      <c r="A1078">
        <v>1250</v>
      </c>
      <c r="B1078" t="s">
        <v>285</v>
      </c>
      <c r="C1078" t="s">
        <v>329</v>
      </c>
      <c r="D1078" t="s">
        <v>975</v>
      </c>
      <c r="F1078" t="s">
        <v>565</v>
      </c>
      <c r="I1078" t="s">
        <v>564</v>
      </c>
      <c r="S1078">
        <v>3.6</v>
      </c>
      <c r="BG1078" t="s">
        <v>311</v>
      </c>
      <c r="BH1078" t="s">
        <v>828</v>
      </c>
      <c r="BL1078" s="17">
        <v>3</v>
      </c>
      <c r="CE1078" s="10" t="s">
        <v>981</v>
      </c>
      <c r="CG1078" t="s">
        <v>744</v>
      </c>
      <c r="CH1078" t="s">
        <v>573</v>
      </c>
    </row>
    <row r="1079" spans="1:86" x14ac:dyDescent="0.3">
      <c r="A1079">
        <v>1251</v>
      </c>
      <c r="B1079" t="s">
        <v>285</v>
      </c>
      <c r="C1079" t="s">
        <v>329</v>
      </c>
      <c r="D1079" t="s">
        <v>977</v>
      </c>
      <c r="F1079" t="s">
        <v>565</v>
      </c>
      <c r="I1079" t="s">
        <v>564</v>
      </c>
      <c r="S1079">
        <v>1.7</v>
      </c>
      <c r="BG1079" t="s">
        <v>311</v>
      </c>
      <c r="BH1079" t="s">
        <v>828</v>
      </c>
      <c r="BL1079" s="17">
        <v>3</v>
      </c>
      <c r="CE1079" s="10" t="s">
        <v>981</v>
      </c>
      <c r="CG1079" t="s">
        <v>744</v>
      </c>
      <c r="CH1079" t="s">
        <v>573</v>
      </c>
    </row>
    <row r="1080" spans="1:86" x14ac:dyDescent="0.3">
      <c r="A1080">
        <v>1252</v>
      </c>
      <c r="B1080" t="s">
        <v>285</v>
      </c>
      <c r="C1080" t="s">
        <v>329</v>
      </c>
      <c r="D1080" t="s">
        <v>973</v>
      </c>
      <c r="F1080" t="s">
        <v>565</v>
      </c>
      <c r="I1080" t="s">
        <v>564</v>
      </c>
      <c r="S1080">
        <v>10.9</v>
      </c>
      <c r="BG1080" t="s">
        <v>311</v>
      </c>
      <c r="BH1080" t="s">
        <v>974</v>
      </c>
      <c r="BL1080" s="17">
        <v>3</v>
      </c>
      <c r="CE1080" s="10" t="s">
        <v>981</v>
      </c>
      <c r="CG1080" t="s">
        <v>744</v>
      </c>
      <c r="CH1080" t="s">
        <v>573</v>
      </c>
    </row>
    <row r="1081" spans="1:86" x14ac:dyDescent="0.3">
      <c r="A1081">
        <v>1253</v>
      </c>
      <c r="B1081" t="s">
        <v>285</v>
      </c>
      <c r="C1081" t="s">
        <v>329</v>
      </c>
      <c r="D1081" t="s">
        <v>975</v>
      </c>
      <c r="F1081" t="s">
        <v>565</v>
      </c>
      <c r="I1081" t="s">
        <v>564</v>
      </c>
      <c r="S1081">
        <v>9.1999999999999993</v>
      </c>
      <c r="BG1081" t="s">
        <v>311</v>
      </c>
      <c r="BH1081" t="s">
        <v>974</v>
      </c>
      <c r="BL1081" s="17">
        <v>3</v>
      </c>
      <c r="CE1081" s="10" t="s">
        <v>981</v>
      </c>
      <c r="CG1081" t="s">
        <v>744</v>
      </c>
      <c r="CH1081" t="s">
        <v>573</v>
      </c>
    </row>
    <row r="1082" spans="1:86" x14ac:dyDescent="0.3">
      <c r="A1082">
        <v>1254</v>
      </c>
      <c r="B1082" t="s">
        <v>285</v>
      </c>
      <c r="C1082" t="s">
        <v>329</v>
      </c>
      <c r="D1082" t="s">
        <v>977</v>
      </c>
      <c r="F1082" t="s">
        <v>565</v>
      </c>
      <c r="I1082" t="s">
        <v>564</v>
      </c>
      <c r="S1082">
        <v>3.4</v>
      </c>
      <c r="BG1082" t="s">
        <v>311</v>
      </c>
      <c r="BH1082" t="s">
        <v>974</v>
      </c>
      <c r="BL1082" s="17">
        <v>3</v>
      </c>
      <c r="CE1082" s="10" t="s">
        <v>981</v>
      </c>
      <c r="CG1082" t="s">
        <v>744</v>
      </c>
      <c r="CH1082" t="s">
        <v>573</v>
      </c>
    </row>
    <row r="1083" spans="1:86" x14ac:dyDescent="0.3">
      <c r="A1083">
        <v>1340</v>
      </c>
      <c r="B1083" t="s">
        <v>361</v>
      </c>
      <c r="C1083" t="s">
        <v>330</v>
      </c>
      <c r="D1083" t="s">
        <v>1207</v>
      </c>
      <c r="F1083" t="s">
        <v>577</v>
      </c>
      <c r="G1083" t="s">
        <v>1209</v>
      </c>
      <c r="H1083" t="s">
        <v>1211</v>
      </c>
      <c r="I1083" t="s">
        <v>770</v>
      </c>
      <c r="AZ1083">
        <v>7.0000000000000007E-2</v>
      </c>
      <c r="BG1083" t="s">
        <v>311</v>
      </c>
      <c r="BH1083" t="s">
        <v>1114</v>
      </c>
      <c r="BJ1083" s="10" t="s">
        <v>1115</v>
      </c>
      <c r="BL1083" s="17">
        <v>3.9</v>
      </c>
      <c r="BR1083" s="10" t="s">
        <v>842</v>
      </c>
      <c r="BS1083" s="10">
        <f>LOG(79444)</f>
        <v>4.9000611027354806</v>
      </c>
      <c r="CE1083" s="10" t="s">
        <v>642</v>
      </c>
      <c r="CF1083" t="s">
        <v>1122</v>
      </c>
      <c r="CG1083" t="s">
        <v>288</v>
      </c>
      <c r="CH1083" t="s">
        <v>160</v>
      </c>
    </row>
    <row r="1084" spans="1:86" x14ac:dyDescent="0.3">
      <c r="A1084">
        <v>1341</v>
      </c>
      <c r="B1084" t="s">
        <v>361</v>
      </c>
      <c r="C1084" t="s">
        <v>330</v>
      </c>
      <c r="D1084" t="s">
        <v>1207</v>
      </c>
      <c r="F1084" t="s">
        <v>577</v>
      </c>
      <c r="G1084" t="s">
        <v>1209</v>
      </c>
      <c r="H1084" t="s">
        <v>1211</v>
      </c>
      <c r="I1084" t="s">
        <v>770</v>
      </c>
      <c r="AZ1084">
        <v>7.0000000000000007E-2</v>
      </c>
      <c r="BG1084" t="s">
        <v>311</v>
      </c>
      <c r="BH1084" t="s">
        <v>1116</v>
      </c>
      <c r="BJ1084" s="10" t="s">
        <v>1115</v>
      </c>
      <c r="BL1084" s="17">
        <v>1.6</v>
      </c>
      <c r="BS1084" s="10">
        <f>LOG(114222)</f>
        <v>5.0577497602882113</v>
      </c>
      <c r="CE1084" s="10" t="s">
        <v>642</v>
      </c>
      <c r="CF1084" t="s">
        <v>1122</v>
      </c>
      <c r="CG1084" t="s">
        <v>288</v>
      </c>
      <c r="CH1084" t="s">
        <v>160</v>
      </c>
    </row>
    <row r="1085" spans="1:86" x14ac:dyDescent="0.3">
      <c r="A1085">
        <v>1342</v>
      </c>
      <c r="B1085" t="s">
        <v>361</v>
      </c>
      <c r="C1085" t="s">
        <v>330</v>
      </c>
      <c r="D1085" t="s">
        <v>1207</v>
      </c>
      <c r="F1085" t="s">
        <v>577</v>
      </c>
      <c r="G1085" t="s">
        <v>1209</v>
      </c>
      <c r="H1085" t="s">
        <v>1211</v>
      </c>
      <c r="I1085" t="s">
        <v>770</v>
      </c>
      <c r="AZ1085">
        <v>7.0000000000000007E-2</v>
      </c>
      <c r="BG1085" t="s">
        <v>312</v>
      </c>
      <c r="BH1085" t="s">
        <v>779</v>
      </c>
      <c r="BJ1085" s="10" t="s">
        <v>1117</v>
      </c>
      <c r="BL1085" s="17">
        <v>3.4</v>
      </c>
      <c r="BR1085" s="10" t="s">
        <v>842</v>
      </c>
      <c r="BS1085" s="10">
        <f>LOG(1956000)</f>
        <v>6.2913688504515823</v>
      </c>
      <c r="CE1085" s="10" t="s">
        <v>642</v>
      </c>
      <c r="CF1085" t="s">
        <v>1122</v>
      </c>
      <c r="CG1085" t="s">
        <v>288</v>
      </c>
      <c r="CH1085" t="s">
        <v>160</v>
      </c>
    </row>
    <row r="1086" spans="1:86" x14ac:dyDescent="0.3">
      <c r="A1086">
        <v>1343</v>
      </c>
      <c r="B1086" t="s">
        <v>361</v>
      </c>
      <c r="C1086" t="s">
        <v>330</v>
      </c>
      <c r="D1086" t="s">
        <v>1207</v>
      </c>
      <c r="F1086" t="s">
        <v>577</v>
      </c>
      <c r="G1086" t="s">
        <v>1209</v>
      </c>
      <c r="H1086" t="s">
        <v>1211</v>
      </c>
      <c r="I1086" t="s">
        <v>770</v>
      </c>
      <c r="AZ1086">
        <v>7.0000000000000007E-2</v>
      </c>
      <c r="BG1086" t="s">
        <v>313</v>
      </c>
      <c r="BH1086" t="s">
        <v>694</v>
      </c>
      <c r="BJ1086" s="10" t="s">
        <v>1118</v>
      </c>
      <c r="BL1086" s="17">
        <v>6</v>
      </c>
      <c r="BR1086" s="10" t="s">
        <v>842</v>
      </c>
      <c r="BS1086" s="10">
        <f>LOG(1841)</f>
        <v>3.2650537885040145</v>
      </c>
      <c r="CE1086" s="10" t="s">
        <v>642</v>
      </c>
      <c r="CF1086" t="s">
        <v>1122</v>
      </c>
      <c r="CG1086" t="s">
        <v>288</v>
      </c>
      <c r="CH1086" t="s">
        <v>160</v>
      </c>
    </row>
    <row r="1087" spans="1:86" x14ac:dyDescent="0.3">
      <c r="A1087">
        <v>1344</v>
      </c>
      <c r="B1087" t="s">
        <v>361</v>
      </c>
      <c r="C1087" t="s">
        <v>330</v>
      </c>
      <c r="D1087" t="s">
        <v>1207</v>
      </c>
      <c r="F1087" t="s">
        <v>577</v>
      </c>
      <c r="G1087" t="s">
        <v>1209</v>
      </c>
      <c r="H1087" t="s">
        <v>1211</v>
      </c>
      <c r="I1087" t="s">
        <v>770</v>
      </c>
      <c r="AZ1087">
        <v>7.0000000000000007E-2</v>
      </c>
      <c r="BG1087" t="s">
        <v>311</v>
      </c>
      <c r="BH1087" t="s">
        <v>1119</v>
      </c>
      <c r="BJ1087" s="10" t="s">
        <v>1120</v>
      </c>
      <c r="BL1087" s="17">
        <v>3.8</v>
      </c>
      <c r="BR1087" s="10" t="s">
        <v>842</v>
      </c>
      <c r="BS1087" s="10">
        <f>LOG(67)</f>
        <v>1.8260748027008264</v>
      </c>
      <c r="CE1087" s="10" t="s">
        <v>642</v>
      </c>
      <c r="CF1087" t="s">
        <v>1122</v>
      </c>
      <c r="CG1087" t="s">
        <v>288</v>
      </c>
      <c r="CH1087" t="s">
        <v>160</v>
      </c>
    </row>
    <row r="1088" spans="1:86" x14ac:dyDescent="0.3">
      <c r="A1088">
        <v>1345</v>
      </c>
      <c r="B1088" t="s">
        <v>361</v>
      </c>
      <c r="C1088" t="s">
        <v>330</v>
      </c>
      <c r="D1088" t="s">
        <v>1207</v>
      </c>
      <c r="F1088" t="s">
        <v>577</v>
      </c>
      <c r="G1088" t="s">
        <v>1209</v>
      </c>
      <c r="H1088" t="s">
        <v>1211</v>
      </c>
      <c r="I1088" t="s">
        <v>770</v>
      </c>
      <c r="AZ1088">
        <v>7.0000000000000007E-2</v>
      </c>
      <c r="BG1088" t="s">
        <v>311</v>
      </c>
      <c r="BH1088" t="s">
        <v>675</v>
      </c>
      <c r="BJ1088" s="10" t="s">
        <v>1121</v>
      </c>
      <c r="BL1088" s="17">
        <v>3.9</v>
      </c>
      <c r="BR1088" s="10" t="s">
        <v>842</v>
      </c>
      <c r="BS1088" s="10">
        <f>LOG(63200500)</f>
        <v>7.8007205141428599</v>
      </c>
      <c r="CE1088" s="10" t="s">
        <v>642</v>
      </c>
      <c r="CF1088" t="s">
        <v>1122</v>
      </c>
      <c r="CG1088" t="s">
        <v>288</v>
      </c>
      <c r="CH1088" t="s">
        <v>160</v>
      </c>
    </row>
    <row r="1089" spans="1:86" x14ac:dyDescent="0.3">
      <c r="A1089">
        <v>1346</v>
      </c>
      <c r="B1089" t="s">
        <v>361</v>
      </c>
      <c r="C1089" t="s">
        <v>330</v>
      </c>
      <c r="D1089" t="s">
        <v>1207</v>
      </c>
      <c r="F1089" t="s">
        <v>577</v>
      </c>
      <c r="G1089" t="s">
        <v>1209</v>
      </c>
      <c r="H1089" t="s">
        <v>1211</v>
      </c>
      <c r="I1089" t="s">
        <v>770</v>
      </c>
      <c r="AZ1089">
        <v>7.0000000000000007E-2</v>
      </c>
      <c r="BG1089" t="s">
        <v>311</v>
      </c>
      <c r="BH1089" t="s">
        <v>1204</v>
      </c>
      <c r="BJ1089" s="10" t="s">
        <v>1121</v>
      </c>
      <c r="BL1089" s="17">
        <v>4.4000000000000004</v>
      </c>
      <c r="BR1089" s="10" t="s">
        <v>842</v>
      </c>
      <c r="BS1089" s="10">
        <f>LOG(1343917)</f>
        <v>6.128372447620273</v>
      </c>
      <c r="CE1089" s="10" t="s">
        <v>642</v>
      </c>
      <c r="CF1089" t="s">
        <v>1122</v>
      </c>
      <c r="CG1089" t="s">
        <v>288</v>
      </c>
      <c r="CH1089" t="s">
        <v>160</v>
      </c>
    </row>
    <row r="1090" spans="1:86" x14ac:dyDescent="0.3">
      <c r="A1090">
        <v>1347</v>
      </c>
      <c r="B1090" t="s">
        <v>361</v>
      </c>
      <c r="C1090" t="s">
        <v>330</v>
      </c>
      <c r="D1090" t="s">
        <v>1207</v>
      </c>
      <c r="F1090" t="s">
        <v>577</v>
      </c>
      <c r="G1090" t="s">
        <v>1209</v>
      </c>
      <c r="H1090" t="s">
        <v>1211</v>
      </c>
      <c r="I1090" t="s">
        <v>770</v>
      </c>
      <c r="AZ1090">
        <v>7.0000000000000007E-2</v>
      </c>
      <c r="BG1090" t="s">
        <v>311</v>
      </c>
      <c r="BH1090" t="s">
        <v>1205</v>
      </c>
      <c r="BJ1090" s="10" t="s">
        <v>1121</v>
      </c>
      <c r="BL1090" s="17">
        <v>2.7</v>
      </c>
      <c r="BR1090" s="10" t="s">
        <v>842</v>
      </c>
      <c r="BS1090" s="10">
        <f>LOG(1988370)</f>
        <v>6.2984972019962591</v>
      </c>
      <c r="CE1090" s="10" t="s">
        <v>642</v>
      </c>
      <c r="CF1090" t="s">
        <v>1122</v>
      </c>
      <c r="CG1090" t="s">
        <v>288</v>
      </c>
      <c r="CH1090" t="s">
        <v>160</v>
      </c>
    </row>
    <row r="1091" spans="1:86" x14ac:dyDescent="0.3">
      <c r="A1091">
        <v>1348</v>
      </c>
      <c r="B1091" t="s">
        <v>361</v>
      </c>
      <c r="C1091" t="s">
        <v>330</v>
      </c>
      <c r="D1091" t="s">
        <v>1207</v>
      </c>
      <c r="F1091" t="s">
        <v>577</v>
      </c>
      <c r="G1091" t="s">
        <v>1209</v>
      </c>
      <c r="H1091" t="s">
        <v>1211</v>
      </c>
      <c r="I1091" t="s">
        <v>770</v>
      </c>
      <c r="AZ1091">
        <v>7.0000000000000007E-2</v>
      </c>
      <c r="BG1091" t="s">
        <v>311</v>
      </c>
      <c r="BH1091" t="s">
        <v>1206</v>
      </c>
      <c r="BJ1091" s="10" t="s">
        <v>1121</v>
      </c>
      <c r="BL1091" s="17">
        <v>5.0999999999999996</v>
      </c>
      <c r="BR1091" s="10" t="s">
        <v>842</v>
      </c>
      <c r="BS1091" s="10">
        <f>LOG(5106500)</f>
        <v>6.7081233362437276</v>
      </c>
      <c r="CE1091" s="10" t="s">
        <v>642</v>
      </c>
      <c r="CF1091" t="s">
        <v>1122</v>
      </c>
      <c r="CG1091" t="s">
        <v>288</v>
      </c>
      <c r="CH1091" t="s">
        <v>160</v>
      </c>
    </row>
    <row r="1092" spans="1:86" x14ac:dyDescent="0.3">
      <c r="A1092">
        <v>1349</v>
      </c>
      <c r="B1092" t="s">
        <v>361</v>
      </c>
      <c r="C1092" t="s">
        <v>330</v>
      </c>
      <c r="D1092" t="s">
        <v>1210</v>
      </c>
      <c r="F1092" t="s">
        <v>577</v>
      </c>
      <c r="G1092" t="s">
        <v>1209</v>
      </c>
      <c r="H1092" t="s">
        <v>1211</v>
      </c>
      <c r="I1092" t="s">
        <v>770</v>
      </c>
      <c r="AZ1092">
        <v>0.09</v>
      </c>
      <c r="BG1092" t="s">
        <v>311</v>
      </c>
      <c r="BH1092" t="s">
        <v>1114</v>
      </c>
      <c r="BJ1092" s="10" t="s">
        <v>1115</v>
      </c>
      <c r="BL1092" s="17">
        <v>5.0999999999999996</v>
      </c>
      <c r="BR1092" s="10" t="s">
        <v>842</v>
      </c>
      <c r="BS1092" s="10">
        <f>LOG(79444)</f>
        <v>4.9000611027354806</v>
      </c>
      <c r="CE1092" s="10" t="s">
        <v>642</v>
      </c>
      <c r="CF1092" t="s">
        <v>1123</v>
      </c>
      <c r="CG1092" t="s">
        <v>288</v>
      </c>
      <c r="CH1092" t="s">
        <v>160</v>
      </c>
    </row>
    <row r="1093" spans="1:86" x14ac:dyDescent="0.3">
      <c r="A1093">
        <v>1350</v>
      </c>
      <c r="B1093" t="s">
        <v>361</v>
      </c>
      <c r="C1093" t="s">
        <v>330</v>
      </c>
      <c r="D1093" t="s">
        <v>1210</v>
      </c>
      <c r="F1093" t="s">
        <v>577</v>
      </c>
      <c r="G1093" t="s">
        <v>1209</v>
      </c>
      <c r="H1093" t="s">
        <v>1211</v>
      </c>
      <c r="I1093" t="s">
        <v>770</v>
      </c>
      <c r="AZ1093">
        <v>0.09</v>
      </c>
      <c r="BG1093" t="s">
        <v>311</v>
      </c>
      <c r="BH1093" t="s">
        <v>1116</v>
      </c>
      <c r="BJ1093" s="10" t="s">
        <v>1115</v>
      </c>
      <c r="BL1093" s="17">
        <v>3.4</v>
      </c>
      <c r="BS1093" s="10">
        <f>LOG(114222)</f>
        <v>5.0577497602882113</v>
      </c>
      <c r="CE1093" s="10" t="s">
        <v>642</v>
      </c>
      <c r="CF1093" t="s">
        <v>1123</v>
      </c>
      <c r="CG1093" t="s">
        <v>288</v>
      </c>
      <c r="CH1093" t="s">
        <v>160</v>
      </c>
    </row>
    <row r="1094" spans="1:86" x14ac:dyDescent="0.3">
      <c r="A1094">
        <v>1351</v>
      </c>
      <c r="B1094" t="s">
        <v>361</v>
      </c>
      <c r="C1094" t="s">
        <v>330</v>
      </c>
      <c r="D1094" t="s">
        <v>1210</v>
      </c>
      <c r="F1094" t="s">
        <v>577</v>
      </c>
      <c r="G1094" t="s">
        <v>1209</v>
      </c>
      <c r="H1094" t="s">
        <v>1211</v>
      </c>
      <c r="I1094" t="s">
        <v>770</v>
      </c>
      <c r="AZ1094">
        <v>0.09</v>
      </c>
      <c r="BG1094" t="s">
        <v>312</v>
      </c>
      <c r="BH1094" t="s">
        <v>779</v>
      </c>
      <c r="BJ1094" s="10" t="s">
        <v>1117</v>
      </c>
      <c r="BL1094" s="17">
        <v>6.4</v>
      </c>
      <c r="BR1094" s="10" t="s">
        <v>842</v>
      </c>
      <c r="BS1094" s="10">
        <f>LOG(1956000)</f>
        <v>6.2913688504515823</v>
      </c>
      <c r="CE1094" s="10" t="s">
        <v>642</v>
      </c>
      <c r="CF1094" t="s">
        <v>1123</v>
      </c>
      <c r="CG1094" t="s">
        <v>288</v>
      </c>
      <c r="CH1094" t="s">
        <v>160</v>
      </c>
    </row>
    <row r="1095" spans="1:86" x14ac:dyDescent="0.3">
      <c r="A1095">
        <v>1352</v>
      </c>
      <c r="B1095" t="s">
        <v>361</v>
      </c>
      <c r="C1095" t="s">
        <v>330</v>
      </c>
      <c r="D1095" t="s">
        <v>1210</v>
      </c>
      <c r="F1095" t="s">
        <v>577</v>
      </c>
      <c r="G1095" t="s">
        <v>1209</v>
      </c>
      <c r="H1095" t="s">
        <v>1211</v>
      </c>
      <c r="I1095" t="s">
        <v>770</v>
      </c>
      <c r="AZ1095">
        <v>0.09</v>
      </c>
      <c r="BG1095" t="s">
        <v>313</v>
      </c>
      <c r="BH1095" t="s">
        <v>694</v>
      </c>
      <c r="BJ1095" s="10" t="s">
        <v>1118</v>
      </c>
      <c r="BL1095" s="17">
        <v>5</v>
      </c>
      <c r="BR1095" s="10" t="s">
        <v>842</v>
      </c>
      <c r="BS1095" s="10">
        <f>LOG(1841)</f>
        <v>3.2650537885040145</v>
      </c>
      <c r="CE1095" s="10" t="s">
        <v>642</v>
      </c>
      <c r="CF1095" t="s">
        <v>1123</v>
      </c>
      <c r="CG1095" t="s">
        <v>288</v>
      </c>
      <c r="CH1095" t="s">
        <v>160</v>
      </c>
    </row>
    <row r="1096" spans="1:86" x14ac:dyDescent="0.3">
      <c r="A1096">
        <v>1353</v>
      </c>
      <c r="B1096" t="s">
        <v>361</v>
      </c>
      <c r="C1096" t="s">
        <v>330</v>
      </c>
      <c r="D1096" t="s">
        <v>1207</v>
      </c>
      <c r="E1096" t="s">
        <v>1113</v>
      </c>
      <c r="F1096" t="s">
        <v>577</v>
      </c>
      <c r="G1096" t="s">
        <v>1209</v>
      </c>
      <c r="H1096" t="s">
        <v>1211</v>
      </c>
      <c r="I1096" t="s">
        <v>770</v>
      </c>
      <c r="AZ1096">
        <v>0.06</v>
      </c>
      <c r="BG1096" t="s">
        <v>311</v>
      </c>
      <c r="BH1096" t="s">
        <v>1114</v>
      </c>
      <c r="BJ1096" s="10" t="s">
        <v>1115</v>
      </c>
      <c r="BL1096" s="17">
        <v>5.3</v>
      </c>
      <c r="BS1096" s="10">
        <f>LOG(79444)</f>
        <v>4.9000611027354806</v>
      </c>
      <c r="CE1096" s="10" t="s">
        <v>642</v>
      </c>
      <c r="CF1096" t="s">
        <v>1122</v>
      </c>
      <c r="CG1096" t="s">
        <v>288</v>
      </c>
      <c r="CH1096" t="s">
        <v>160</v>
      </c>
    </row>
    <row r="1097" spans="1:86" x14ac:dyDescent="0.3">
      <c r="A1097">
        <v>1354</v>
      </c>
      <c r="B1097" t="s">
        <v>361</v>
      </c>
      <c r="C1097" t="s">
        <v>330</v>
      </c>
      <c r="D1097" t="s">
        <v>1207</v>
      </c>
      <c r="E1097" t="s">
        <v>1113</v>
      </c>
      <c r="F1097" t="s">
        <v>577</v>
      </c>
      <c r="G1097" t="s">
        <v>1209</v>
      </c>
      <c r="H1097" t="s">
        <v>1211</v>
      </c>
      <c r="I1097" t="s">
        <v>770</v>
      </c>
      <c r="AZ1097">
        <v>0.06</v>
      </c>
      <c r="BG1097" t="s">
        <v>311</v>
      </c>
      <c r="BH1097" t="s">
        <v>1116</v>
      </c>
      <c r="BJ1097" s="10" t="s">
        <v>1115</v>
      </c>
      <c r="BL1097" s="17">
        <v>3.2</v>
      </c>
      <c r="BS1097" s="10">
        <f>LOG(114222)</f>
        <v>5.0577497602882113</v>
      </c>
      <c r="CE1097" s="10" t="s">
        <v>642</v>
      </c>
      <c r="CF1097" t="s">
        <v>1122</v>
      </c>
      <c r="CG1097" t="s">
        <v>288</v>
      </c>
      <c r="CH1097" t="s">
        <v>160</v>
      </c>
    </row>
    <row r="1098" spans="1:86" x14ac:dyDescent="0.3">
      <c r="A1098">
        <v>1355</v>
      </c>
      <c r="B1098" t="s">
        <v>361</v>
      </c>
      <c r="C1098" t="s">
        <v>330</v>
      </c>
      <c r="D1098" t="s">
        <v>1207</v>
      </c>
      <c r="E1098" t="s">
        <v>1113</v>
      </c>
      <c r="F1098" t="s">
        <v>577</v>
      </c>
      <c r="G1098" t="s">
        <v>1209</v>
      </c>
      <c r="H1098" t="s">
        <v>1211</v>
      </c>
      <c r="I1098" t="s">
        <v>770</v>
      </c>
      <c r="AZ1098">
        <v>0.06</v>
      </c>
      <c r="BG1098" t="s">
        <v>312</v>
      </c>
      <c r="BH1098" t="s">
        <v>779</v>
      </c>
      <c r="BJ1098" s="10" t="s">
        <v>1117</v>
      </c>
      <c r="BL1098" s="17">
        <v>4.9000000000000004</v>
      </c>
      <c r="BR1098" s="10" t="s">
        <v>842</v>
      </c>
      <c r="BS1098" s="10">
        <f>LOG(1956000)</f>
        <v>6.2913688504515823</v>
      </c>
      <c r="CE1098" s="10" t="s">
        <v>642</v>
      </c>
      <c r="CF1098" t="s">
        <v>1122</v>
      </c>
      <c r="CG1098" t="s">
        <v>288</v>
      </c>
      <c r="CH1098" t="s">
        <v>160</v>
      </c>
    </row>
    <row r="1099" spans="1:86" x14ac:dyDescent="0.3">
      <c r="A1099">
        <v>1356</v>
      </c>
      <c r="B1099" t="s">
        <v>361</v>
      </c>
      <c r="C1099" t="s">
        <v>330</v>
      </c>
      <c r="D1099" t="s">
        <v>1207</v>
      </c>
      <c r="E1099" t="s">
        <v>1113</v>
      </c>
      <c r="F1099" t="s">
        <v>577</v>
      </c>
      <c r="G1099" t="s">
        <v>1209</v>
      </c>
      <c r="H1099" t="s">
        <v>1211</v>
      </c>
      <c r="I1099" t="s">
        <v>770</v>
      </c>
      <c r="AZ1099">
        <v>0.06</v>
      </c>
      <c r="BG1099" t="s">
        <v>313</v>
      </c>
      <c r="BH1099" t="s">
        <v>694</v>
      </c>
      <c r="BJ1099" s="10" t="s">
        <v>1118</v>
      </c>
      <c r="BL1099" s="17">
        <v>5.3</v>
      </c>
      <c r="BR1099" s="10" t="s">
        <v>842</v>
      </c>
      <c r="BS1099" s="10">
        <f>LOG(1841)</f>
        <v>3.2650537885040145</v>
      </c>
      <c r="CE1099" s="10" t="s">
        <v>642</v>
      </c>
      <c r="CF1099" t="s">
        <v>1122</v>
      </c>
      <c r="CG1099" t="s">
        <v>288</v>
      </c>
      <c r="CH1099" t="s">
        <v>160</v>
      </c>
    </row>
    <row r="1100" spans="1:86" x14ac:dyDescent="0.3">
      <c r="A1100">
        <v>1357</v>
      </c>
      <c r="B1100" t="s">
        <v>361</v>
      </c>
      <c r="C1100" t="s">
        <v>330</v>
      </c>
      <c r="D1100" t="s">
        <v>1207</v>
      </c>
      <c r="E1100" t="s">
        <v>1113</v>
      </c>
      <c r="F1100" t="s">
        <v>577</v>
      </c>
      <c r="G1100" t="s">
        <v>1209</v>
      </c>
      <c r="H1100" t="s">
        <v>1211</v>
      </c>
      <c r="I1100" t="s">
        <v>770</v>
      </c>
      <c r="AZ1100">
        <v>0.06</v>
      </c>
      <c r="BG1100" t="s">
        <v>311</v>
      </c>
      <c r="BH1100" t="s">
        <v>1119</v>
      </c>
      <c r="BJ1100" s="10" t="s">
        <v>1120</v>
      </c>
      <c r="BL1100" s="17">
        <v>3.3</v>
      </c>
      <c r="BR1100" s="10" t="s">
        <v>842</v>
      </c>
      <c r="BS1100" s="10">
        <f>LOG(67)</f>
        <v>1.8260748027008264</v>
      </c>
      <c r="CE1100" s="10" t="s">
        <v>642</v>
      </c>
      <c r="CF1100" t="s">
        <v>1122</v>
      </c>
      <c r="CG1100" t="s">
        <v>288</v>
      </c>
      <c r="CH1100" t="s">
        <v>160</v>
      </c>
    </row>
    <row r="1101" spans="1:86" x14ac:dyDescent="0.3">
      <c r="A1101">
        <v>1358</v>
      </c>
      <c r="B1101" t="s">
        <v>361</v>
      </c>
      <c r="C1101" t="s">
        <v>330</v>
      </c>
      <c r="D1101" t="s">
        <v>1207</v>
      </c>
      <c r="E1101" t="s">
        <v>1113</v>
      </c>
      <c r="F1101" t="s">
        <v>577</v>
      </c>
      <c r="G1101" t="s">
        <v>1209</v>
      </c>
      <c r="H1101" t="s">
        <v>1211</v>
      </c>
      <c r="I1101" t="s">
        <v>770</v>
      </c>
      <c r="AZ1101">
        <v>0.06</v>
      </c>
      <c r="BG1101" t="s">
        <v>311</v>
      </c>
      <c r="BH1101" t="s">
        <v>675</v>
      </c>
      <c r="BJ1101" s="10" t="s">
        <v>1121</v>
      </c>
      <c r="BL1101" s="17">
        <v>8.6999999999999993</v>
      </c>
      <c r="BR1101" s="10" t="s">
        <v>842</v>
      </c>
      <c r="BS1101" s="10">
        <f>LOG(63200500)</f>
        <v>7.8007205141428599</v>
      </c>
      <c r="CE1101" s="10" t="s">
        <v>642</v>
      </c>
      <c r="CF1101" t="s">
        <v>1122</v>
      </c>
      <c r="CG1101" t="s">
        <v>288</v>
      </c>
      <c r="CH1101" t="s">
        <v>160</v>
      </c>
    </row>
    <row r="1102" spans="1:86" x14ac:dyDescent="0.3">
      <c r="A1102">
        <v>1359</v>
      </c>
      <c r="B1102" t="s">
        <v>361</v>
      </c>
      <c r="C1102" t="s">
        <v>330</v>
      </c>
      <c r="D1102" t="s">
        <v>1207</v>
      </c>
      <c r="E1102" t="s">
        <v>1113</v>
      </c>
      <c r="F1102" t="s">
        <v>577</v>
      </c>
      <c r="G1102" t="s">
        <v>1209</v>
      </c>
      <c r="H1102" t="s">
        <v>1211</v>
      </c>
      <c r="I1102" t="s">
        <v>770</v>
      </c>
      <c r="AZ1102">
        <v>0.06</v>
      </c>
      <c r="BG1102" t="s">
        <v>311</v>
      </c>
      <c r="BH1102" t="s">
        <v>1204</v>
      </c>
      <c r="BJ1102" s="10" t="s">
        <v>1121</v>
      </c>
      <c r="BL1102" s="17">
        <v>7</v>
      </c>
      <c r="BR1102" s="10" t="s">
        <v>842</v>
      </c>
      <c r="BS1102" s="10">
        <f>LOG(1343917)</f>
        <v>6.128372447620273</v>
      </c>
      <c r="CE1102" s="10" t="s">
        <v>642</v>
      </c>
      <c r="CF1102" t="s">
        <v>1122</v>
      </c>
      <c r="CG1102" t="s">
        <v>288</v>
      </c>
      <c r="CH1102" t="s">
        <v>160</v>
      </c>
    </row>
    <row r="1103" spans="1:86" x14ac:dyDescent="0.3">
      <c r="A1103">
        <v>1360</v>
      </c>
      <c r="B1103" t="s">
        <v>361</v>
      </c>
      <c r="C1103" t="s">
        <v>330</v>
      </c>
      <c r="D1103" t="s">
        <v>1207</v>
      </c>
      <c r="E1103" t="s">
        <v>1113</v>
      </c>
      <c r="F1103" t="s">
        <v>577</v>
      </c>
      <c r="G1103" t="s">
        <v>1209</v>
      </c>
      <c r="H1103" t="s">
        <v>1211</v>
      </c>
      <c r="I1103" t="s">
        <v>770</v>
      </c>
      <c r="AZ1103">
        <v>0.06</v>
      </c>
      <c r="BG1103" t="s">
        <v>311</v>
      </c>
      <c r="BH1103" t="s">
        <v>1205</v>
      </c>
      <c r="BJ1103" s="10" t="s">
        <v>1121</v>
      </c>
      <c r="BL1103" s="17">
        <v>7.3</v>
      </c>
      <c r="BR1103" s="10" t="s">
        <v>842</v>
      </c>
      <c r="BS1103" s="10">
        <f>LOG(1988370)</f>
        <v>6.2984972019962591</v>
      </c>
      <c r="CE1103" s="10" t="s">
        <v>642</v>
      </c>
      <c r="CF1103" t="s">
        <v>1122</v>
      </c>
      <c r="CG1103" t="s">
        <v>288</v>
      </c>
      <c r="CH1103" t="s">
        <v>160</v>
      </c>
    </row>
    <row r="1104" spans="1:86" x14ac:dyDescent="0.3">
      <c r="A1104">
        <v>1361</v>
      </c>
      <c r="B1104" t="s">
        <v>361</v>
      </c>
      <c r="C1104" t="s">
        <v>330</v>
      </c>
      <c r="D1104" t="s">
        <v>1207</v>
      </c>
      <c r="E1104" t="s">
        <v>1113</v>
      </c>
      <c r="F1104" t="s">
        <v>577</v>
      </c>
      <c r="G1104" t="s">
        <v>1209</v>
      </c>
      <c r="H1104" t="s">
        <v>1211</v>
      </c>
      <c r="I1104" t="s">
        <v>770</v>
      </c>
      <c r="AZ1104">
        <v>0.06</v>
      </c>
      <c r="BG1104" t="s">
        <v>311</v>
      </c>
      <c r="BH1104" t="s">
        <v>1206</v>
      </c>
      <c r="BJ1104" s="10" t="s">
        <v>1121</v>
      </c>
      <c r="BL1104" s="17">
        <v>7.7</v>
      </c>
      <c r="BR1104" s="10" t="s">
        <v>842</v>
      </c>
      <c r="BS1104" s="10">
        <f>LOG(5106500)</f>
        <v>6.7081233362437276</v>
      </c>
      <c r="CE1104" s="10" t="s">
        <v>642</v>
      </c>
      <c r="CF1104" t="s">
        <v>1122</v>
      </c>
      <c r="CG1104" t="s">
        <v>288</v>
      </c>
      <c r="CH1104" t="s">
        <v>160</v>
      </c>
    </row>
    <row r="1105" spans="1:86" x14ac:dyDescent="0.3">
      <c r="A1105">
        <v>1362</v>
      </c>
      <c r="B1105" t="s">
        <v>361</v>
      </c>
      <c r="C1105" t="s">
        <v>330</v>
      </c>
      <c r="D1105" t="s">
        <v>1124</v>
      </c>
      <c r="F1105" t="s">
        <v>577</v>
      </c>
      <c r="G1105" t="s">
        <v>1209</v>
      </c>
      <c r="H1105" t="s">
        <v>1211</v>
      </c>
      <c r="I1105" t="s">
        <v>770</v>
      </c>
      <c r="AZ1105">
        <v>0.08</v>
      </c>
      <c r="BG1105" t="s">
        <v>311</v>
      </c>
      <c r="BH1105" t="s">
        <v>1114</v>
      </c>
      <c r="BJ1105" s="10" t="s">
        <v>1115</v>
      </c>
      <c r="BL1105" s="17">
        <v>4.8</v>
      </c>
      <c r="BR1105" s="10" t="s">
        <v>842</v>
      </c>
      <c r="BS1105" s="10">
        <f>LOG(79444)</f>
        <v>4.9000611027354806</v>
      </c>
      <c r="CE1105" s="10" t="s">
        <v>642</v>
      </c>
      <c r="CF1105" t="s">
        <v>1124</v>
      </c>
      <c r="CG1105" t="s">
        <v>288</v>
      </c>
      <c r="CH1105" t="s">
        <v>160</v>
      </c>
    </row>
    <row r="1106" spans="1:86" x14ac:dyDescent="0.3">
      <c r="A1106">
        <v>1363</v>
      </c>
      <c r="B1106" t="s">
        <v>361</v>
      </c>
      <c r="C1106" t="s">
        <v>330</v>
      </c>
      <c r="D1106" t="s">
        <v>1124</v>
      </c>
      <c r="F1106" t="s">
        <v>577</v>
      </c>
      <c r="G1106" t="s">
        <v>1209</v>
      </c>
      <c r="H1106" t="s">
        <v>1211</v>
      </c>
      <c r="I1106" t="s">
        <v>770</v>
      </c>
      <c r="AZ1106">
        <v>0.08</v>
      </c>
      <c r="BG1106" t="s">
        <v>311</v>
      </c>
      <c r="BH1106" t="s">
        <v>1116</v>
      </c>
      <c r="BJ1106" s="10" t="s">
        <v>1115</v>
      </c>
      <c r="BL1106" s="17">
        <v>2.9</v>
      </c>
      <c r="BS1106" s="10">
        <f>LOG(114222)</f>
        <v>5.0577497602882113</v>
      </c>
      <c r="CE1106" s="10" t="s">
        <v>642</v>
      </c>
      <c r="CF1106" t="s">
        <v>1124</v>
      </c>
      <c r="CG1106" t="s">
        <v>288</v>
      </c>
      <c r="CH1106" t="s">
        <v>160</v>
      </c>
    </row>
    <row r="1107" spans="1:86" x14ac:dyDescent="0.3">
      <c r="A1107">
        <v>1364</v>
      </c>
      <c r="B1107" t="s">
        <v>361</v>
      </c>
      <c r="C1107" t="s">
        <v>330</v>
      </c>
      <c r="D1107" t="s">
        <v>1124</v>
      </c>
      <c r="F1107" t="s">
        <v>577</v>
      </c>
      <c r="G1107" t="s">
        <v>1209</v>
      </c>
      <c r="H1107" t="s">
        <v>1211</v>
      </c>
      <c r="I1107" t="s">
        <v>770</v>
      </c>
      <c r="AZ1107">
        <v>0.08</v>
      </c>
      <c r="BG1107" t="s">
        <v>312</v>
      </c>
      <c r="BH1107" t="s">
        <v>779</v>
      </c>
      <c r="BJ1107" s="10" t="s">
        <v>1117</v>
      </c>
      <c r="BL1107" s="17">
        <v>6.6</v>
      </c>
      <c r="BR1107" s="10" t="s">
        <v>842</v>
      </c>
      <c r="BS1107" s="10">
        <f>LOG(1956000)</f>
        <v>6.2913688504515823</v>
      </c>
      <c r="CE1107" s="10" t="s">
        <v>642</v>
      </c>
      <c r="CF1107" t="s">
        <v>1124</v>
      </c>
      <c r="CG1107" t="s">
        <v>288</v>
      </c>
      <c r="CH1107" t="s">
        <v>160</v>
      </c>
    </row>
    <row r="1108" spans="1:86" x14ac:dyDescent="0.3">
      <c r="A1108">
        <v>1365</v>
      </c>
      <c r="B1108" t="s">
        <v>361</v>
      </c>
      <c r="C1108" t="s">
        <v>330</v>
      </c>
      <c r="D1108" t="s">
        <v>1124</v>
      </c>
      <c r="F1108" t="s">
        <v>577</v>
      </c>
      <c r="G1108" t="s">
        <v>1209</v>
      </c>
      <c r="H1108" t="s">
        <v>1211</v>
      </c>
      <c r="I1108" t="s">
        <v>770</v>
      </c>
      <c r="AZ1108">
        <v>0.08</v>
      </c>
      <c r="BG1108" t="s">
        <v>313</v>
      </c>
      <c r="BH1108" t="s">
        <v>694</v>
      </c>
      <c r="BJ1108" s="10" t="s">
        <v>1118</v>
      </c>
      <c r="BL1108" s="17">
        <v>5.5</v>
      </c>
      <c r="BR1108" s="10" t="s">
        <v>842</v>
      </c>
      <c r="BS1108" s="10">
        <f>LOG(1841)</f>
        <v>3.2650537885040145</v>
      </c>
      <c r="CE1108" s="10" t="s">
        <v>642</v>
      </c>
      <c r="CF1108" t="s">
        <v>1124</v>
      </c>
      <c r="CG1108" t="s">
        <v>288</v>
      </c>
      <c r="CH1108" t="s">
        <v>160</v>
      </c>
    </row>
    <row r="1109" spans="1:86" x14ac:dyDescent="0.3">
      <c r="A1109">
        <v>1366</v>
      </c>
      <c r="B1109" t="s">
        <v>361</v>
      </c>
      <c r="C1109" t="s">
        <v>330</v>
      </c>
      <c r="D1109" t="s">
        <v>1124</v>
      </c>
      <c r="F1109" t="s">
        <v>577</v>
      </c>
      <c r="G1109" t="s">
        <v>1209</v>
      </c>
      <c r="H1109" t="s">
        <v>1211</v>
      </c>
      <c r="I1109" t="s">
        <v>770</v>
      </c>
      <c r="AZ1109">
        <v>0.08</v>
      </c>
      <c r="BG1109" t="s">
        <v>311</v>
      </c>
      <c r="BH1109" t="s">
        <v>1119</v>
      </c>
      <c r="BJ1109" s="10" t="s">
        <v>1120</v>
      </c>
      <c r="BL1109" s="17">
        <v>3.2</v>
      </c>
      <c r="BR1109" s="10" t="s">
        <v>842</v>
      </c>
      <c r="BS1109" s="10">
        <f>LOG(67)</f>
        <v>1.8260748027008264</v>
      </c>
      <c r="CE1109" s="10" t="s">
        <v>642</v>
      </c>
      <c r="CF1109" t="s">
        <v>1124</v>
      </c>
      <c r="CG1109" t="s">
        <v>288</v>
      </c>
      <c r="CH1109" t="s">
        <v>160</v>
      </c>
    </row>
    <row r="1110" spans="1:86" x14ac:dyDescent="0.3">
      <c r="A1110">
        <v>1367</v>
      </c>
      <c r="B1110" t="s">
        <v>361</v>
      </c>
      <c r="C1110" t="s">
        <v>330</v>
      </c>
      <c r="D1110" t="s">
        <v>1124</v>
      </c>
      <c r="F1110" t="s">
        <v>577</v>
      </c>
      <c r="G1110" t="s">
        <v>1209</v>
      </c>
      <c r="H1110" t="s">
        <v>1211</v>
      </c>
      <c r="I1110" t="s">
        <v>770</v>
      </c>
      <c r="AZ1110">
        <v>0.08</v>
      </c>
      <c r="BG1110" t="s">
        <v>311</v>
      </c>
      <c r="BH1110" t="s">
        <v>675</v>
      </c>
      <c r="BJ1110" s="10" t="s">
        <v>1121</v>
      </c>
      <c r="BL1110" s="17">
        <v>8.4</v>
      </c>
      <c r="BR1110" s="10" t="s">
        <v>842</v>
      </c>
      <c r="BS1110" s="10">
        <f>LOG(63200500)</f>
        <v>7.8007205141428599</v>
      </c>
      <c r="CE1110" s="10" t="s">
        <v>642</v>
      </c>
      <c r="CF1110" t="s">
        <v>1124</v>
      </c>
      <c r="CG1110" t="s">
        <v>288</v>
      </c>
      <c r="CH1110" t="s">
        <v>160</v>
      </c>
    </row>
    <row r="1111" spans="1:86" x14ac:dyDescent="0.3">
      <c r="A1111">
        <v>1368</v>
      </c>
      <c r="B1111" t="s">
        <v>361</v>
      </c>
      <c r="C1111" t="s">
        <v>330</v>
      </c>
      <c r="D1111" t="s">
        <v>1124</v>
      </c>
      <c r="F1111" t="s">
        <v>577</v>
      </c>
      <c r="G1111" t="s">
        <v>1209</v>
      </c>
      <c r="H1111" t="s">
        <v>1211</v>
      </c>
      <c r="I1111" t="s">
        <v>770</v>
      </c>
      <c r="AZ1111">
        <v>0.08</v>
      </c>
      <c r="BG1111" t="s">
        <v>311</v>
      </c>
      <c r="BH1111" t="s">
        <v>1204</v>
      </c>
      <c r="BJ1111" s="10" t="s">
        <v>1121</v>
      </c>
      <c r="BL1111" s="17">
        <v>5.5</v>
      </c>
      <c r="BR1111" s="10" t="s">
        <v>842</v>
      </c>
      <c r="BS1111" s="10">
        <f>LOG(1343917)</f>
        <v>6.128372447620273</v>
      </c>
      <c r="CE1111" s="10" t="s">
        <v>642</v>
      </c>
      <c r="CF1111" t="s">
        <v>1124</v>
      </c>
      <c r="CG1111" t="s">
        <v>288</v>
      </c>
      <c r="CH1111" t="s">
        <v>160</v>
      </c>
    </row>
    <row r="1112" spans="1:86" x14ac:dyDescent="0.3">
      <c r="A1112">
        <v>1369</v>
      </c>
      <c r="B1112" t="s">
        <v>361</v>
      </c>
      <c r="C1112" t="s">
        <v>330</v>
      </c>
      <c r="D1112" t="s">
        <v>1124</v>
      </c>
      <c r="F1112" t="s">
        <v>577</v>
      </c>
      <c r="G1112" t="s">
        <v>1209</v>
      </c>
      <c r="H1112" t="s">
        <v>1211</v>
      </c>
      <c r="I1112" t="s">
        <v>770</v>
      </c>
      <c r="AZ1112">
        <v>0.08</v>
      </c>
      <c r="BG1112" t="s">
        <v>311</v>
      </c>
      <c r="BH1112" t="s">
        <v>1205</v>
      </c>
      <c r="BJ1112" s="10" t="s">
        <v>1121</v>
      </c>
      <c r="BL1112" s="17">
        <v>6</v>
      </c>
      <c r="BR1112" s="10" t="s">
        <v>842</v>
      </c>
      <c r="BS1112" s="10">
        <f>LOG(1988370)</f>
        <v>6.2984972019962591</v>
      </c>
      <c r="CE1112" s="10" t="s">
        <v>642</v>
      </c>
      <c r="CF1112" t="s">
        <v>1124</v>
      </c>
      <c r="CG1112" t="s">
        <v>288</v>
      </c>
      <c r="CH1112" t="s">
        <v>160</v>
      </c>
    </row>
    <row r="1113" spans="1:86" x14ac:dyDescent="0.3">
      <c r="A1113">
        <v>1370</v>
      </c>
      <c r="B1113" t="s">
        <v>361</v>
      </c>
      <c r="C1113" t="s">
        <v>330</v>
      </c>
      <c r="D1113" t="s">
        <v>1124</v>
      </c>
      <c r="F1113" t="s">
        <v>577</v>
      </c>
      <c r="G1113" t="s">
        <v>1209</v>
      </c>
      <c r="H1113" t="s">
        <v>1211</v>
      </c>
      <c r="I1113" t="s">
        <v>770</v>
      </c>
      <c r="AZ1113">
        <v>0.08</v>
      </c>
      <c r="BG1113" t="s">
        <v>311</v>
      </c>
      <c r="BH1113" t="s">
        <v>1206</v>
      </c>
      <c r="BJ1113" s="10" t="s">
        <v>1121</v>
      </c>
      <c r="BL1113" s="17">
        <v>6.4</v>
      </c>
      <c r="BR1113" s="10" t="s">
        <v>842</v>
      </c>
      <c r="BS1113" s="10">
        <f>LOG(5106500)</f>
        <v>6.7081233362437276</v>
      </c>
      <c r="CE1113" s="10" t="s">
        <v>642</v>
      </c>
      <c r="CF1113" t="s">
        <v>1124</v>
      </c>
      <c r="CG1113" t="s">
        <v>288</v>
      </c>
      <c r="CH1113" t="s">
        <v>160</v>
      </c>
    </row>
    <row r="1114" spans="1:86" x14ac:dyDescent="0.3">
      <c r="A1114">
        <v>1371</v>
      </c>
      <c r="B1114" t="s">
        <v>361</v>
      </c>
      <c r="C1114" t="s">
        <v>330</v>
      </c>
      <c r="D1114" t="s">
        <v>1123</v>
      </c>
      <c r="F1114" t="s">
        <v>577</v>
      </c>
      <c r="G1114" t="s">
        <v>1209</v>
      </c>
      <c r="H1114" t="s">
        <v>1208</v>
      </c>
      <c r="I1114" t="s">
        <v>770</v>
      </c>
      <c r="AZ1114">
        <v>0.06</v>
      </c>
      <c r="BG1114" t="s">
        <v>311</v>
      </c>
      <c r="BH1114" t="s">
        <v>1114</v>
      </c>
      <c r="BJ1114" s="10" t="s">
        <v>1115</v>
      </c>
      <c r="BL1114" s="17">
        <v>4.2</v>
      </c>
      <c r="BS1114" s="10">
        <f>LOG(79444)</f>
        <v>4.9000611027354806</v>
      </c>
      <c r="CE1114" s="10" t="s">
        <v>642</v>
      </c>
      <c r="CF1114" t="s">
        <v>1123</v>
      </c>
      <c r="CG1114" t="s">
        <v>288</v>
      </c>
      <c r="CH1114" t="s">
        <v>160</v>
      </c>
    </row>
    <row r="1115" spans="1:86" x14ac:dyDescent="0.3">
      <c r="A1115">
        <v>1372</v>
      </c>
      <c r="B1115" t="s">
        <v>361</v>
      </c>
      <c r="C1115" t="s">
        <v>330</v>
      </c>
      <c r="D1115" t="s">
        <v>1123</v>
      </c>
      <c r="F1115" t="s">
        <v>577</v>
      </c>
      <c r="G1115" t="s">
        <v>1209</v>
      </c>
      <c r="H1115" t="s">
        <v>1208</v>
      </c>
      <c r="I1115" t="s">
        <v>770</v>
      </c>
      <c r="AZ1115">
        <v>0.06</v>
      </c>
      <c r="BG1115" t="s">
        <v>311</v>
      </c>
      <c r="BH1115" t="s">
        <v>1116</v>
      </c>
      <c r="BJ1115" s="10" t="s">
        <v>1115</v>
      </c>
      <c r="BL1115" s="17">
        <v>2.2999999999999998</v>
      </c>
      <c r="BS1115" s="10">
        <f>LOG(114222)</f>
        <v>5.0577497602882113</v>
      </c>
      <c r="CE1115" s="10" t="s">
        <v>642</v>
      </c>
      <c r="CF1115" t="s">
        <v>1123</v>
      </c>
      <c r="CG1115" t="s">
        <v>288</v>
      </c>
      <c r="CH1115" t="s">
        <v>160</v>
      </c>
    </row>
    <row r="1116" spans="1:86" x14ac:dyDescent="0.3">
      <c r="A1116">
        <v>1373</v>
      </c>
      <c r="B1116" t="s">
        <v>361</v>
      </c>
      <c r="C1116" t="s">
        <v>330</v>
      </c>
      <c r="D1116" t="s">
        <v>1123</v>
      </c>
      <c r="F1116" t="s">
        <v>577</v>
      </c>
      <c r="G1116" t="s">
        <v>1209</v>
      </c>
      <c r="H1116" t="s">
        <v>1208</v>
      </c>
      <c r="I1116" t="s">
        <v>770</v>
      </c>
      <c r="AZ1116">
        <v>0.06</v>
      </c>
      <c r="BG1116" t="s">
        <v>312</v>
      </c>
      <c r="BH1116" t="s">
        <v>779</v>
      </c>
      <c r="BJ1116" s="10" t="s">
        <v>1117</v>
      </c>
      <c r="BL1116" s="17">
        <v>6.1</v>
      </c>
      <c r="BR1116" s="10" t="s">
        <v>842</v>
      </c>
      <c r="BS1116" s="10">
        <f>LOG(1956000)</f>
        <v>6.2913688504515823</v>
      </c>
      <c r="CE1116" s="10" t="s">
        <v>642</v>
      </c>
      <c r="CF1116" t="s">
        <v>1123</v>
      </c>
      <c r="CG1116" t="s">
        <v>288</v>
      </c>
      <c r="CH1116" t="s">
        <v>160</v>
      </c>
    </row>
    <row r="1117" spans="1:86" x14ac:dyDescent="0.3">
      <c r="A1117">
        <v>1374</v>
      </c>
      <c r="B1117" t="s">
        <v>361</v>
      </c>
      <c r="C1117" t="s">
        <v>330</v>
      </c>
      <c r="D1117" t="s">
        <v>1123</v>
      </c>
      <c r="F1117" t="s">
        <v>577</v>
      </c>
      <c r="G1117" t="s">
        <v>1209</v>
      </c>
      <c r="H1117" t="s">
        <v>1208</v>
      </c>
      <c r="I1117" t="s">
        <v>770</v>
      </c>
      <c r="AZ1117">
        <v>0.06</v>
      </c>
      <c r="BG1117" t="s">
        <v>313</v>
      </c>
      <c r="BH1117" t="s">
        <v>694</v>
      </c>
      <c r="BJ1117" s="10" t="s">
        <v>1118</v>
      </c>
      <c r="BL1117" s="17">
        <v>3.3</v>
      </c>
      <c r="BR1117" s="10" t="s">
        <v>842</v>
      </c>
      <c r="BS1117" s="10">
        <f>LOG(1841)</f>
        <v>3.2650537885040145</v>
      </c>
      <c r="CE1117" s="10" t="s">
        <v>642</v>
      </c>
      <c r="CF1117" t="s">
        <v>1123</v>
      </c>
      <c r="CG1117" t="s">
        <v>288</v>
      </c>
      <c r="CH1117" t="s">
        <v>160</v>
      </c>
    </row>
    <row r="1118" spans="1:86" x14ac:dyDescent="0.3">
      <c r="A1118">
        <v>1375</v>
      </c>
      <c r="B1118" t="s">
        <v>361</v>
      </c>
      <c r="C1118" t="s">
        <v>330</v>
      </c>
      <c r="D1118" t="s">
        <v>1123</v>
      </c>
      <c r="F1118" t="s">
        <v>577</v>
      </c>
      <c r="G1118" t="s">
        <v>1209</v>
      </c>
      <c r="H1118" t="s">
        <v>1208</v>
      </c>
      <c r="I1118" t="s">
        <v>770</v>
      </c>
      <c r="AZ1118">
        <v>0.06</v>
      </c>
      <c r="BG1118" t="s">
        <v>311</v>
      </c>
      <c r="BH1118" t="s">
        <v>1119</v>
      </c>
      <c r="BJ1118" s="10" t="s">
        <v>1120</v>
      </c>
      <c r="BL1118" s="17">
        <v>3.6</v>
      </c>
      <c r="BR1118" s="10" t="s">
        <v>842</v>
      </c>
      <c r="BS1118" s="10">
        <f>LOG(67)</f>
        <v>1.8260748027008264</v>
      </c>
      <c r="CE1118" s="10" t="s">
        <v>642</v>
      </c>
      <c r="CF1118" t="s">
        <v>1123</v>
      </c>
      <c r="CG1118" t="s">
        <v>288</v>
      </c>
      <c r="CH1118" t="s">
        <v>160</v>
      </c>
    </row>
    <row r="1119" spans="1:86" x14ac:dyDescent="0.3">
      <c r="A1119">
        <v>1376</v>
      </c>
      <c r="B1119" t="s">
        <v>361</v>
      </c>
      <c r="C1119" t="s">
        <v>330</v>
      </c>
      <c r="D1119" t="s">
        <v>1123</v>
      </c>
      <c r="F1119" t="s">
        <v>577</v>
      </c>
      <c r="G1119" t="s">
        <v>1209</v>
      </c>
      <c r="H1119" t="s">
        <v>1208</v>
      </c>
      <c r="I1119" t="s">
        <v>770</v>
      </c>
      <c r="AZ1119">
        <v>0.06</v>
      </c>
      <c r="BG1119" t="s">
        <v>311</v>
      </c>
      <c r="BH1119" t="s">
        <v>675</v>
      </c>
      <c r="BJ1119" s="10" t="s">
        <v>1121</v>
      </c>
      <c r="BL1119" s="17">
        <v>7.1</v>
      </c>
      <c r="BR1119" s="10" t="s">
        <v>842</v>
      </c>
      <c r="BS1119" s="10">
        <f>LOG(63200500)</f>
        <v>7.8007205141428599</v>
      </c>
      <c r="CE1119" s="10" t="s">
        <v>642</v>
      </c>
      <c r="CF1119" t="s">
        <v>1123</v>
      </c>
      <c r="CG1119" t="s">
        <v>288</v>
      </c>
      <c r="CH1119" t="s">
        <v>160</v>
      </c>
    </row>
    <row r="1120" spans="1:86" x14ac:dyDescent="0.3">
      <c r="A1120">
        <v>1377</v>
      </c>
      <c r="B1120" t="s">
        <v>361</v>
      </c>
      <c r="C1120" t="s">
        <v>330</v>
      </c>
      <c r="D1120" t="s">
        <v>1123</v>
      </c>
      <c r="F1120" t="s">
        <v>577</v>
      </c>
      <c r="G1120" t="s">
        <v>1209</v>
      </c>
      <c r="H1120" t="s">
        <v>1208</v>
      </c>
      <c r="I1120" t="s">
        <v>770</v>
      </c>
      <c r="AZ1120">
        <v>0.06</v>
      </c>
      <c r="BG1120" t="s">
        <v>311</v>
      </c>
      <c r="BH1120" t="s">
        <v>1204</v>
      </c>
      <c r="BJ1120" s="10" t="s">
        <v>1121</v>
      </c>
      <c r="BL1120" s="17">
        <v>7</v>
      </c>
      <c r="BR1120" s="10" t="s">
        <v>842</v>
      </c>
      <c r="BS1120" s="10">
        <f>LOG(1343917)</f>
        <v>6.128372447620273</v>
      </c>
      <c r="CE1120" s="10" t="s">
        <v>642</v>
      </c>
      <c r="CF1120" t="s">
        <v>1123</v>
      </c>
      <c r="CG1120" t="s">
        <v>288</v>
      </c>
      <c r="CH1120" t="s">
        <v>160</v>
      </c>
    </row>
    <row r="1121" spans="1:86" x14ac:dyDescent="0.3">
      <c r="A1121">
        <v>1378</v>
      </c>
      <c r="B1121" t="s">
        <v>361</v>
      </c>
      <c r="C1121" t="s">
        <v>330</v>
      </c>
      <c r="D1121" t="s">
        <v>1123</v>
      </c>
      <c r="F1121" t="s">
        <v>577</v>
      </c>
      <c r="G1121" t="s">
        <v>1209</v>
      </c>
      <c r="H1121" t="s">
        <v>1208</v>
      </c>
      <c r="I1121" t="s">
        <v>770</v>
      </c>
      <c r="AZ1121">
        <v>0.06</v>
      </c>
      <c r="BG1121" t="s">
        <v>311</v>
      </c>
      <c r="BH1121" t="s">
        <v>1205</v>
      </c>
      <c r="BJ1121" s="10" t="s">
        <v>1121</v>
      </c>
      <c r="BL1121" s="17">
        <v>6.8</v>
      </c>
      <c r="BR1121" s="10" t="s">
        <v>842</v>
      </c>
      <c r="BS1121" s="10">
        <f>LOG(1988370)</f>
        <v>6.2984972019962591</v>
      </c>
      <c r="CE1121" s="10" t="s">
        <v>642</v>
      </c>
      <c r="CF1121" t="s">
        <v>1123</v>
      </c>
      <c r="CG1121" t="s">
        <v>288</v>
      </c>
      <c r="CH1121" t="s">
        <v>160</v>
      </c>
    </row>
    <row r="1122" spans="1:86" x14ac:dyDescent="0.3">
      <c r="A1122">
        <v>1379</v>
      </c>
      <c r="B1122" t="s">
        <v>361</v>
      </c>
      <c r="C1122" t="s">
        <v>330</v>
      </c>
      <c r="D1122" t="s">
        <v>1123</v>
      </c>
      <c r="F1122" t="s">
        <v>577</v>
      </c>
      <c r="G1122" t="s">
        <v>1209</v>
      </c>
      <c r="H1122" t="s">
        <v>1208</v>
      </c>
      <c r="I1122" t="s">
        <v>770</v>
      </c>
      <c r="AZ1122">
        <v>0.06</v>
      </c>
      <c r="BG1122" t="s">
        <v>311</v>
      </c>
      <c r="BH1122" t="s">
        <v>1206</v>
      </c>
      <c r="BJ1122" s="10" t="s">
        <v>1121</v>
      </c>
      <c r="BL1122" s="17">
        <v>5.4</v>
      </c>
      <c r="BR1122" s="10" t="s">
        <v>842</v>
      </c>
      <c r="BS1122" s="10">
        <f>LOG(5106500)</f>
        <v>6.7081233362437276</v>
      </c>
      <c r="CE1122" s="10" t="s">
        <v>642</v>
      </c>
      <c r="CF1122" t="s">
        <v>1123</v>
      </c>
      <c r="CG1122" t="s">
        <v>288</v>
      </c>
      <c r="CH1122" t="s">
        <v>160</v>
      </c>
    </row>
    <row r="1123" spans="1:86" x14ac:dyDescent="0.3">
      <c r="A1123">
        <v>1380</v>
      </c>
      <c r="B1123" t="s">
        <v>361</v>
      </c>
      <c r="C1123" t="s">
        <v>330</v>
      </c>
      <c r="D1123" t="s">
        <v>1207</v>
      </c>
      <c r="F1123" t="s">
        <v>577</v>
      </c>
      <c r="G1123" t="s">
        <v>1209</v>
      </c>
      <c r="H1123" t="s">
        <v>1208</v>
      </c>
      <c r="I1123" t="s">
        <v>770</v>
      </c>
      <c r="AZ1123">
        <v>0.11</v>
      </c>
      <c r="BG1123" t="s">
        <v>311</v>
      </c>
      <c r="BH1123" t="s">
        <v>1114</v>
      </c>
      <c r="BJ1123" s="10" t="s">
        <v>1115</v>
      </c>
      <c r="BL1123" s="17">
        <v>4.8</v>
      </c>
      <c r="BR1123" s="10" t="s">
        <v>842</v>
      </c>
      <c r="BS1123" s="10">
        <f>LOG(79444)</f>
        <v>4.9000611027354806</v>
      </c>
      <c r="CE1123" s="10" t="s">
        <v>642</v>
      </c>
      <c r="CF1123" t="s">
        <v>1122</v>
      </c>
      <c r="CG1123" t="s">
        <v>288</v>
      </c>
      <c r="CH1123" t="s">
        <v>160</v>
      </c>
    </row>
    <row r="1124" spans="1:86" x14ac:dyDescent="0.3">
      <c r="A1124">
        <v>1381</v>
      </c>
      <c r="B1124" t="s">
        <v>361</v>
      </c>
      <c r="C1124" t="s">
        <v>330</v>
      </c>
      <c r="D1124" t="s">
        <v>1207</v>
      </c>
      <c r="F1124" t="s">
        <v>577</v>
      </c>
      <c r="G1124" t="s">
        <v>1209</v>
      </c>
      <c r="H1124" t="s">
        <v>1208</v>
      </c>
      <c r="I1124" t="s">
        <v>770</v>
      </c>
      <c r="AZ1124">
        <v>0.11</v>
      </c>
      <c r="BG1124" t="s">
        <v>311</v>
      </c>
      <c r="BH1124" t="s">
        <v>1116</v>
      </c>
      <c r="BJ1124" s="10" t="s">
        <v>1115</v>
      </c>
      <c r="BL1124" s="17">
        <v>2.7</v>
      </c>
      <c r="BS1124" s="10">
        <f>LOG(114222)</f>
        <v>5.0577497602882113</v>
      </c>
      <c r="CE1124" s="10" t="s">
        <v>642</v>
      </c>
      <c r="CF1124" t="s">
        <v>1122</v>
      </c>
      <c r="CG1124" t="s">
        <v>288</v>
      </c>
      <c r="CH1124" t="s">
        <v>160</v>
      </c>
    </row>
    <row r="1125" spans="1:86" x14ac:dyDescent="0.3">
      <c r="A1125">
        <v>1382</v>
      </c>
      <c r="B1125" t="s">
        <v>361</v>
      </c>
      <c r="C1125" t="s">
        <v>330</v>
      </c>
      <c r="D1125" t="s">
        <v>1207</v>
      </c>
      <c r="F1125" t="s">
        <v>577</v>
      </c>
      <c r="G1125" t="s">
        <v>1209</v>
      </c>
      <c r="H1125" t="s">
        <v>1208</v>
      </c>
      <c r="I1125" t="s">
        <v>770</v>
      </c>
      <c r="AZ1125">
        <v>0.11</v>
      </c>
      <c r="BG1125" t="s">
        <v>312</v>
      </c>
      <c r="BH1125" t="s">
        <v>779</v>
      </c>
      <c r="BJ1125" s="10" t="s">
        <v>1117</v>
      </c>
      <c r="BL1125" s="17">
        <v>6.7</v>
      </c>
      <c r="BS1125" s="10">
        <f>LOG(1956000)</f>
        <v>6.2913688504515823</v>
      </c>
      <c r="CE1125" s="10" t="s">
        <v>642</v>
      </c>
      <c r="CF1125" t="s">
        <v>1122</v>
      </c>
      <c r="CG1125" t="s">
        <v>288</v>
      </c>
      <c r="CH1125" t="s">
        <v>160</v>
      </c>
    </row>
    <row r="1126" spans="1:86" x14ac:dyDescent="0.3">
      <c r="A1126">
        <v>1383</v>
      </c>
      <c r="B1126" t="s">
        <v>361</v>
      </c>
      <c r="C1126" t="s">
        <v>330</v>
      </c>
      <c r="D1126" t="s">
        <v>1207</v>
      </c>
      <c r="F1126" t="s">
        <v>577</v>
      </c>
      <c r="G1126" t="s">
        <v>1209</v>
      </c>
      <c r="H1126" t="s">
        <v>1208</v>
      </c>
      <c r="I1126" t="s">
        <v>770</v>
      </c>
      <c r="AZ1126">
        <v>0.11</v>
      </c>
      <c r="BG1126" t="s">
        <v>313</v>
      </c>
      <c r="BH1126" t="s">
        <v>694</v>
      </c>
      <c r="BJ1126" s="10" t="s">
        <v>1118</v>
      </c>
      <c r="BL1126" s="17">
        <v>3.4</v>
      </c>
      <c r="BR1126" s="10" t="s">
        <v>842</v>
      </c>
      <c r="BS1126" s="10">
        <f>LOG(1841)</f>
        <v>3.2650537885040145</v>
      </c>
      <c r="CE1126" s="10" t="s">
        <v>642</v>
      </c>
      <c r="CF1126" t="s">
        <v>1122</v>
      </c>
      <c r="CG1126" t="s">
        <v>288</v>
      </c>
      <c r="CH1126" t="s">
        <v>160</v>
      </c>
    </row>
    <row r="1127" spans="1:86" x14ac:dyDescent="0.3">
      <c r="A1127">
        <v>1384</v>
      </c>
      <c r="B1127" t="s">
        <v>361</v>
      </c>
      <c r="C1127" t="s">
        <v>330</v>
      </c>
      <c r="D1127" t="s">
        <v>1210</v>
      </c>
      <c r="F1127" t="s">
        <v>577</v>
      </c>
      <c r="G1127" t="s">
        <v>1209</v>
      </c>
      <c r="H1127" t="s">
        <v>1208</v>
      </c>
      <c r="I1127" t="s">
        <v>770</v>
      </c>
      <c r="AZ1127">
        <v>0.12</v>
      </c>
      <c r="BG1127" t="s">
        <v>311</v>
      </c>
      <c r="BH1127" t="s">
        <v>1114</v>
      </c>
      <c r="BJ1127" s="10" t="s">
        <v>1115</v>
      </c>
      <c r="BL1127" s="17">
        <v>3.3</v>
      </c>
      <c r="BR1127" s="10" t="s">
        <v>842</v>
      </c>
      <c r="BS1127" s="10">
        <f>LOG(79444)</f>
        <v>4.9000611027354806</v>
      </c>
      <c r="CE1127" s="10" t="s">
        <v>642</v>
      </c>
      <c r="CF1127" t="s">
        <v>1123</v>
      </c>
      <c r="CG1127" t="s">
        <v>288</v>
      </c>
      <c r="CH1127" t="s">
        <v>160</v>
      </c>
    </row>
    <row r="1128" spans="1:86" x14ac:dyDescent="0.3">
      <c r="A1128">
        <v>1385</v>
      </c>
      <c r="B1128" t="s">
        <v>361</v>
      </c>
      <c r="C1128" t="s">
        <v>330</v>
      </c>
      <c r="D1128" t="s">
        <v>1210</v>
      </c>
      <c r="F1128" t="s">
        <v>577</v>
      </c>
      <c r="G1128" t="s">
        <v>1209</v>
      </c>
      <c r="H1128" t="s">
        <v>1208</v>
      </c>
      <c r="I1128" t="s">
        <v>770</v>
      </c>
      <c r="AZ1128">
        <v>0.12</v>
      </c>
      <c r="BG1128" t="s">
        <v>311</v>
      </c>
      <c r="BH1128" t="s">
        <v>1116</v>
      </c>
      <c r="BJ1128" s="10" t="s">
        <v>1115</v>
      </c>
      <c r="BL1128" s="17">
        <v>2.2999999999999998</v>
      </c>
      <c r="BS1128" s="10">
        <f>LOG(114222)</f>
        <v>5.0577497602882113</v>
      </c>
      <c r="CE1128" s="10" t="s">
        <v>642</v>
      </c>
      <c r="CF1128" t="s">
        <v>1123</v>
      </c>
      <c r="CG1128" t="s">
        <v>288</v>
      </c>
      <c r="CH1128" t="s">
        <v>160</v>
      </c>
    </row>
    <row r="1129" spans="1:86" x14ac:dyDescent="0.3">
      <c r="A1129">
        <v>1386</v>
      </c>
      <c r="B1129" t="s">
        <v>361</v>
      </c>
      <c r="C1129" t="s">
        <v>330</v>
      </c>
      <c r="D1129" t="s">
        <v>1210</v>
      </c>
      <c r="F1129" t="s">
        <v>577</v>
      </c>
      <c r="G1129" t="s">
        <v>1209</v>
      </c>
      <c r="H1129" t="s">
        <v>1208</v>
      </c>
      <c r="I1129" t="s">
        <v>770</v>
      </c>
      <c r="AZ1129">
        <v>0.12</v>
      </c>
      <c r="BG1129" t="s">
        <v>312</v>
      </c>
      <c r="BH1129" t="s">
        <v>779</v>
      </c>
      <c r="BJ1129" s="10" t="s">
        <v>1117</v>
      </c>
      <c r="BL1129" s="17">
        <v>5.3</v>
      </c>
      <c r="BR1129" s="10" t="s">
        <v>842</v>
      </c>
      <c r="BS1129" s="10">
        <f>LOG(1956000)</f>
        <v>6.2913688504515823</v>
      </c>
      <c r="CE1129" s="10" t="s">
        <v>642</v>
      </c>
      <c r="CF1129" t="s">
        <v>1123</v>
      </c>
      <c r="CG1129" t="s">
        <v>288</v>
      </c>
      <c r="CH1129" t="s">
        <v>160</v>
      </c>
    </row>
    <row r="1130" spans="1:86" x14ac:dyDescent="0.3">
      <c r="A1130">
        <v>1387</v>
      </c>
      <c r="B1130" t="s">
        <v>361</v>
      </c>
      <c r="C1130" t="s">
        <v>330</v>
      </c>
      <c r="D1130" t="s">
        <v>1210</v>
      </c>
      <c r="F1130" t="s">
        <v>577</v>
      </c>
      <c r="G1130" t="s">
        <v>1209</v>
      </c>
      <c r="H1130" t="s">
        <v>1208</v>
      </c>
      <c r="I1130" t="s">
        <v>770</v>
      </c>
      <c r="AZ1130">
        <v>0.12</v>
      </c>
      <c r="BG1130" t="s">
        <v>313</v>
      </c>
      <c r="BH1130" t="s">
        <v>694</v>
      </c>
      <c r="BJ1130" s="10" t="s">
        <v>1118</v>
      </c>
      <c r="BL1130" s="17">
        <v>4</v>
      </c>
      <c r="BR1130" s="10" t="s">
        <v>842</v>
      </c>
      <c r="BS1130" s="10">
        <f>LOG(1841)</f>
        <v>3.2650537885040145</v>
      </c>
      <c r="CE1130" s="10" t="s">
        <v>642</v>
      </c>
      <c r="CF1130" t="s">
        <v>1123</v>
      </c>
      <c r="CG1130" t="s">
        <v>288</v>
      </c>
      <c r="CH1130" t="s">
        <v>160</v>
      </c>
    </row>
    <row r="1131" spans="1:86" x14ac:dyDescent="0.3">
      <c r="A1131">
        <v>1388</v>
      </c>
      <c r="B1131" t="s">
        <v>361</v>
      </c>
      <c r="C1131" t="s">
        <v>330</v>
      </c>
      <c r="D1131" t="s">
        <v>1210</v>
      </c>
      <c r="F1131" t="s">
        <v>577</v>
      </c>
      <c r="G1131" t="s">
        <v>1209</v>
      </c>
      <c r="H1131" t="s">
        <v>1208</v>
      </c>
      <c r="I1131" t="s">
        <v>770</v>
      </c>
      <c r="AZ1131">
        <v>0.12</v>
      </c>
      <c r="BG1131" t="s">
        <v>311</v>
      </c>
      <c r="BH1131" t="s">
        <v>1119</v>
      </c>
      <c r="BJ1131" s="10" t="s">
        <v>1120</v>
      </c>
      <c r="BL1131" s="17">
        <f>LRV[[#This Row],[in_ave]]</f>
        <v>1.8260748027008264</v>
      </c>
      <c r="BR1131" s="10" t="s">
        <v>842</v>
      </c>
      <c r="BS1131" s="10">
        <f>LOG(67)</f>
        <v>1.8260748027008264</v>
      </c>
      <c r="CE1131" s="10" t="s">
        <v>642</v>
      </c>
      <c r="CF1131" t="s">
        <v>1123</v>
      </c>
      <c r="CG1131" t="s">
        <v>288</v>
      </c>
      <c r="CH1131" t="s">
        <v>160</v>
      </c>
    </row>
    <row r="1132" spans="1:86" x14ac:dyDescent="0.3">
      <c r="A1132">
        <v>1389</v>
      </c>
      <c r="B1132" t="s">
        <v>361</v>
      </c>
      <c r="C1132" t="s">
        <v>330</v>
      </c>
      <c r="D1132" t="s">
        <v>1210</v>
      </c>
      <c r="F1132" t="s">
        <v>577</v>
      </c>
      <c r="G1132" t="s">
        <v>1209</v>
      </c>
      <c r="H1132" t="s">
        <v>1208</v>
      </c>
      <c r="I1132" t="s">
        <v>770</v>
      </c>
      <c r="AZ1132">
        <v>0.12</v>
      </c>
      <c r="BG1132" t="s">
        <v>311</v>
      </c>
      <c r="BH1132" t="s">
        <v>675</v>
      </c>
      <c r="BJ1132" s="10" t="s">
        <v>1121</v>
      </c>
      <c r="BL1132" s="17">
        <f>LRV[[#This Row],[in_ave]]</f>
        <v>7.8007205141428599</v>
      </c>
      <c r="BR1132" s="10" t="s">
        <v>842</v>
      </c>
      <c r="BS1132" s="10">
        <f>LOG(63200500)</f>
        <v>7.8007205141428599</v>
      </c>
      <c r="CE1132" s="10" t="s">
        <v>642</v>
      </c>
      <c r="CF1132" t="s">
        <v>1123</v>
      </c>
      <c r="CG1132" t="s">
        <v>288</v>
      </c>
      <c r="CH1132" t="s">
        <v>160</v>
      </c>
    </row>
    <row r="1133" spans="1:86" x14ac:dyDescent="0.3">
      <c r="A1133">
        <v>1390</v>
      </c>
      <c r="B1133" t="s">
        <v>361</v>
      </c>
      <c r="C1133" t="s">
        <v>330</v>
      </c>
      <c r="D1133" t="s">
        <v>1210</v>
      </c>
      <c r="F1133" t="s">
        <v>577</v>
      </c>
      <c r="G1133" t="s">
        <v>1209</v>
      </c>
      <c r="H1133" t="s">
        <v>1208</v>
      </c>
      <c r="I1133" t="s">
        <v>770</v>
      </c>
      <c r="AZ1133">
        <v>0.12</v>
      </c>
      <c r="BG1133" t="s">
        <v>311</v>
      </c>
      <c r="BH1133" t="s">
        <v>1204</v>
      </c>
      <c r="BJ1133" s="10" t="s">
        <v>1121</v>
      </c>
      <c r="BL1133" s="17">
        <f>LRV[[#This Row],[in_ave]]</f>
        <v>6.128372447620273</v>
      </c>
      <c r="BR1133" s="10" t="s">
        <v>842</v>
      </c>
      <c r="BS1133" s="10">
        <f>LOG(1343917)</f>
        <v>6.128372447620273</v>
      </c>
      <c r="CE1133" s="10" t="s">
        <v>642</v>
      </c>
      <c r="CF1133" t="s">
        <v>1123</v>
      </c>
      <c r="CG1133" t="s">
        <v>288</v>
      </c>
      <c r="CH1133" t="s">
        <v>160</v>
      </c>
    </row>
    <row r="1134" spans="1:86" x14ac:dyDescent="0.3">
      <c r="A1134">
        <v>1391</v>
      </c>
      <c r="B1134" t="s">
        <v>361</v>
      </c>
      <c r="C1134" t="s">
        <v>330</v>
      </c>
      <c r="D1134" t="s">
        <v>1210</v>
      </c>
      <c r="F1134" t="s">
        <v>577</v>
      </c>
      <c r="G1134" t="s">
        <v>1209</v>
      </c>
      <c r="H1134" t="s">
        <v>1208</v>
      </c>
      <c r="I1134" t="s">
        <v>770</v>
      </c>
      <c r="AZ1134">
        <v>0.12</v>
      </c>
      <c r="BG1134" t="s">
        <v>311</v>
      </c>
      <c r="BH1134" t="s">
        <v>1205</v>
      </c>
      <c r="BJ1134" s="10" t="s">
        <v>1121</v>
      </c>
      <c r="BL1134" s="17">
        <f>LRV[[#This Row],[in_ave]]</f>
        <v>6.2984972019962591</v>
      </c>
      <c r="BR1134" s="10" t="s">
        <v>842</v>
      </c>
      <c r="BS1134" s="10">
        <f>LOG(1988370)</f>
        <v>6.2984972019962591</v>
      </c>
      <c r="CE1134" s="10" t="s">
        <v>642</v>
      </c>
      <c r="CF1134" t="s">
        <v>1123</v>
      </c>
      <c r="CG1134" t="s">
        <v>288</v>
      </c>
      <c r="CH1134" t="s">
        <v>160</v>
      </c>
    </row>
    <row r="1135" spans="1:86" x14ac:dyDescent="0.3">
      <c r="A1135">
        <v>1392</v>
      </c>
      <c r="B1135" t="s">
        <v>361</v>
      </c>
      <c r="C1135" t="s">
        <v>330</v>
      </c>
      <c r="D1135" t="s">
        <v>1210</v>
      </c>
      <c r="F1135" t="s">
        <v>577</v>
      </c>
      <c r="G1135" t="s">
        <v>1209</v>
      </c>
      <c r="H1135" t="s">
        <v>1208</v>
      </c>
      <c r="I1135" t="s">
        <v>770</v>
      </c>
      <c r="AZ1135">
        <v>0.12</v>
      </c>
      <c r="BG1135" t="s">
        <v>311</v>
      </c>
      <c r="BH1135" t="s">
        <v>1206</v>
      </c>
      <c r="BJ1135" s="10" t="s">
        <v>1121</v>
      </c>
      <c r="BL1135" s="17">
        <f>LRV[[#This Row],[in_ave]]</f>
        <v>6.7081233362437276</v>
      </c>
      <c r="BR1135" s="10" t="s">
        <v>842</v>
      </c>
      <c r="BS1135" s="10">
        <f>LOG(5106500)</f>
        <v>6.7081233362437276</v>
      </c>
      <c r="CE1135" s="10" t="s">
        <v>642</v>
      </c>
      <c r="CF1135" t="s">
        <v>1123</v>
      </c>
      <c r="CG1135" t="s">
        <v>288</v>
      </c>
      <c r="CH1135" t="s">
        <v>160</v>
      </c>
    </row>
    <row r="1136" spans="1:86" x14ac:dyDescent="0.3">
      <c r="A1136">
        <v>1393</v>
      </c>
      <c r="B1136" t="s">
        <v>361</v>
      </c>
      <c r="C1136" t="s">
        <v>330</v>
      </c>
      <c r="D1136" t="s">
        <v>1207</v>
      </c>
      <c r="F1136" t="s">
        <v>577</v>
      </c>
      <c r="G1136" t="s">
        <v>1209</v>
      </c>
      <c r="H1136" t="s">
        <v>1208</v>
      </c>
      <c r="I1136" t="s">
        <v>770</v>
      </c>
      <c r="AZ1136">
        <v>0.13</v>
      </c>
      <c r="BG1136" t="s">
        <v>313</v>
      </c>
      <c r="BH1136" t="s">
        <v>694</v>
      </c>
      <c r="BJ1136" s="10" t="s">
        <v>1118</v>
      </c>
      <c r="BL1136" s="17">
        <v>4.3</v>
      </c>
      <c r="BR1136" s="10" t="s">
        <v>842</v>
      </c>
      <c r="BS1136" s="10">
        <f>LOG(1841)</f>
        <v>3.2650537885040145</v>
      </c>
      <c r="CE1136" s="10" t="s">
        <v>642</v>
      </c>
      <c r="CF1136" t="s">
        <v>1122</v>
      </c>
      <c r="CG1136" t="s">
        <v>288</v>
      </c>
      <c r="CH1136" t="s">
        <v>160</v>
      </c>
    </row>
    <row r="1137" spans="1:86" x14ac:dyDescent="0.3">
      <c r="A1137">
        <v>1394</v>
      </c>
      <c r="B1137" t="s">
        <v>361</v>
      </c>
      <c r="C1137" t="s">
        <v>330</v>
      </c>
      <c r="D1137" t="s">
        <v>1212</v>
      </c>
      <c r="F1137" t="s">
        <v>577</v>
      </c>
      <c r="G1137" t="s">
        <v>1209</v>
      </c>
      <c r="H1137" t="s">
        <v>1208</v>
      </c>
      <c r="I1137" t="s">
        <v>770</v>
      </c>
      <c r="AZ1137">
        <v>0.1</v>
      </c>
      <c r="BG1137" t="s">
        <v>311</v>
      </c>
      <c r="BH1137" t="s">
        <v>1114</v>
      </c>
      <c r="BJ1137" s="10" t="s">
        <v>1115</v>
      </c>
      <c r="BL1137" s="17">
        <v>4</v>
      </c>
      <c r="BS1137" s="10">
        <f>LOG(79444)</f>
        <v>4.9000611027354806</v>
      </c>
      <c r="CE1137" s="10" t="s">
        <v>642</v>
      </c>
      <c r="CF1137" t="s">
        <v>1124</v>
      </c>
      <c r="CG1137" t="s">
        <v>288</v>
      </c>
      <c r="CH1137" t="s">
        <v>160</v>
      </c>
    </row>
    <row r="1138" spans="1:86" x14ac:dyDescent="0.3">
      <c r="A1138">
        <v>1395</v>
      </c>
      <c r="B1138" t="s">
        <v>361</v>
      </c>
      <c r="C1138" t="s">
        <v>330</v>
      </c>
      <c r="D1138" t="s">
        <v>1212</v>
      </c>
      <c r="F1138" t="s">
        <v>577</v>
      </c>
      <c r="G1138" t="s">
        <v>1209</v>
      </c>
      <c r="H1138" t="s">
        <v>1208</v>
      </c>
      <c r="I1138" t="s">
        <v>770</v>
      </c>
      <c r="AZ1138">
        <v>0.1</v>
      </c>
      <c r="BG1138" t="s">
        <v>311</v>
      </c>
      <c r="BH1138" t="s">
        <v>1116</v>
      </c>
      <c r="BJ1138" s="10" t="s">
        <v>1115</v>
      </c>
      <c r="BL1138" s="17">
        <v>2.8</v>
      </c>
      <c r="BS1138" s="10">
        <f>LOG(114222)</f>
        <v>5.0577497602882113</v>
      </c>
      <c r="CE1138" s="10" t="s">
        <v>642</v>
      </c>
      <c r="CF1138" t="s">
        <v>1124</v>
      </c>
      <c r="CG1138" t="s">
        <v>288</v>
      </c>
      <c r="CH1138" t="s">
        <v>160</v>
      </c>
    </row>
    <row r="1139" spans="1:86" x14ac:dyDescent="0.3">
      <c r="A1139">
        <v>1396</v>
      </c>
      <c r="B1139" t="s">
        <v>361</v>
      </c>
      <c r="C1139" t="s">
        <v>330</v>
      </c>
      <c r="D1139" t="s">
        <v>1212</v>
      </c>
      <c r="F1139" t="s">
        <v>577</v>
      </c>
      <c r="G1139" t="s">
        <v>1209</v>
      </c>
      <c r="H1139" t="s">
        <v>1208</v>
      </c>
      <c r="I1139" t="s">
        <v>770</v>
      </c>
      <c r="AZ1139">
        <v>0.1</v>
      </c>
      <c r="BG1139" t="s">
        <v>312</v>
      </c>
      <c r="BH1139" t="s">
        <v>779</v>
      </c>
      <c r="BJ1139" s="10" t="s">
        <v>1117</v>
      </c>
      <c r="BL1139" s="17">
        <v>4</v>
      </c>
      <c r="BR1139" s="10" t="s">
        <v>842</v>
      </c>
      <c r="BS1139" s="10">
        <f>LOG(1956000)</f>
        <v>6.2913688504515823</v>
      </c>
      <c r="CE1139" s="10" t="s">
        <v>642</v>
      </c>
      <c r="CF1139" t="s">
        <v>1124</v>
      </c>
      <c r="CG1139" t="s">
        <v>288</v>
      </c>
      <c r="CH1139" t="s">
        <v>160</v>
      </c>
    </row>
    <row r="1140" spans="1:86" x14ac:dyDescent="0.3">
      <c r="A1140">
        <v>1397</v>
      </c>
      <c r="B1140" t="s">
        <v>361</v>
      </c>
      <c r="C1140" t="s">
        <v>330</v>
      </c>
      <c r="D1140" t="s">
        <v>1212</v>
      </c>
      <c r="F1140" t="s">
        <v>577</v>
      </c>
      <c r="G1140" t="s">
        <v>1209</v>
      </c>
      <c r="H1140" t="s">
        <v>1208</v>
      </c>
      <c r="I1140" t="s">
        <v>770</v>
      </c>
      <c r="AZ1140">
        <v>0.1</v>
      </c>
      <c r="BG1140" t="s">
        <v>313</v>
      </c>
      <c r="BH1140" t="s">
        <v>694</v>
      </c>
      <c r="BJ1140" s="10" t="s">
        <v>1118</v>
      </c>
      <c r="BL1140" s="17">
        <v>4.8</v>
      </c>
      <c r="BR1140" s="10" t="s">
        <v>842</v>
      </c>
      <c r="BS1140" s="10">
        <f>LOG(1841)</f>
        <v>3.2650537885040145</v>
      </c>
      <c r="CE1140" s="10" t="s">
        <v>642</v>
      </c>
      <c r="CF1140" t="s">
        <v>1124</v>
      </c>
      <c r="CG1140" t="s">
        <v>288</v>
      </c>
      <c r="CH1140" t="s">
        <v>160</v>
      </c>
    </row>
    <row r="1141" spans="1:86" x14ac:dyDescent="0.3">
      <c r="A1141">
        <v>1398</v>
      </c>
      <c r="B1141" t="s">
        <v>361</v>
      </c>
      <c r="C1141" t="s">
        <v>330</v>
      </c>
      <c r="D1141" t="s">
        <v>1212</v>
      </c>
      <c r="F1141" t="s">
        <v>577</v>
      </c>
      <c r="G1141" t="s">
        <v>1209</v>
      </c>
      <c r="H1141" t="s">
        <v>1208</v>
      </c>
      <c r="I1141" t="s">
        <v>770</v>
      </c>
      <c r="AZ1141">
        <v>0.1</v>
      </c>
      <c r="BG1141" t="s">
        <v>311</v>
      </c>
      <c r="BH1141" t="s">
        <v>1119</v>
      </c>
      <c r="BJ1141" s="10" t="s">
        <v>1120</v>
      </c>
      <c r="BL1141" s="17">
        <v>3</v>
      </c>
      <c r="BR1141" s="10" t="s">
        <v>842</v>
      </c>
      <c r="BS1141" s="10">
        <f>LOG(67)</f>
        <v>1.8260748027008264</v>
      </c>
      <c r="CE1141" s="10" t="s">
        <v>642</v>
      </c>
      <c r="CF1141" t="s">
        <v>1124</v>
      </c>
      <c r="CG1141" t="s">
        <v>288</v>
      </c>
      <c r="CH1141" t="s">
        <v>160</v>
      </c>
    </row>
    <row r="1142" spans="1:86" x14ac:dyDescent="0.3">
      <c r="A1142">
        <v>1399</v>
      </c>
      <c r="B1142" t="s">
        <v>361</v>
      </c>
      <c r="C1142" t="s">
        <v>330</v>
      </c>
      <c r="D1142" t="s">
        <v>1212</v>
      </c>
      <c r="F1142" t="s">
        <v>577</v>
      </c>
      <c r="G1142" t="s">
        <v>1209</v>
      </c>
      <c r="H1142" t="s">
        <v>1208</v>
      </c>
      <c r="I1142" t="s">
        <v>770</v>
      </c>
      <c r="AZ1142">
        <v>0.1</v>
      </c>
      <c r="BG1142" t="s">
        <v>311</v>
      </c>
      <c r="BH1142" t="s">
        <v>675</v>
      </c>
      <c r="BJ1142" s="10" t="s">
        <v>1121</v>
      </c>
      <c r="BL1142" s="17">
        <v>7.7</v>
      </c>
      <c r="BR1142" s="10" t="s">
        <v>842</v>
      </c>
      <c r="BS1142" s="10">
        <f>LOG(63200500)</f>
        <v>7.8007205141428599</v>
      </c>
      <c r="CE1142" s="10" t="s">
        <v>642</v>
      </c>
      <c r="CF1142" t="s">
        <v>1124</v>
      </c>
      <c r="CG1142" t="s">
        <v>288</v>
      </c>
      <c r="CH1142" t="s">
        <v>160</v>
      </c>
    </row>
    <row r="1143" spans="1:86" x14ac:dyDescent="0.3">
      <c r="A1143">
        <v>1400</v>
      </c>
      <c r="B1143" t="s">
        <v>361</v>
      </c>
      <c r="C1143" t="s">
        <v>330</v>
      </c>
      <c r="D1143" t="s">
        <v>1212</v>
      </c>
      <c r="F1143" t="s">
        <v>577</v>
      </c>
      <c r="G1143" t="s">
        <v>1209</v>
      </c>
      <c r="H1143" t="s">
        <v>1208</v>
      </c>
      <c r="I1143" t="s">
        <v>770</v>
      </c>
      <c r="AZ1143">
        <v>0.1</v>
      </c>
      <c r="BG1143" t="s">
        <v>311</v>
      </c>
      <c r="BH1143" t="s">
        <v>1204</v>
      </c>
      <c r="BJ1143" s="10" t="s">
        <v>1121</v>
      </c>
      <c r="BL1143" s="17">
        <v>5.3</v>
      </c>
      <c r="BR1143" s="10" t="s">
        <v>842</v>
      </c>
      <c r="BS1143" s="10">
        <f>LOG(1343917)</f>
        <v>6.128372447620273</v>
      </c>
      <c r="CE1143" s="10" t="s">
        <v>642</v>
      </c>
      <c r="CF1143" t="s">
        <v>1124</v>
      </c>
      <c r="CG1143" t="s">
        <v>288</v>
      </c>
      <c r="CH1143" t="s">
        <v>160</v>
      </c>
    </row>
    <row r="1144" spans="1:86" x14ac:dyDescent="0.3">
      <c r="A1144">
        <v>1401</v>
      </c>
      <c r="B1144" t="s">
        <v>361</v>
      </c>
      <c r="C1144" t="s">
        <v>330</v>
      </c>
      <c r="D1144" t="s">
        <v>1212</v>
      </c>
      <c r="F1144" t="s">
        <v>577</v>
      </c>
      <c r="G1144" t="s">
        <v>1209</v>
      </c>
      <c r="H1144" t="s">
        <v>1208</v>
      </c>
      <c r="I1144" t="s">
        <v>770</v>
      </c>
      <c r="AZ1144">
        <v>0.1</v>
      </c>
      <c r="BG1144" t="s">
        <v>311</v>
      </c>
      <c r="BH1144" t="s">
        <v>1205</v>
      </c>
      <c r="BJ1144" s="10" t="s">
        <v>1121</v>
      </c>
      <c r="BL1144" s="17">
        <v>5.8</v>
      </c>
      <c r="BR1144" s="10" t="s">
        <v>842</v>
      </c>
      <c r="BS1144" s="10">
        <f>LOG(1988370)</f>
        <v>6.2984972019962591</v>
      </c>
      <c r="CE1144" s="10" t="s">
        <v>642</v>
      </c>
      <c r="CF1144" t="s">
        <v>1124</v>
      </c>
      <c r="CG1144" t="s">
        <v>288</v>
      </c>
      <c r="CH1144" t="s">
        <v>160</v>
      </c>
    </row>
    <row r="1145" spans="1:86" x14ac:dyDescent="0.3">
      <c r="A1145">
        <v>1402</v>
      </c>
      <c r="B1145" t="s">
        <v>361</v>
      </c>
      <c r="C1145" t="s">
        <v>330</v>
      </c>
      <c r="D1145" t="s">
        <v>1212</v>
      </c>
      <c r="F1145" t="s">
        <v>577</v>
      </c>
      <c r="G1145" t="s">
        <v>1209</v>
      </c>
      <c r="H1145" t="s">
        <v>1208</v>
      </c>
      <c r="I1145" t="s">
        <v>770</v>
      </c>
      <c r="AZ1145">
        <v>0.1</v>
      </c>
      <c r="BG1145" t="s">
        <v>311</v>
      </c>
      <c r="BH1145" t="s">
        <v>1206</v>
      </c>
      <c r="BJ1145" s="10" t="s">
        <v>1121</v>
      </c>
      <c r="BL1145" s="17">
        <v>7.2</v>
      </c>
      <c r="BR1145" s="10" t="s">
        <v>842</v>
      </c>
      <c r="BS1145" s="10">
        <f>LOG(5106500)</f>
        <v>6.7081233362437276</v>
      </c>
      <c r="CE1145" s="10" t="s">
        <v>642</v>
      </c>
      <c r="CF1145" t="s">
        <v>1124</v>
      </c>
      <c r="CG1145" t="s">
        <v>288</v>
      </c>
      <c r="CH1145" t="s">
        <v>160</v>
      </c>
    </row>
    <row r="1146" spans="1:86" x14ac:dyDescent="0.3">
      <c r="A1146">
        <v>1403</v>
      </c>
      <c r="B1146" t="s">
        <v>361</v>
      </c>
      <c r="C1146" t="s">
        <v>330</v>
      </c>
      <c r="D1146" t="s">
        <v>1213</v>
      </c>
      <c r="F1146" t="s">
        <v>577</v>
      </c>
      <c r="G1146" t="s">
        <v>1209</v>
      </c>
      <c r="H1146" t="s">
        <v>1208</v>
      </c>
      <c r="I1146" t="s">
        <v>770</v>
      </c>
      <c r="AZ1146">
        <v>0.09</v>
      </c>
      <c r="BG1146" t="s">
        <v>311</v>
      </c>
      <c r="BH1146" t="s">
        <v>1114</v>
      </c>
      <c r="BJ1146" s="10" t="s">
        <v>1115</v>
      </c>
      <c r="BL1146" s="17">
        <v>5.0999999999999996</v>
      </c>
      <c r="BR1146" s="10" t="s">
        <v>842</v>
      </c>
      <c r="BS1146" s="10">
        <v>4.9000611027354806</v>
      </c>
      <c r="CE1146" s="10" t="s">
        <v>642</v>
      </c>
      <c r="CF1146" t="s">
        <v>1124</v>
      </c>
      <c r="CG1146" t="s">
        <v>288</v>
      </c>
      <c r="CH1146" t="s">
        <v>160</v>
      </c>
    </row>
    <row r="1147" spans="1:86" x14ac:dyDescent="0.3">
      <c r="A1147">
        <v>1404</v>
      </c>
      <c r="B1147" t="s">
        <v>361</v>
      </c>
      <c r="C1147" t="s">
        <v>330</v>
      </c>
      <c r="D1147" t="s">
        <v>1213</v>
      </c>
      <c r="F1147" t="s">
        <v>577</v>
      </c>
      <c r="G1147" t="s">
        <v>1209</v>
      </c>
      <c r="H1147" t="s">
        <v>1208</v>
      </c>
      <c r="I1147" t="s">
        <v>770</v>
      </c>
      <c r="AZ1147">
        <v>0.09</v>
      </c>
      <c r="BG1147" t="s">
        <v>311</v>
      </c>
      <c r="BH1147" t="s">
        <v>1116</v>
      </c>
      <c r="BJ1147" s="10" t="s">
        <v>1115</v>
      </c>
      <c r="BL1147" s="17">
        <v>2.2000000000000002</v>
      </c>
      <c r="BS1147" s="10">
        <v>5.0577497602882113</v>
      </c>
      <c r="CE1147" s="10" t="s">
        <v>642</v>
      </c>
      <c r="CF1147" t="s">
        <v>1124</v>
      </c>
      <c r="CG1147" t="s">
        <v>288</v>
      </c>
      <c r="CH1147" t="s">
        <v>160</v>
      </c>
    </row>
    <row r="1148" spans="1:86" x14ac:dyDescent="0.3">
      <c r="A1148">
        <v>1405</v>
      </c>
      <c r="B1148" t="s">
        <v>361</v>
      </c>
      <c r="C1148" t="s">
        <v>330</v>
      </c>
      <c r="D1148" t="s">
        <v>1213</v>
      </c>
      <c r="F1148" t="s">
        <v>577</v>
      </c>
      <c r="G1148" t="s">
        <v>1209</v>
      </c>
      <c r="H1148" t="s">
        <v>1208</v>
      </c>
      <c r="I1148" t="s">
        <v>770</v>
      </c>
      <c r="AZ1148">
        <v>0.09</v>
      </c>
      <c r="BG1148" t="s">
        <v>312</v>
      </c>
      <c r="BH1148" t="s">
        <v>779</v>
      </c>
      <c r="BJ1148" s="10" t="s">
        <v>1117</v>
      </c>
      <c r="BL1148" s="17">
        <v>4.9000000000000004</v>
      </c>
      <c r="BS1148" s="10">
        <v>6.2913688504515823</v>
      </c>
      <c r="CE1148" s="10" t="s">
        <v>642</v>
      </c>
      <c r="CF1148" t="s">
        <v>1124</v>
      </c>
      <c r="CG1148" t="s">
        <v>288</v>
      </c>
      <c r="CH1148" t="s">
        <v>160</v>
      </c>
    </row>
    <row r="1149" spans="1:86" x14ac:dyDescent="0.3">
      <c r="A1149">
        <v>1406</v>
      </c>
      <c r="B1149" t="s">
        <v>361</v>
      </c>
      <c r="C1149" t="s">
        <v>330</v>
      </c>
      <c r="D1149" t="s">
        <v>1213</v>
      </c>
      <c r="F1149" t="s">
        <v>577</v>
      </c>
      <c r="G1149" t="s">
        <v>1209</v>
      </c>
      <c r="H1149" t="s">
        <v>1208</v>
      </c>
      <c r="I1149" t="s">
        <v>770</v>
      </c>
      <c r="AZ1149">
        <v>0.09</v>
      </c>
      <c r="BG1149" t="s">
        <v>313</v>
      </c>
      <c r="BH1149" t="s">
        <v>694</v>
      </c>
      <c r="BJ1149" s="10" t="s">
        <v>1118</v>
      </c>
      <c r="BL1149" s="17">
        <v>5.4</v>
      </c>
      <c r="BR1149" s="10" t="s">
        <v>842</v>
      </c>
      <c r="BS1149" s="10">
        <v>3.2650537885040145</v>
      </c>
      <c r="CE1149" s="10" t="s">
        <v>642</v>
      </c>
      <c r="CF1149" t="s">
        <v>1124</v>
      </c>
      <c r="CG1149" t="s">
        <v>288</v>
      </c>
      <c r="CH1149" t="s">
        <v>160</v>
      </c>
    </row>
    <row r="1150" spans="1:86" x14ac:dyDescent="0.3">
      <c r="A1150">
        <v>1407</v>
      </c>
      <c r="B1150" t="s">
        <v>361</v>
      </c>
      <c r="C1150" t="s">
        <v>330</v>
      </c>
      <c r="D1150" t="s">
        <v>1213</v>
      </c>
      <c r="F1150" t="s">
        <v>577</v>
      </c>
      <c r="G1150" t="s">
        <v>1209</v>
      </c>
      <c r="H1150" t="s">
        <v>1208</v>
      </c>
      <c r="I1150" t="s">
        <v>770</v>
      </c>
      <c r="AZ1150">
        <v>0.09</v>
      </c>
      <c r="BG1150" t="s">
        <v>311</v>
      </c>
      <c r="BH1150" t="s">
        <v>1119</v>
      </c>
      <c r="BJ1150" s="10" t="s">
        <v>1120</v>
      </c>
      <c r="BL1150" s="17">
        <v>3.7</v>
      </c>
      <c r="BR1150" s="10" t="s">
        <v>842</v>
      </c>
      <c r="BS1150" s="10">
        <v>1.8260748027008264</v>
      </c>
      <c r="CE1150" s="10" t="s">
        <v>642</v>
      </c>
      <c r="CF1150" t="s">
        <v>1124</v>
      </c>
      <c r="CG1150" t="s">
        <v>288</v>
      </c>
      <c r="CH1150" t="s">
        <v>160</v>
      </c>
    </row>
    <row r="1151" spans="1:86" x14ac:dyDescent="0.3">
      <c r="A1151">
        <v>1408</v>
      </c>
      <c r="B1151" t="s">
        <v>361</v>
      </c>
      <c r="C1151" t="s">
        <v>330</v>
      </c>
      <c r="D1151" t="s">
        <v>1213</v>
      </c>
      <c r="F1151" t="s">
        <v>577</v>
      </c>
      <c r="G1151" t="s">
        <v>1209</v>
      </c>
      <c r="H1151" t="s">
        <v>1208</v>
      </c>
      <c r="I1151" t="s">
        <v>770</v>
      </c>
      <c r="AZ1151">
        <v>0.09</v>
      </c>
      <c r="BG1151" t="s">
        <v>311</v>
      </c>
      <c r="BH1151" t="s">
        <v>675</v>
      </c>
      <c r="BJ1151" s="10" t="s">
        <v>1121</v>
      </c>
      <c r="BL1151" s="17">
        <v>8.1</v>
      </c>
      <c r="BR1151" s="10" t="s">
        <v>842</v>
      </c>
      <c r="BS1151" s="10">
        <v>7.8007205141428599</v>
      </c>
      <c r="CE1151" s="10" t="s">
        <v>642</v>
      </c>
      <c r="CF1151" t="s">
        <v>1124</v>
      </c>
      <c r="CG1151" t="s">
        <v>288</v>
      </c>
      <c r="CH1151" t="s">
        <v>160</v>
      </c>
    </row>
    <row r="1152" spans="1:86" x14ac:dyDescent="0.3">
      <c r="A1152">
        <v>1409</v>
      </c>
      <c r="B1152" t="s">
        <v>361</v>
      </c>
      <c r="C1152" t="s">
        <v>330</v>
      </c>
      <c r="D1152" t="s">
        <v>1213</v>
      </c>
      <c r="F1152" t="s">
        <v>577</v>
      </c>
      <c r="G1152" t="s">
        <v>1209</v>
      </c>
      <c r="H1152" t="s">
        <v>1208</v>
      </c>
      <c r="I1152" t="s">
        <v>770</v>
      </c>
      <c r="AZ1152">
        <v>0.09</v>
      </c>
      <c r="BG1152" t="s">
        <v>311</v>
      </c>
      <c r="BH1152" t="s">
        <v>1204</v>
      </c>
      <c r="BJ1152" s="10" t="s">
        <v>1121</v>
      </c>
      <c r="BL1152" s="17">
        <v>4.9000000000000004</v>
      </c>
      <c r="BR1152" s="10" t="s">
        <v>842</v>
      </c>
      <c r="BS1152" s="10">
        <v>6.128372447620273</v>
      </c>
      <c r="CE1152" s="10" t="s">
        <v>642</v>
      </c>
      <c r="CF1152" t="s">
        <v>1124</v>
      </c>
      <c r="CG1152" t="s">
        <v>288</v>
      </c>
      <c r="CH1152" t="s">
        <v>160</v>
      </c>
    </row>
    <row r="1153" spans="1:86" x14ac:dyDescent="0.3">
      <c r="A1153">
        <v>1410</v>
      </c>
      <c r="B1153" t="s">
        <v>361</v>
      </c>
      <c r="C1153" t="s">
        <v>330</v>
      </c>
      <c r="D1153" t="s">
        <v>1213</v>
      </c>
      <c r="F1153" t="s">
        <v>577</v>
      </c>
      <c r="G1153" t="s">
        <v>1209</v>
      </c>
      <c r="H1153" t="s">
        <v>1208</v>
      </c>
      <c r="I1153" t="s">
        <v>770</v>
      </c>
      <c r="AZ1153">
        <v>0.09</v>
      </c>
      <c r="BG1153" t="s">
        <v>311</v>
      </c>
      <c r="BH1153" t="s">
        <v>1205</v>
      </c>
      <c r="BJ1153" s="10" t="s">
        <v>1121</v>
      </c>
      <c r="BL1153" s="17">
        <v>5.7</v>
      </c>
      <c r="BR1153" s="10" t="s">
        <v>842</v>
      </c>
      <c r="BS1153" s="10">
        <v>6.2984972019962591</v>
      </c>
      <c r="CE1153" s="10" t="s">
        <v>642</v>
      </c>
      <c r="CF1153" t="s">
        <v>1124</v>
      </c>
      <c r="CG1153" t="s">
        <v>288</v>
      </c>
      <c r="CH1153" t="s">
        <v>160</v>
      </c>
    </row>
    <row r="1154" spans="1:86" x14ac:dyDescent="0.3">
      <c r="A1154">
        <v>1411</v>
      </c>
      <c r="B1154" t="s">
        <v>361</v>
      </c>
      <c r="C1154" t="s">
        <v>330</v>
      </c>
      <c r="D1154" t="s">
        <v>1213</v>
      </c>
      <c r="F1154" t="s">
        <v>577</v>
      </c>
      <c r="G1154" t="s">
        <v>1209</v>
      </c>
      <c r="H1154" t="s">
        <v>1208</v>
      </c>
      <c r="I1154" t="s">
        <v>770</v>
      </c>
      <c r="AZ1154">
        <v>0.09</v>
      </c>
      <c r="BG1154" t="s">
        <v>311</v>
      </c>
      <c r="BH1154" t="s">
        <v>1206</v>
      </c>
      <c r="BJ1154" s="10" t="s">
        <v>1121</v>
      </c>
      <c r="BL1154" s="17">
        <v>6.9</v>
      </c>
      <c r="BR1154" s="10" t="s">
        <v>842</v>
      </c>
      <c r="BS1154" s="10">
        <v>6.7081233362437276</v>
      </c>
      <c r="CE1154" s="10" t="s">
        <v>642</v>
      </c>
      <c r="CF1154" t="s">
        <v>1124</v>
      </c>
      <c r="CG1154" t="s">
        <v>288</v>
      </c>
      <c r="CH1154" t="s">
        <v>160</v>
      </c>
    </row>
  </sheetData>
  <mergeCells count="12">
    <mergeCell ref="BL2:BR2"/>
    <mergeCell ref="BS2:BX2"/>
    <mergeCell ref="BY2:CD2"/>
    <mergeCell ref="BG2:BK2"/>
    <mergeCell ref="J2:M2"/>
    <mergeCell ref="AC2:AE2"/>
    <mergeCell ref="Z2:AB2"/>
    <mergeCell ref="AW2:BE2"/>
    <mergeCell ref="U2:Y2"/>
    <mergeCell ref="AG2:AV2"/>
    <mergeCell ref="N2:R2"/>
    <mergeCell ref="S2:T2"/>
  </mergeCells>
  <phoneticPr fontId="4" type="noConversion"/>
  <pageMargins left="0.7" right="0.7" top="0.75" bottom="0.75" header="0.3" footer="0.3"/>
  <pageSetup orientation="portrait" horizontalDpi="300" verticalDpi="300" r:id="rId1"/>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E6CBA441-C160-4D32-A928-C9C72354B2DB}">
          <x14:formula1>
            <xm:f>'Data Summary'!$B$3:$B$40</xm:f>
          </x14:formula1>
          <xm:sqref>C5:C1048576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3E459-87BF-4A1D-8628-3DEADC7F76C3}">
  <sheetPr codeName="Sheet2"/>
  <dimension ref="A2:AQ2007"/>
  <sheetViews>
    <sheetView zoomScale="85" zoomScaleNormal="85" workbookViewId="0">
      <pane xSplit="3" ySplit="4" topLeftCell="AG732" activePane="bottomRight" state="frozen"/>
      <selection pane="topRight" activeCell="D1" sqref="D1"/>
      <selection pane="bottomLeft" activeCell="A9" sqref="A9"/>
      <selection pane="bottomRight" activeCell="AK751" sqref="AK751:AK755"/>
    </sheetView>
  </sheetViews>
  <sheetFormatPr defaultRowHeight="14.4" x14ac:dyDescent="0.3"/>
  <cols>
    <col min="2" max="2" width="20.44140625" customWidth="1"/>
    <col min="3" max="3" width="47" customWidth="1"/>
    <col min="4" max="4" width="14.33203125" customWidth="1"/>
    <col min="5" max="5" width="10.88671875" customWidth="1"/>
    <col min="6" max="6" width="12" customWidth="1"/>
    <col min="7" max="8" width="10.88671875" customWidth="1"/>
    <col min="9" max="10" width="11" customWidth="1"/>
    <col min="11" max="11" width="10.88671875" customWidth="1"/>
    <col min="12" max="12" width="9.33203125" customWidth="1"/>
    <col min="13" max="15" width="10.88671875" customWidth="1"/>
    <col min="16" max="17" width="12.109375" customWidth="1"/>
    <col min="18" max="21" width="10.88671875" customWidth="1"/>
    <col min="22" max="22" width="14.33203125" customWidth="1"/>
    <col min="23" max="23" width="9.88671875" customWidth="1"/>
    <col min="24" max="25" width="10.5546875" customWidth="1"/>
    <col min="26" max="26" width="11.6640625" customWidth="1"/>
    <col min="27" max="27" width="11" customWidth="1"/>
    <col min="28" max="28" width="12" customWidth="1"/>
    <col min="29" max="29" width="12.88671875" customWidth="1"/>
    <col min="30" max="30" width="10.6640625" customWidth="1"/>
    <col min="31" max="31" width="12.6640625" customWidth="1"/>
    <col min="32" max="33" width="10.6640625" customWidth="1"/>
    <col min="34" max="34" width="10.88671875" customWidth="1"/>
    <col min="35" max="35" width="23.6640625" customWidth="1"/>
    <col min="36" max="36" width="11.109375" customWidth="1"/>
    <col min="37" max="37" width="13.6640625" customWidth="1"/>
    <col min="38" max="38" width="9.33203125" bestFit="1" customWidth="1"/>
    <col min="39" max="39" width="56.5546875" bestFit="1" customWidth="1"/>
    <col min="40" max="40" width="17.6640625" customWidth="1"/>
    <col min="41" max="41" width="45.6640625" customWidth="1"/>
    <col min="42" max="42" width="12.33203125" customWidth="1"/>
    <col min="43" max="43" width="13.109375" customWidth="1"/>
  </cols>
  <sheetData>
    <row r="2" spans="1:43" ht="16.2" customHeight="1" thickBot="1" x14ac:dyDescent="0.35">
      <c r="A2">
        <f>MAX(A5:A958)</f>
        <v>789</v>
      </c>
      <c r="B2" s="7"/>
      <c r="C2" s="7"/>
      <c r="D2" s="128" t="s">
        <v>409</v>
      </c>
      <c r="E2" s="129"/>
      <c r="F2" s="129"/>
      <c r="G2" s="129"/>
      <c r="H2" s="130"/>
      <c r="I2" s="125" t="s">
        <v>410</v>
      </c>
      <c r="J2" s="126"/>
      <c r="K2" s="126"/>
      <c r="L2" s="126"/>
      <c r="M2" s="78" t="s">
        <v>329</v>
      </c>
      <c r="N2" s="125" t="s">
        <v>411</v>
      </c>
      <c r="O2" s="126"/>
      <c r="P2" s="126"/>
      <c r="Q2" s="126"/>
      <c r="R2" s="127"/>
      <c r="S2" s="125" t="s">
        <v>412</v>
      </c>
      <c r="T2" s="126"/>
      <c r="U2" s="127"/>
      <c r="V2" s="7"/>
      <c r="W2" s="7"/>
      <c r="X2" s="131" t="s">
        <v>982</v>
      </c>
      <c r="Y2" s="131"/>
      <c r="Z2" s="131"/>
      <c r="AA2" s="131"/>
      <c r="AB2" s="131"/>
      <c r="AC2" s="131"/>
      <c r="AD2" s="131"/>
      <c r="AE2" s="131"/>
      <c r="AF2" s="131"/>
      <c r="AG2" s="132"/>
      <c r="AH2" s="123" t="s">
        <v>983</v>
      </c>
      <c r="AI2" s="124"/>
      <c r="AJ2" s="124"/>
      <c r="AK2" s="124"/>
      <c r="AL2" s="124"/>
      <c r="AM2" s="7"/>
      <c r="AN2" s="7"/>
      <c r="AO2" s="7"/>
      <c r="AP2" s="7"/>
      <c r="AQ2" s="7"/>
    </row>
    <row r="3" spans="1:43" s="41" customFormat="1" ht="57.6" x14ac:dyDescent="0.3">
      <c r="A3" s="105" t="s">
        <v>292</v>
      </c>
      <c r="B3" s="23" t="s">
        <v>293</v>
      </c>
      <c r="C3" s="23" t="s">
        <v>421</v>
      </c>
      <c r="D3" s="23" t="s">
        <v>428</v>
      </c>
      <c r="E3" s="23" t="s">
        <v>429</v>
      </c>
      <c r="F3" s="23" t="s">
        <v>430</v>
      </c>
      <c r="G3" s="23" t="s">
        <v>431</v>
      </c>
      <c r="H3" s="23" t="s">
        <v>984</v>
      </c>
      <c r="I3" s="23" t="s">
        <v>432</v>
      </c>
      <c r="J3" s="23" t="s">
        <v>433</v>
      </c>
      <c r="K3" s="23" t="s">
        <v>434</v>
      </c>
      <c r="L3" s="74" t="s">
        <v>435</v>
      </c>
      <c r="M3" s="23" t="s">
        <v>437</v>
      </c>
      <c r="N3" s="23" t="s">
        <v>439</v>
      </c>
      <c r="O3" s="23" t="s">
        <v>440</v>
      </c>
      <c r="P3" s="23" t="s">
        <v>441</v>
      </c>
      <c r="Q3" s="23" t="s">
        <v>442</v>
      </c>
      <c r="R3" s="23" t="s">
        <v>443</v>
      </c>
      <c r="S3" s="23" t="s">
        <v>444</v>
      </c>
      <c r="T3" s="23" t="s">
        <v>445</v>
      </c>
      <c r="U3" s="23" t="s">
        <v>446</v>
      </c>
      <c r="V3" s="23" t="s">
        <v>425</v>
      </c>
      <c r="W3" s="23" t="s">
        <v>426</v>
      </c>
      <c r="X3" s="85" t="s">
        <v>400</v>
      </c>
      <c r="Y3" s="85" t="s">
        <v>401</v>
      </c>
      <c r="Z3" s="65" t="s">
        <v>402</v>
      </c>
      <c r="AA3" s="65" t="s">
        <v>403</v>
      </c>
      <c r="AB3" s="85" t="s">
        <v>404</v>
      </c>
      <c r="AC3" s="65" t="s">
        <v>405</v>
      </c>
      <c r="AD3" s="85" t="s">
        <v>454</v>
      </c>
      <c r="AE3" s="85" t="s">
        <v>406</v>
      </c>
      <c r="AF3" s="65" t="s">
        <v>407</v>
      </c>
      <c r="AG3" s="65" t="s">
        <v>408</v>
      </c>
      <c r="AH3" s="67" t="s">
        <v>460</v>
      </c>
      <c r="AI3" s="67" t="s">
        <v>985</v>
      </c>
      <c r="AJ3" s="67" t="s">
        <v>986</v>
      </c>
      <c r="AK3" s="68" t="s">
        <v>462</v>
      </c>
      <c r="AL3" s="69" t="s">
        <v>983</v>
      </c>
      <c r="AM3" s="23" t="s">
        <v>450</v>
      </c>
      <c r="AN3" s="75" t="s">
        <v>466</v>
      </c>
      <c r="AO3" s="75" t="s">
        <v>467</v>
      </c>
      <c r="AP3" s="76" t="s">
        <v>468</v>
      </c>
      <c r="AQ3" s="77" t="s">
        <v>469</v>
      </c>
    </row>
    <row r="4" spans="1:43" s="86" customFormat="1" ht="15" customHeight="1" x14ac:dyDescent="0.25">
      <c r="A4" s="86" t="s">
        <v>470</v>
      </c>
      <c r="B4" s="87" t="s">
        <v>471</v>
      </c>
      <c r="C4" s="87" t="s">
        <v>472</v>
      </c>
      <c r="D4" s="88" t="s">
        <v>480</v>
      </c>
      <c r="E4" s="88" t="s">
        <v>481</v>
      </c>
      <c r="F4" s="88" t="s">
        <v>482</v>
      </c>
      <c r="G4" s="88" t="s">
        <v>483</v>
      </c>
      <c r="H4" s="88" t="s">
        <v>987</v>
      </c>
      <c r="I4" s="88" t="s">
        <v>484</v>
      </c>
      <c r="J4" s="88" t="s">
        <v>485</v>
      </c>
      <c r="K4" s="88" t="s">
        <v>486</v>
      </c>
      <c r="L4" s="88" t="s">
        <v>487</v>
      </c>
      <c r="M4" s="88" t="s">
        <v>489</v>
      </c>
      <c r="N4" s="88" t="s">
        <v>491</v>
      </c>
      <c r="O4" s="88" t="s">
        <v>492</v>
      </c>
      <c r="P4" s="88" t="s">
        <v>493</v>
      </c>
      <c r="Q4" s="88" t="s">
        <v>494</v>
      </c>
      <c r="R4" s="88" t="s">
        <v>495</v>
      </c>
      <c r="S4" s="88" t="s">
        <v>496</v>
      </c>
      <c r="T4" s="88" t="s">
        <v>497</v>
      </c>
      <c r="U4" s="88" t="s">
        <v>498</v>
      </c>
      <c r="V4" s="87" t="s">
        <v>476</v>
      </c>
      <c r="W4" s="87" t="s">
        <v>478</v>
      </c>
      <c r="X4" s="87" t="s">
        <v>503</v>
      </c>
      <c r="Y4" s="87" t="s">
        <v>504</v>
      </c>
      <c r="Z4" s="88" t="s">
        <v>505</v>
      </c>
      <c r="AA4" s="88" t="s">
        <v>507</v>
      </c>
      <c r="AB4" s="88" t="s">
        <v>508</v>
      </c>
      <c r="AC4" s="88" t="s">
        <v>510</v>
      </c>
      <c r="AD4" s="88" t="s">
        <v>511</v>
      </c>
      <c r="AE4" s="88" t="s">
        <v>512</v>
      </c>
      <c r="AF4" s="88" t="s">
        <v>513</v>
      </c>
      <c r="AG4" s="88" t="s">
        <v>518</v>
      </c>
      <c r="AH4" s="88" t="s">
        <v>529</v>
      </c>
      <c r="AI4" s="88" t="s">
        <v>530</v>
      </c>
      <c r="AJ4" s="88" t="s">
        <v>988</v>
      </c>
      <c r="AK4" s="89" t="s">
        <v>531</v>
      </c>
      <c r="AL4" s="90" t="s">
        <v>989</v>
      </c>
      <c r="AM4" s="87" t="s">
        <v>502</v>
      </c>
      <c r="AN4" s="87" t="s">
        <v>990</v>
      </c>
      <c r="AO4" s="87" t="s">
        <v>560</v>
      </c>
      <c r="AP4" s="87" t="s">
        <v>561</v>
      </c>
      <c r="AQ4" s="87" t="s">
        <v>562</v>
      </c>
    </row>
    <row r="5" spans="1:43" hidden="1" x14ac:dyDescent="0.3">
      <c r="A5">
        <v>1</v>
      </c>
      <c r="B5" t="s">
        <v>991</v>
      </c>
      <c r="C5" t="s">
        <v>6</v>
      </c>
      <c r="L5">
        <v>4</v>
      </c>
      <c r="X5">
        <v>7</v>
      </c>
      <c r="AB5">
        <v>0.2</v>
      </c>
      <c r="AE5">
        <v>5</v>
      </c>
      <c r="AH5" t="s">
        <v>992</v>
      </c>
      <c r="AI5" t="s">
        <v>993</v>
      </c>
      <c r="AL5">
        <v>1</v>
      </c>
      <c r="AM5" t="s">
        <v>994</v>
      </c>
      <c r="AN5" t="s">
        <v>743</v>
      </c>
      <c r="AO5" t="s">
        <v>995</v>
      </c>
      <c r="AP5" t="s">
        <v>160</v>
      </c>
      <c r="AQ5" t="s">
        <v>288</v>
      </c>
    </row>
    <row r="6" spans="1:43" hidden="1" x14ac:dyDescent="0.3">
      <c r="A6">
        <v>2</v>
      </c>
      <c r="B6" t="s">
        <v>991</v>
      </c>
      <c r="C6" t="s">
        <v>6</v>
      </c>
      <c r="L6">
        <v>5</v>
      </c>
      <c r="X6">
        <v>7</v>
      </c>
      <c r="AB6">
        <v>0.2</v>
      </c>
      <c r="AE6">
        <v>5</v>
      </c>
      <c r="AH6" t="s">
        <v>992</v>
      </c>
      <c r="AI6" t="s">
        <v>993</v>
      </c>
      <c r="AL6">
        <v>2</v>
      </c>
      <c r="AM6" t="s">
        <v>994</v>
      </c>
      <c r="AN6" t="s">
        <v>743</v>
      </c>
      <c r="AO6" t="s">
        <v>995</v>
      </c>
      <c r="AP6" t="s">
        <v>160</v>
      </c>
      <c r="AQ6" t="s">
        <v>288</v>
      </c>
    </row>
    <row r="7" spans="1:43" hidden="1" x14ac:dyDescent="0.3">
      <c r="A7">
        <v>3</v>
      </c>
      <c r="B7" t="s">
        <v>991</v>
      </c>
      <c r="C7" t="s">
        <v>6</v>
      </c>
      <c r="L7">
        <v>7</v>
      </c>
      <c r="X7">
        <v>7</v>
      </c>
      <c r="AB7">
        <v>0.2</v>
      </c>
      <c r="AE7">
        <v>5</v>
      </c>
      <c r="AH7" t="s">
        <v>992</v>
      </c>
      <c r="AI7" t="s">
        <v>993</v>
      </c>
      <c r="AL7">
        <v>3</v>
      </c>
      <c r="AM7" t="s">
        <v>994</v>
      </c>
      <c r="AN7" t="s">
        <v>743</v>
      </c>
      <c r="AO7" t="s">
        <v>995</v>
      </c>
      <c r="AP7" t="s">
        <v>160</v>
      </c>
      <c r="AQ7" t="s">
        <v>288</v>
      </c>
    </row>
    <row r="8" spans="1:43" hidden="1" x14ac:dyDescent="0.3">
      <c r="A8">
        <v>4</v>
      </c>
      <c r="B8" t="s">
        <v>991</v>
      </c>
      <c r="C8" t="s">
        <v>6</v>
      </c>
      <c r="L8">
        <v>8</v>
      </c>
      <c r="X8">
        <v>7</v>
      </c>
      <c r="AB8">
        <v>0.2</v>
      </c>
      <c r="AE8">
        <v>5</v>
      </c>
      <c r="AH8" t="s">
        <v>992</v>
      </c>
      <c r="AI8" t="s">
        <v>993</v>
      </c>
      <c r="AL8">
        <v>4</v>
      </c>
      <c r="AM8" t="s">
        <v>994</v>
      </c>
      <c r="AN8" t="s">
        <v>743</v>
      </c>
      <c r="AO8" t="s">
        <v>995</v>
      </c>
      <c r="AP8" t="s">
        <v>160</v>
      </c>
      <c r="AQ8" t="s">
        <v>288</v>
      </c>
    </row>
    <row r="9" spans="1:43" hidden="1" x14ac:dyDescent="0.3">
      <c r="A9">
        <v>5</v>
      </c>
      <c r="B9" t="s">
        <v>991</v>
      </c>
      <c r="C9" t="s">
        <v>6</v>
      </c>
      <c r="L9">
        <v>7</v>
      </c>
      <c r="X9">
        <v>7.5</v>
      </c>
      <c r="AB9">
        <v>0.2</v>
      </c>
      <c r="AE9">
        <v>5</v>
      </c>
      <c r="AH9" t="s">
        <v>992</v>
      </c>
      <c r="AI9" t="s">
        <v>993</v>
      </c>
      <c r="AL9">
        <v>1</v>
      </c>
      <c r="AM9" t="s">
        <v>994</v>
      </c>
      <c r="AN9" t="s">
        <v>743</v>
      </c>
      <c r="AO9" t="s">
        <v>995</v>
      </c>
      <c r="AP9" t="s">
        <v>160</v>
      </c>
      <c r="AQ9" t="s">
        <v>288</v>
      </c>
    </row>
    <row r="10" spans="1:43" hidden="1" x14ac:dyDescent="0.3">
      <c r="A10">
        <v>6</v>
      </c>
      <c r="B10" t="s">
        <v>991</v>
      </c>
      <c r="C10" t="s">
        <v>6</v>
      </c>
      <c r="L10">
        <v>10</v>
      </c>
      <c r="X10">
        <v>7.5</v>
      </c>
      <c r="AB10">
        <v>0.2</v>
      </c>
      <c r="AE10">
        <v>5</v>
      </c>
      <c r="AH10" t="s">
        <v>992</v>
      </c>
      <c r="AI10" t="s">
        <v>993</v>
      </c>
      <c r="AL10">
        <v>2</v>
      </c>
      <c r="AM10" t="s">
        <v>994</v>
      </c>
      <c r="AN10" t="s">
        <v>743</v>
      </c>
      <c r="AO10" t="s">
        <v>995</v>
      </c>
      <c r="AP10" t="s">
        <v>160</v>
      </c>
      <c r="AQ10" t="s">
        <v>288</v>
      </c>
    </row>
    <row r="11" spans="1:43" hidden="1" x14ac:dyDescent="0.3">
      <c r="A11">
        <v>7</v>
      </c>
      <c r="B11" t="s">
        <v>991</v>
      </c>
      <c r="C11" t="s">
        <v>6</v>
      </c>
      <c r="L11">
        <v>13</v>
      </c>
      <c r="X11">
        <v>7.5</v>
      </c>
      <c r="AB11">
        <v>0.2</v>
      </c>
      <c r="AE11">
        <v>5</v>
      </c>
      <c r="AH11" t="s">
        <v>992</v>
      </c>
      <c r="AI11" t="s">
        <v>993</v>
      </c>
      <c r="AL11">
        <v>3</v>
      </c>
      <c r="AM11" t="s">
        <v>994</v>
      </c>
      <c r="AN11" t="s">
        <v>743</v>
      </c>
      <c r="AO11" t="s">
        <v>995</v>
      </c>
      <c r="AP11" t="s">
        <v>160</v>
      </c>
      <c r="AQ11" t="s">
        <v>288</v>
      </c>
    </row>
    <row r="12" spans="1:43" hidden="1" x14ac:dyDescent="0.3">
      <c r="A12">
        <v>8</v>
      </c>
      <c r="B12" t="s">
        <v>991</v>
      </c>
      <c r="C12" t="s">
        <v>6</v>
      </c>
      <c r="L12">
        <v>16</v>
      </c>
      <c r="X12">
        <v>7.5</v>
      </c>
      <c r="AB12">
        <v>0.2</v>
      </c>
      <c r="AE12">
        <v>5</v>
      </c>
      <c r="AH12" t="s">
        <v>992</v>
      </c>
      <c r="AI12" t="s">
        <v>993</v>
      </c>
      <c r="AL12">
        <v>4</v>
      </c>
      <c r="AM12" t="s">
        <v>994</v>
      </c>
      <c r="AN12" t="s">
        <v>743</v>
      </c>
      <c r="AO12" t="s">
        <v>995</v>
      </c>
      <c r="AP12" t="s">
        <v>160</v>
      </c>
      <c r="AQ12" t="s">
        <v>288</v>
      </c>
    </row>
    <row r="13" spans="1:43" hidden="1" x14ac:dyDescent="0.3">
      <c r="A13">
        <v>9</v>
      </c>
      <c r="B13" t="s">
        <v>991</v>
      </c>
      <c r="C13" t="s">
        <v>6</v>
      </c>
      <c r="L13">
        <v>9</v>
      </c>
      <c r="X13">
        <v>8</v>
      </c>
      <c r="AB13">
        <v>0.2</v>
      </c>
      <c r="AE13">
        <v>5</v>
      </c>
      <c r="AH13" t="s">
        <v>992</v>
      </c>
      <c r="AI13" t="s">
        <v>993</v>
      </c>
      <c r="AL13">
        <v>1</v>
      </c>
      <c r="AM13" t="s">
        <v>994</v>
      </c>
      <c r="AN13" t="s">
        <v>743</v>
      </c>
      <c r="AO13" t="s">
        <v>995</v>
      </c>
      <c r="AP13" t="s">
        <v>160</v>
      </c>
      <c r="AQ13" t="s">
        <v>288</v>
      </c>
    </row>
    <row r="14" spans="1:43" hidden="1" x14ac:dyDescent="0.3">
      <c r="A14">
        <v>10</v>
      </c>
      <c r="B14" t="s">
        <v>991</v>
      </c>
      <c r="C14" t="s">
        <v>6</v>
      </c>
      <c r="L14">
        <v>14</v>
      </c>
      <c r="X14">
        <v>8</v>
      </c>
      <c r="AB14">
        <v>0.2</v>
      </c>
      <c r="AE14">
        <v>5</v>
      </c>
      <c r="AH14" t="s">
        <v>992</v>
      </c>
      <c r="AI14" t="s">
        <v>993</v>
      </c>
      <c r="AL14">
        <v>2</v>
      </c>
      <c r="AM14" t="s">
        <v>994</v>
      </c>
      <c r="AN14" t="s">
        <v>743</v>
      </c>
      <c r="AO14" t="s">
        <v>995</v>
      </c>
      <c r="AP14" t="s">
        <v>160</v>
      </c>
      <c r="AQ14" t="s">
        <v>288</v>
      </c>
    </row>
    <row r="15" spans="1:43" hidden="1" x14ac:dyDescent="0.3">
      <c r="A15">
        <v>11</v>
      </c>
      <c r="B15" t="s">
        <v>991</v>
      </c>
      <c r="C15" t="s">
        <v>6</v>
      </c>
      <c r="L15">
        <v>18</v>
      </c>
      <c r="X15">
        <v>8</v>
      </c>
      <c r="AB15">
        <v>0.2</v>
      </c>
      <c r="AE15">
        <v>5</v>
      </c>
      <c r="AH15" t="s">
        <v>992</v>
      </c>
      <c r="AI15" t="s">
        <v>993</v>
      </c>
      <c r="AL15">
        <v>3</v>
      </c>
      <c r="AM15" t="s">
        <v>994</v>
      </c>
      <c r="AN15" t="s">
        <v>743</v>
      </c>
      <c r="AO15" t="s">
        <v>995</v>
      </c>
      <c r="AP15" t="s">
        <v>160</v>
      </c>
      <c r="AQ15" t="s">
        <v>288</v>
      </c>
    </row>
    <row r="16" spans="1:43" hidden="1" x14ac:dyDescent="0.3">
      <c r="A16">
        <v>12</v>
      </c>
      <c r="B16" t="s">
        <v>991</v>
      </c>
      <c r="C16" t="s">
        <v>6</v>
      </c>
      <c r="L16">
        <v>23</v>
      </c>
      <c r="X16">
        <v>8</v>
      </c>
      <c r="AB16">
        <v>0.2</v>
      </c>
      <c r="AE16">
        <v>5</v>
      </c>
      <c r="AH16" t="s">
        <v>992</v>
      </c>
      <c r="AI16" t="s">
        <v>993</v>
      </c>
      <c r="AL16">
        <v>4</v>
      </c>
      <c r="AM16" t="s">
        <v>994</v>
      </c>
      <c r="AN16" t="s">
        <v>743</v>
      </c>
      <c r="AO16" t="s">
        <v>995</v>
      </c>
      <c r="AP16" t="s">
        <v>160</v>
      </c>
      <c r="AQ16" t="s">
        <v>288</v>
      </c>
    </row>
    <row r="17" spans="1:43" hidden="1" x14ac:dyDescent="0.3">
      <c r="A17">
        <v>13</v>
      </c>
      <c r="B17" t="s">
        <v>991</v>
      </c>
      <c r="C17" t="s">
        <v>6</v>
      </c>
      <c r="L17">
        <v>11</v>
      </c>
      <c r="X17">
        <v>8.5</v>
      </c>
      <c r="AB17">
        <v>0.2</v>
      </c>
      <c r="AE17">
        <v>5</v>
      </c>
      <c r="AH17" t="s">
        <v>992</v>
      </c>
      <c r="AI17" t="s">
        <v>993</v>
      </c>
      <c r="AL17">
        <v>1</v>
      </c>
      <c r="AM17" t="s">
        <v>994</v>
      </c>
      <c r="AN17" t="s">
        <v>743</v>
      </c>
      <c r="AO17" t="s">
        <v>995</v>
      </c>
      <c r="AP17" t="s">
        <v>160</v>
      </c>
      <c r="AQ17" t="s">
        <v>288</v>
      </c>
    </row>
    <row r="18" spans="1:43" hidden="1" x14ac:dyDescent="0.3">
      <c r="A18">
        <v>14</v>
      </c>
      <c r="B18" t="s">
        <v>991</v>
      </c>
      <c r="C18" t="s">
        <v>6</v>
      </c>
      <c r="L18">
        <v>17</v>
      </c>
      <c r="X18">
        <v>8.5</v>
      </c>
      <c r="AB18">
        <v>0.2</v>
      </c>
      <c r="AE18">
        <v>5</v>
      </c>
      <c r="AH18" t="s">
        <v>992</v>
      </c>
      <c r="AI18" t="s">
        <v>993</v>
      </c>
      <c r="AL18">
        <v>2</v>
      </c>
      <c r="AM18" t="s">
        <v>994</v>
      </c>
      <c r="AN18" t="s">
        <v>743</v>
      </c>
      <c r="AO18" t="s">
        <v>995</v>
      </c>
      <c r="AP18" t="s">
        <v>160</v>
      </c>
      <c r="AQ18" t="s">
        <v>288</v>
      </c>
    </row>
    <row r="19" spans="1:43" hidden="1" x14ac:dyDescent="0.3">
      <c r="A19">
        <v>15</v>
      </c>
      <c r="B19" t="s">
        <v>991</v>
      </c>
      <c r="C19" t="s">
        <v>6</v>
      </c>
      <c r="L19">
        <v>23</v>
      </c>
      <c r="X19">
        <v>8.5</v>
      </c>
      <c r="AB19">
        <v>0.2</v>
      </c>
      <c r="AE19">
        <v>5</v>
      </c>
      <c r="AH19" t="s">
        <v>992</v>
      </c>
      <c r="AI19" t="s">
        <v>993</v>
      </c>
      <c r="AL19">
        <v>3</v>
      </c>
      <c r="AM19" t="s">
        <v>994</v>
      </c>
      <c r="AN19" t="s">
        <v>743</v>
      </c>
      <c r="AO19" t="s">
        <v>995</v>
      </c>
      <c r="AP19" t="s">
        <v>160</v>
      </c>
      <c r="AQ19" t="s">
        <v>288</v>
      </c>
    </row>
    <row r="20" spans="1:43" hidden="1" x14ac:dyDescent="0.3">
      <c r="A20">
        <v>16</v>
      </c>
      <c r="B20" t="s">
        <v>991</v>
      </c>
      <c r="C20" t="s">
        <v>6</v>
      </c>
      <c r="L20">
        <v>29</v>
      </c>
      <c r="X20">
        <v>8.5</v>
      </c>
      <c r="AB20">
        <v>0.2</v>
      </c>
      <c r="AE20">
        <v>5</v>
      </c>
      <c r="AH20" t="s">
        <v>992</v>
      </c>
      <c r="AI20" t="s">
        <v>993</v>
      </c>
      <c r="AL20">
        <v>4</v>
      </c>
      <c r="AM20" t="s">
        <v>994</v>
      </c>
      <c r="AN20" t="s">
        <v>743</v>
      </c>
      <c r="AO20" t="s">
        <v>995</v>
      </c>
      <c r="AP20" t="s">
        <v>160</v>
      </c>
      <c r="AQ20" t="s">
        <v>288</v>
      </c>
    </row>
    <row r="21" spans="1:43" hidden="1" x14ac:dyDescent="0.3">
      <c r="A21">
        <v>17</v>
      </c>
      <c r="B21" t="s">
        <v>991</v>
      </c>
      <c r="C21" t="s">
        <v>6</v>
      </c>
      <c r="L21">
        <v>13</v>
      </c>
      <c r="X21">
        <v>9</v>
      </c>
      <c r="AB21">
        <v>0.2</v>
      </c>
      <c r="AE21">
        <v>5</v>
      </c>
      <c r="AH21" t="s">
        <v>992</v>
      </c>
      <c r="AI21" t="s">
        <v>993</v>
      </c>
      <c r="AL21">
        <v>1</v>
      </c>
      <c r="AM21" t="s">
        <v>994</v>
      </c>
      <c r="AN21" t="s">
        <v>743</v>
      </c>
      <c r="AO21" t="s">
        <v>995</v>
      </c>
      <c r="AP21" t="s">
        <v>160</v>
      </c>
      <c r="AQ21" t="s">
        <v>288</v>
      </c>
    </row>
    <row r="22" spans="1:43" hidden="1" x14ac:dyDescent="0.3">
      <c r="A22">
        <v>18</v>
      </c>
      <c r="B22" t="s">
        <v>991</v>
      </c>
      <c r="C22" t="s">
        <v>6</v>
      </c>
      <c r="L22">
        <v>20</v>
      </c>
      <c r="X22">
        <v>9</v>
      </c>
      <c r="AB22">
        <v>0.2</v>
      </c>
      <c r="AE22">
        <v>5</v>
      </c>
      <c r="AH22" t="s">
        <v>992</v>
      </c>
      <c r="AI22" t="s">
        <v>993</v>
      </c>
      <c r="AL22">
        <v>2</v>
      </c>
      <c r="AM22" t="s">
        <v>994</v>
      </c>
      <c r="AN22" t="s">
        <v>743</v>
      </c>
      <c r="AO22" t="s">
        <v>995</v>
      </c>
      <c r="AP22" t="s">
        <v>160</v>
      </c>
      <c r="AQ22" t="s">
        <v>288</v>
      </c>
    </row>
    <row r="23" spans="1:43" hidden="1" x14ac:dyDescent="0.3">
      <c r="A23">
        <v>19</v>
      </c>
      <c r="B23" t="s">
        <v>991</v>
      </c>
      <c r="C23" t="s">
        <v>6</v>
      </c>
      <c r="L23">
        <v>28</v>
      </c>
      <c r="X23">
        <v>9</v>
      </c>
      <c r="AB23">
        <v>0.2</v>
      </c>
      <c r="AE23">
        <v>5</v>
      </c>
      <c r="AH23" t="s">
        <v>992</v>
      </c>
      <c r="AI23" t="s">
        <v>993</v>
      </c>
      <c r="AL23">
        <v>3</v>
      </c>
      <c r="AM23" t="s">
        <v>994</v>
      </c>
      <c r="AN23" t="s">
        <v>743</v>
      </c>
      <c r="AO23" t="s">
        <v>995</v>
      </c>
      <c r="AP23" t="s">
        <v>160</v>
      </c>
      <c r="AQ23" t="s">
        <v>288</v>
      </c>
    </row>
    <row r="24" spans="1:43" hidden="1" x14ac:dyDescent="0.3">
      <c r="A24">
        <v>20</v>
      </c>
      <c r="B24" t="s">
        <v>991</v>
      </c>
      <c r="C24" t="s">
        <v>6</v>
      </c>
      <c r="L24">
        <v>35</v>
      </c>
      <c r="X24">
        <v>9</v>
      </c>
      <c r="AB24">
        <v>0.2</v>
      </c>
      <c r="AE24">
        <v>5</v>
      </c>
      <c r="AH24" t="s">
        <v>992</v>
      </c>
      <c r="AI24" t="s">
        <v>993</v>
      </c>
      <c r="AL24">
        <v>4</v>
      </c>
      <c r="AM24" t="s">
        <v>994</v>
      </c>
      <c r="AN24" t="s">
        <v>743</v>
      </c>
      <c r="AO24" t="s">
        <v>995</v>
      </c>
      <c r="AP24" t="s">
        <v>160</v>
      </c>
      <c r="AQ24" t="s">
        <v>288</v>
      </c>
    </row>
    <row r="25" spans="1:43" hidden="1" x14ac:dyDescent="0.3">
      <c r="A25">
        <v>21</v>
      </c>
      <c r="B25" t="s">
        <v>991</v>
      </c>
      <c r="C25" t="s">
        <v>6</v>
      </c>
      <c r="L25">
        <v>3</v>
      </c>
      <c r="X25">
        <v>7</v>
      </c>
      <c r="AB25">
        <v>0.2</v>
      </c>
      <c r="AE25">
        <v>10</v>
      </c>
      <c r="AH25" t="s">
        <v>992</v>
      </c>
      <c r="AI25" t="s">
        <v>993</v>
      </c>
      <c r="AL25">
        <v>1</v>
      </c>
      <c r="AM25" t="s">
        <v>994</v>
      </c>
      <c r="AN25" t="s">
        <v>743</v>
      </c>
      <c r="AO25" t="s">
        <v>995</v>
      </c>
      <c r="AP25" t="s">
        <v>160</v>
      </c>
      <c r="AQ25" t="s">
        <v>288</v>
      </c>
    </row>
    <row r="26" spans="1:43" hidden="1" x14ac:dyDescent="0.3">
      <c r="A26">
        <v>22</v>
      </c>
      <c r="B26" t="s">
        <v>991</v>
      </c>
      <c r="C26" t="s">
        <v>6</v>
      </c>
      <c r="L26">
        <v>4</v>
      </c>
      <c r="X26">
        <v>7</v>
      </c>
      <c r="AB26">
        <v>0.2</v>
      </c>
      <c r="AE26">
        <v>10</v>
      </c>
      <c r="AH26" t="s">
        <v>992</v>
      </c>
      <c r="AI26" t="s">
        <v>993</v>
      </c>
      <c r="AL26">
        <v>2</v>
      </c>
      <c r="AM26" t="s">
        <v>994</v>
      </c>
      <c r="AN26" t="s">
        <v>743</v>
      </c>
      <c r="AO26" t="s">
        <v>995</v>
      </c>
      <c r="AP26" t="s">
        <v>160</v>
      </c>
      <c r="AQ26" t="s">
        <v>288</v>
      </c>
    </row>
    <row r="27" spans="1:43" hidden="1" x14ac:dyDescent="0.3">
      <c r="A27">
        <v>23</v>
      </c>
      <c r="B27" t="s">
        <v>991</v>
      </c>
      <c r="C27" t="s">
        <v>6</v>
      </c>
      <c r="L27">
        <v>5</v>
      </c>
      <c r="X27">
        <v>7</v>
      </c>
      <c r="AB27">
        <v>0.2</v>
      </c>
      <c r="AE27">
        <v>10</v>
      </c>
      <c r="AH27" t="s">
        <v>992</v>
      </c>
      <c r="AI27" t="s">
        <v>993</v>
      </c>
      <c r="AL27">
        <v>3</v>
      </c>
      <c r="AM27" t="s">
        <v>994</v>
      </c>
      <c r="AN27" t="s">
        <v>743</v>
      </c>
      <c r="AO27" t="s">
        <v>995</v>
      </c>
      <c r="AP27" t="s">
        <v>160</v>
      </c>
      <c r="AQ27" t="s">
        <v>288</v>
      </c>
    </row>
    <row r="28" spans="1:43" hidden="1" x14ac:dyDescent="0.3">
      <c r="A28">
        <v>24</v>
      </c>
      <c r="B28" t="s">
        <v>991</v>
      </c>
      <c r="C28" t="s">
        <v>6</v>
      </c>
      <c r="L28">
        <v>6</v>
      </c>
      <c r="X28">
        <v>7</v>
      </c>
      <c r="AB28">
        <v>0.2</v>
      </c>
      <c r="AE28">
        <v>10</v>
      </c>
      <c r="AH28" t="s">
        <v>992</v>
      </c>
      <c r="AI28" t="s">
        <v>993</v>
      </c>
      <c r="AL28">
        <v>4</v>
      </c>
      <c r="AM28" t="s">
        <v>994</v>
      </c>
      <c r="AN28" t="s">
        <v>743</v>
      </c>
      <c r="AO28" t="s">
        <v>995</v>
      </c>
      <c r="AP28" t="s">
        <v>160</v>
      </c>
      <c r="AQ28" t="s">
        <v>288</v>
      </c>
    </row>
    <row r="29" spans="1:43" hidden="1" x14ac:dyDescent="0.3">
      <c r="A29">
        <v>25</v>
      </c>
      <c r="B29" t="s">
        <v>991</v>
      </c>
      <c r="C29" t="s">
        <v>6</v>
      </c>
      <c r="L29">
        <v>5</v>
      </c>
      <c r="X29">
        <v>7.5</v>
      </c>
      <c r="AB29">
        <v>0.2</v>
      </c>
      <c r="AE29">
        <v>10</v>
      </c>
      <c r="AH29" t="s">
        <v>992</v>
      </c>
      <c r="AI29" t="s">
        <v>993</v>
      </c>
      <c r="AL29">
        <v>1</v>
      </c>
      <c r="AM29" t="s">
        <v>994</v>
      </c>
      <c r="AN29" t="s">
        <v>743</v>
      </c>
      <c r="AO29" t="s">
        <v>995</v>
      </c>
      <c r="AP29" t="s">
        <v>160</v>
      </c>
      <c r="AQ29" t="s">
        <v>288</v>
      </c>
    </row>
    <row r="30" spans="1:43" hidden="1" x14ac:dyDescent="0.3">
      <c r="A30">
        <v>26</v>
      </c>
      <c r="B30" t="s">
        <v>991</v>
      </c>
      <c r="C30" t="s">
        <v>6</v>
      </c>
      <c r="L30">
        <v>7</v>
      </c>
      <c r="X30">
        <v>7.5</v>
      </c>
      <c r="AB30">
        <v>0.2</v>
      </c>
      <c r="AE30">
        <v>10</v>
      </c>
      <c r="AH30" t="s">
        <v>992</v>
      </c>
      <c r="AI30" t="s">
        <v>993</v>
      </c>
      <c r="AL30">
        <v>2</v>
      </c>
      <c r="AM30" t="s">
        <v>994</v>
      </c>
      <c r="AN30" t="s">
        <v>743</v>
      </c>
      <c r="AO30" t="s">
        <v>995</v>
      </c>
      <c r="AP30" t="s">
        <v>160</v>
      </c>
      <c r="AQ30" t="s">
        <v>288</v>
      </c>
    </row>
    <row r="31" spans="1:43" hidden="1" x14ac:dyDescent="0.3">
      <c r="A31">
        <v>27</v>
      </c>
      <c r="B31" t="s">
        <v>991</v>
      </c>
      <c r="C31" t="s">
        <v>6</v>
      </c>
      <c r="L31">
        <v>9</v>
      </c>
      <c r="X31">
        <v>7.5</v>
      </c>
      <c r="AB31">
        <v>0.2</v>
      </c>
      <c r="AE31">
        <v>10</v>
      </c>
      <c r="AH31" t="s">
        <v>992</v>
      </c>
      <c r="AI31" t="s">
        <v>993</v>
      </c>
      <c r="AL31">
        <v>3</v>
      </c>
      <c r="AM31" t="s">
        <v>994</v>
      </c>
      <c r="AN31" t="s">
        <v>743</v>
      </c>
      <c r="AO31" t="s">
        <v>995</v>
      </c>
      <c r="AP31" t="s">
        <v>160</v>
      </c>
      <c r="AQ31" t="s">
        <v>288</v>
      </c>
    </row>
    <row r="32" spans="1:43" hidden="1" x14ac:dyDescent="0.3">
      <c r="A32">
        <v>28</v>
      </c>
      <c r="B32" t="s">
        <v>991</v>
      </c>
      <c r="C32" t="s">
        <v>6</v>
      </c>
      <c r="L32">
        <v>11</v>
      </c>
      <c r="X32">
        <v>7.5</v>
      </c>
      <c r="AB32">
        <v>0.2</v>
      </c>
      <c r="AE32">
        <v>10</v>
      </c>
      <c r="AH32" t="s">
        <v>992</v>
      </c>
      <c r="AI32" t="s">
        <v>993</v>
      </c>
      <c r="AL32">
        <v>4</v>
      </c>
      <c r="AM32" t="s">
        <v>994</v>
      </c>
      <c r="AN32" t="s">
        <v>743</v>
      </c>
      <c r="AO32" t="s">
        <v>995</v>
      </c>
      <c r="AP32" t="s">
        <v>160</v>
      </c>
      <c r="AQ32" t="s">
        <v>288</v>
      </c>
    </row>
    <row r="33" spans="1:43" hidden="1" x14ac:dyDescent="0.3">
      <c r="A33">
        <v>29</v>
      </c>
      <c r="B33" t="s">
        <v>991</v>
      </c>
      <c r="C33" t="s">
        <v>6</v>
      </c>
      <c r="L33">
        <v>7</v>
      </c>
      <c r="X33">
        <v>8</v>
      </c>
      <c r="AB33">
        <v>0.2</v>
      </c>
      <c r="AE33">
        <v>10</v>
      </c>
      <c r="AH33" t="s">
        <v>992</v>
      </c>
      <c r="AI33" t="s">
        <v>993</v>
      </c>
      <c r="AL33">
        <v>1</v>
      </c>
      <c r="AM33" t="s">
        <v>994</v>
      </c>
      <c r="AN33" t="s">
        <v>743</v>
      </c>
      <c r="AO33" t="s">
        <v>995</v>
      </c>
      <c r="AP33" t="s">
        <v>160</v>
      </c>
      <c r="AQ33" t="s">
        <v>288</v>
      </c>
    </row>
    <row r="34" spans="1:43" hidden="1" x14ac:dyDescent="0.3">
      <c r="A34">
        <v>30</v>
      </c>
      <c r="B34" t="s">
        <v>991</v>
      </c>
      <c r="C34" t="s">
        <v>6</v>
      </c>
      <c r="L34">
        <v>10</v>
      </c>
      <c r="X34">
        <v>8</v>
      </c>
      <c r="AB34">
        <v>0.2</v>
      </c>
      <c r="AE34">
        <v>10</v>
      </c>
      <c r="AH34" t="s">
        <v>992</v>
      </c>
      <c r="AI34" t="s">
        <v>993</v>
      </c>
      <c r="AL34">
        <v>2</v>
      </c>
      <c r="AM34" t="s">
        <v>994</v>
      </c>
      <c r="AN34" t="s">
        <v>743</v>
      </c>
      <c r="AO34" t="s">
        <v>995</v>
      </c>
      <c r="AP34" t="s">
        <v>160</v>
      </c>
      <c r="AQ34" t="s">
        <v>288</v>
      </c>
    </row>
    <row r="35" spans="1:43" hidden="1" x14ac:dyDescent="0.3">
      <c r="A35">
        <v>31</v>
      </c>
      <c r="B35" t="s">
        <v>991</v>
      </c>
      <c r="C35" t="s">
        <v>6</v>
      </c>
      <c r="L35">
        <v>13</v>
      </c>
      <c r="X35">
        <v>8</v>
      </c>
      <c r="AB35">
        <v>0.2</v>
      </c>
      <c r="AE35">
        <v>10</v>
      </c>
      <c r="AH35" t="s">
        <v>992</v>
      </c>
      <c r="AI35" t="s">
        <v>993</v>
      </c>
      <c r="AL35">
        <v>3</v>
      </c>
      <c r="AM35" t="s">
        <v>994</v>
      </c>
      <c r="AN35" t="s">
        <v>743</v>
      </c>
      <c r="AO35" t="s">
        <v>995</v>
      </c>
      <c r="AP35" t="s">
        <v>160</v>
      </c>
      <c r="AQ35" t="s">
        <v>288</v>
      </c>
    </row>
    <row r="36" spans="1:43" hidden="1" x14ac:dyDescent="0.3">
      <c r="A36">
        <v>32</v>
      </c>
      <c r="B36" t="s">
        <v>991</v>
      </c>
      <c r="C36" t="s">
        <v>6</v>
      </c>
      <c r="L36">
        <v>16</v>
      </c>
      <c r="X36">
        <v>8</v>
      </c>
      <c r="AB36">
        <v>0.2</v>
      </c>
      <c r="AE36">
        <v>10</v>
      </c>
      <c r="AH36" t="s">
        <v>992</v>
      </c>
      <c r="AI36" t="s">
        <v>993</v>
      </c>
      <c r="AL36">
        <v>4</v>
      </c>
      <c r="AM36" t="s">
        <v>994</v>
      </c>
      <c r="AN36" t="s">
        <v>743</v>
      </c>
      <c r="AO36" t="s">
        <v>995</v>
      </c>
      <c r="AP36" t="s">
        <v>160</v>
      </c>
      <c r="AQ36" t="s">
        <v>288</v>
      </c>
    </row>
    <row r="37" spans="1:43" hidden="1" x14ac:dyDescent="0.3">
      <c r="A37">
        <v>33</v>
      </c>
      <c r="B37" t="s">
        <v>991</v>
      </c>
      <c r="C37" t="s">
        <v>6</v>
      </c>
      <c r="L37">
        <v>8</v>
      </c>
      <c r="X37">
        <v>8.5</v>
      </c>
      <c r="AB37">
        <v>0.2</v>
      </c>
      <c r="AE37">
        <v>10</v>
      </c>
      <c r="AH37" t="s">
        <v>992</v>
      </c>
      <c r="AI37" t="s">
        <v>993</v>
      </c>
      <c r="AL37">
        <v>1</v>
      </c>
      <c r="AM37" t="s">
        <v>994</v>
      </c>
      <c r="AN37" t="s">
        <v>743</v>
      </c>
      <c r="AO37" t="s">
        <v>995</v>
      </c>
      <c r="AP37" t="s">
        <v>160</v>
      </c>
      <c r="AQ37" t="s">
        <v>288</v>
      </c>
    </row>
    <row r="38" spans="1:43" hidden="1" x14ac:dyDescent="0.3">
      <c r="A38">
        <v>34</v>
      </c>
      <c r="B38" t="s">
        <v>991</v>
      </c>
      <c r="C38" t="s">
        <v>6</v>
      </c>
      <c r="L38">
        <v>12</v>
      </c>
      <c r="X38">
        <v>8.5</v>
      </c>
      <c r="AB38">
        <v>0.2</v>
      </c>
      <c r="AE38">
        <v>10</v>
      </c>
      <c r="AH38" t="s">
        <v>992</v>
      </c>
      <c r="AI38" t="s">
        <v>993</v>
      </c>
      <c r="AL38">
        <v>2</v>
      </c>
      <c r="AM38" t="s">
        <v>994</v>
      </c>
      <c r="AN38" t="s">
        <v>743</v>
      </c>
      <c r="AO38" t="s">
        <v>995</v>
      </c>
      <c r="AP38" t="s">
        <v>160</v>
      </c>
      <c r="AQ38" t="s">
        <v>288</v>
      </c>
    </row>
    <row r="39" spans="1:43" hidden="1" x14ac:dyDescent="0.3">
      <c r="A39">
        <v>35</v>
      </c>
      <c r="B39" t="s">
        <v>991</v>
      </c>
      <c r="C39" t="s">
        <v>6</v>
      </c>
      <c r="L39">
        <v>16</v>
      </c>
      <c r="X39">
        <v>8.5</v>
      </c>
      <c r="AB39">
        <v>0.2</v>
      </c>
      <c r="AE39">
        <v>10</v>
      </c>
      <c r="AH39" t="s">
        <v>992</v>
      </c>
      <c r="AI39" t="s">
        <v>993</v>
      </c>
      <c r="AL39">
        <v>3</v>
      </c>
      <c r="AM39" t="s">
        <v>994</v>
      </c>
      <c r="AN39" t="s">
        <v>743</v>
      </c>
      <c r="AO39" t="s">
        <v>995</v>
      </c>
      <c r="AP39" t="s">
        <v>160</v>
      </c>
      <c r="AQ39" t="s">
        <v>288</v>
      </c>
    </row>
    <row r="40" spans="1:43" hidden="1" x14ac:dyDescent="0.3">
      <c r="A40">
        <v>36</v>
      </c>
      <c r="B40" t="s">
        <v>991</v>
      </c>
      <c r="C40" t="s">
        <v>6</v>
      </c>
      <c r="L40">
        <v>21</v>
      </c>
      <c r="X40">
        <v>8.5</v>
      </c>
      <c r="AB40">
        <v>0.2</v>
      </c>
      <c r="AE40">
        <v>10</v>
      </c>
      <c r="AH40" t="s">
        <v>992</v>
      </c>
      <c r="AI40" t="s">
        <v>993</v>
      </c>
      <c r="AL40">
        <v>4</v>
      </c>
      <c r="AM40" t="s">
        <v>994</v>
      </c>
      <c r="AN40" t="s">
        <v>743</v>
      </c>
      <c r="AO40" t="s">
        <v>995</v>
      </c>
      <c r="AP40" t="s">
        <v>160</v>
      </c>
      <c r="AQ40" t="s">
        <v>288</v>
      </c>
    </row>
    <row r="41" spans="1:43" hidden="1" x14ac:dyDescent="0.3">
      <c r="A41">
        <v>37</v>
      </c>
      <c r="B41" t="s">
        <v>991</v>
      </c>
      <c r="C41" t="s">
        <v>6</v>
      </c>
      <c r="L41">
        <v>9</v>
      </c>
      <c r="X41">
        <v>9</v>
      </c>
      <c r="AB41">
        <v>0.2</v>
      </c>
      <c r="AE41">
        <v>10</v>
      </c>
      <c r="AH41" t="s">
        <v>992</v>
      </c>
      <c r="AI41" t="s">
        <v>993</v>
      </c>
      <c r="AL41">
        <v>1</v>
      </c>
      <c r="AM41" t="s">
        <v>994</v>
      </c>
      <c r="AN41" t="s">
        <v>743</v>
      </c>
      <c r="AO41" t="s">
        <v>995</v>
      </c>
      <c r="AP41" t="s">
        <v>160</v>
      </c>
      <c r="AQ41" t="s">
        <v>288</v>
      </c>
    </row>
    <row r="42" spans="1:43" hidden="1" x14ac:dyDescent="0.3">
      <c r="A42">
        <v>38</v>
      </c>
      <c r="B42" t="s">
        <v>991</v>
      </c>
      <c r="C42" t="s">
        <v>6</v>
      </c>
      <c r="L42">
        <v>14</v>
      </c>
      <c r="X42">
        <v>9</v>
      </c>
      <c r="AB42">
        <v>0.2</v>
      </c>
      <c r="AE42">
        <v>10</v>
      </c>
      <c r="AH42" t="s">
        <v>992</v>
      </c>
      <c r="AI42" t="s">
        <v>993</v>
      </c>
      <c r="AL42">
        <v>2</v>
      </c>
      <c r="AM42" t="s">
        <v>994</v>
      </c>
      <c r="AN42" t="s">
        <v>743</v>
      </c>
      <c r="AO42" t="s">
        <v>995</v>
      </c>
      <c r="AP42" t="s">
        <v>160</v>
      </c>
      <c r="AQ42" t="s">
        <v>288</v>
      </c>
    </row>
    <row r="43" spans="1:43" hidden="1" x14ac:dyDescent="0.3">
      <c r="A43">
        <v>39</v>
      </c>
      <c r="B43" t="s">
        <v>991</v>
      </c>
      <c r="C43" t="s">
        <v>6</v>
      </c>
      <c r="L43">
        <v>19</v>
      </c>
      <c r="X43">
        <v>9</v>
      </c>
      <c r="AB43">
        <v>0.2</v>
      </c>
      <c r="AE43">
        <v>10</v>
      </c>
      <c r="AH43" t="s">
        <v>992</v>
      </c>
      <c r="AI43" t="s">
        <v>993</v>
      </c>
      <c r="AL43">
        <v>3</v>
      </c>
      <c r="AM43" t="s">
        <v>994</v>
      </c>
      <c r="AN43" t="s">
        <v>743</v>
      </c>
      <c r="AO43" t="s">
        <v>995</v>
      </c>
      <c r="AP43" t="s">
        <v>160</v>
      </c>
      <c r="AQ43" t="s">
        <v>288</v>
      </c>
    </row>
    <row r="44" spans="1:43" hidden="1" x14ac:dyDescent="0.3">
      <c r="A44">
        <v>40</v>
      </c>
      <c r="B44" t="s">
        <v>991</v>
      </c>
      <c r="C44" t="s">
        <v>6</v>
      </c>
      <c r="L44">
        <v>25</v>
      </c>
      <c r="X44">
        <v>9</v>
      </c>
      <c r="AB44">
        <v>0.2</v>
      </c>
      <c r="AE44">
        <v>10</v>
      </c>
      <c r="AH44" t="s">
        <v>992</v>
      </c>
      <c r="AI44" t="s">
        <v>993</v>
      </c>
      <c r="AL44">
        <v>4</v>
      </c>
      <c r="AM44" t="s">
        <v>994</v>
      </c>
      <c r="AN44" t="s">
        <v>743</v>
      </c>
      <c r="AO44" t="s">
        <v>995</v>
      </c>
      <c r="AP44" t="s">
        <v>160</v>
      </c>
      <c r="AQ44" t="s">
        <v>288</v>
      </c>
    </row>
    <row r="45" spans="1:43" hidden="1" x14ac:dyDescent="0.3">
      <c r="A45">
        <v>41</v>
      </c>
      <c r="B45" t="s">
        <v>991</v>
      </c>
      <c r="C45" t="s">
        <v>6</v>
      </c>
      <c r="L45">
        <v>2</v>
      </c>
      <c r="X45">
        <v>7</v>
      </c>
      <c r="AB45">
        <v>0.2</v>
      </c>
      <c r="AE45">
        <v>15</v>
      </c>
      <c r="AH45" t="s">
        <v>992</v>
      </c>
      <c r="AI45" t="s">
        <v>993</v>
      </c>
      <c r="AL45">
        <v>1</v>
      </c>
      <c r="AM45" t="s">
        <v>994</v>
      </c>
      <c r="AN45" t="s">
        <v>743</v>
      </c>
      <c r="AO45" t="s">
        <v>995</v>
      </c>
      <c r="AP45" t="s">
        <v>160</v>
      </c>
      <c r="AQ45" t="s">
        <v>288</v>
      </c>
    </row>
    <row r="46" spans="1:43" hidden="1" x14ac:dyDescent="0.3">
      <c r="A46">
        <v>42</v>
      </c>
      <c r="B46" t="s">
        <v>991</v>
      </c>
      <c r="C46" t="s">
        <v>6</v>
      </c>
      <c r="L46">
        <v>3</v>
      </c>
      <c r="X46">
        <v>7</v>
      </c>
      <c r="AB46">
        <v>0.2</v>
      </c>
      <c r="AE46">
        <v>15</v>
      </c>
      <c r="AH46" t="s">
        <v>992</v>
      </c>
      <c r="AI46" t="s">
        <v>993</v>
      </c>
      <c r="AL46">
        <v>2</v>
      </c>
      <c r="AM46" t="s">
        <v>994</v>
      </c>
      <c r="AN46" t="s">
        <v>743</v>
      </c>
      <c r="AO46" t="s">
        <v>995</v>
      </c>
      <c r="AP46" t="s">
        <v>160</v>
      </c>
      <c r="AQ46" t="s">
        <v>288</v>
      </c>
    </row>
    <row r="47" spans="1:43" hidden="1" x14ac:dyDescent="0.3">
      <c r="A47">
        <v>43</v>
      </c>
      <c r="B47" t="s">
        <v>991</v>
      </c>
      <c r="C47" t="s">
        <v>6</v>
      </c>
      <c r="L47">
        <v>4</v>
      </c>
      <c r="X47">
        <v>7</v>
      </c>
      <c r="AB47">
        <v>0.2</v>
      </c>
      <c r="AE47">
        <v>15</v>
      </c>
      <c r="AH47" t="s">
        <v>992</v>
      </c>
      <c r="AI47" t="s">
        <v>993</v>
      </c>
      <c r="AL47">
        <v>3</v>
      </c>
      <c r="AM47" t="s">
        <v>994</v>
      </c>
      <c r="AN47" t="s">
        <v>743</v>
      </c>
      <c r="AO47" t="s">
        <v>995</v>
      </c>
      <c r="AP47" t="s">
        <v>160</v>
      </c>
      <c r="AQ47" t="s">
        <v>288</v>
      </c>
    </row>
    <row r="48" spans="1:43" hidden="1" x14ac:dyDescent="0.3">
      <c r="A48">
        <v>44</v>
      </c>
      <c r="B48" t="s">
        <v>991</v>
      </c>
      <c r="C48" t="s">
        <v>6</v>
      </c>
      <c r="L48">
        <v>4</v>
      </c>
      <c r="X48">
        <v>7</v>
      </c>
      <c r="AB48">
        <v>0.2</v>
      </c>
      <c r="AE48">
        <v>15</v>
      </c>
      <c r="AH48" t="s">
        <v>992</v>
      </c>
      <c r="AI48" t="s">
        <v>993</v>
      </c>
      <c r="AL48">
        <v>4</v>
      </c>
      <c r="AM48" t="s">
        <v>994</v>
      </c>
      <c r="AN48" t="s">
        <v>743</v>
      </c>
      <c r="AO48" t="s">
        <v>995</v>
      </c>
      <c r="AP48" t="s">
        <v>160</v>
      </c>
      <c r="AQ48" t="s">
        <v>288</v>
      </c>
    </row>
    <row r="49" spans="1:43" hidden="1" x14ac:dyDescent="0.3">
      <c r="A49">
        <v>45</v>
      </c>
      <c r="B49" t="s">
        <v>991</v>
      </c>
      <c r="C49" t="s">
        <v>6</v>
      </c>
      <c r="L49">
        <v>4</v>
      </c>
      <c r="X49">
        <v>7.5</v>
      </c>
      <c r="AB49">
        <v>0.2</v>
      </c>
      <c r="AE49">
        <v>15</v>
      </c>
      <c r="AH49" t="s">
        <v>992</v>
      </c>
      <c r="AI49" t="s">
        <v>993</v>
      </c>
      <c r="AL49">
        <v>1</v>
      </c>
      <c r="AM49" t="s">
        <v>994</v>
      </c>
      <c r="AN49" t="s">
        <v>743</v>
      </c>
      <c r="AO49" t="s">
        <v>995</v>
      </c>
      <c r="AP49" t="s">
        <v>160</v>
      </c>
      <c r="AQ49" t="s">
        <v>288</v>
      </c>
    </row>
    <row r="50" spans="1:43" hidden="1" x14ac:dyDescent="0.3">
      <c r="A50">
        <v>46</v>
      </c>
      <c r="B50" t="s">
        <v>991</v>
      </c>
      <c r="C50" t="s">
        <v>6</v>
      </c>
      <c r="L50">
        <v>5</v>
      </c>
      <c r="X50">
        <v>7.5</v>
      </c>
      <c r="AB50">
        <v>0.2</v>
      </c>
      <c r="AE50">
        <v>15</v>
      </c>
      <c r="AH50" t="s">
        <v>992</v>
      </c>
      <c r="AI50" t="s">
        <v>993</v>
      </c>
      <c r="AL50">
        <v>2</v>
      </c>
      <c r="AM50" t="s">
        <v>994</v>
      </c>
      <c r="AN50" t="s">
        <v>743</v>
      </c>
      <c r="AO50" t="s">
        <v>995</v>
      </c>
      <c r="AP50" t="s">
        <v>160</v>
      </c>
      <c r="AQ50" t="s">
        <v>288</v>
      </c>
    </row>
    <row r="51" spans="1:43" hidden="1" x14ac:dyDescent="0.3">
      <c r="A51">
        <v>47</v>
      </c>
      <c r="B51" t="s">
        <v>991</v>
      </c>
      <c r="C51" t="s">
        <v>6</v>
      </c>
      <c r="L51">
        <v>7</v>
      </c>
      <c r="X51">
        <v>7.5</v>
      </c>
      <c r="AB51">
        <v>0.2</v>
      </c>
      <c r="AE51">
        <v>15</v>
      </c>
      <c r="AH51" t="s">
        <v>992</v>
      </c>
      <c r="AI51" t="s">
        <v>993</v>
      </c>
      <c r="AL51">
        <v>3</v>
      </c>
      <c r="AM51" t="s">
        <v>994</v>
      </c>
      <c r="AN51" t="s">
        <v>743</v>
      </c>
      <c r="AO51" t="s">
        <v>995</v>
      </c>
      <c r="AP51" t="s">
        <v>160</v>
      </c>
      <c r="AQ51" t="s">
        <v>288</v>
      </c>
    </row>
    <row r="52" spans="1:43" hidden="1" x14ac:dyDescent="0.3">
      <c r="A52">
        <v>48</v>
      </c>
      <c r="B52" t="s">
        <v>991</v>
      </c>
      <c r="C52" t="s">
        <v>6</v>
      </c>
      <c r="L52">
        <v>8</v>
      </c>
      <c r="X52">
        <v>7.5</v>
      </c>
      <c r="AB52">
        <v>0.2</v>
      </c>
      <c r="AE52">
        <v>15</v>
      </c>
      <c r="AH52" t="s">
        <v>992</v>
      </c>
      <c r="AI52" t="s">
        <v>993</v>
      </c>
      <c r="AL52">
        <v>4</v>
      </c>
      <c r="AM52" t="s">
        <v>994</v>
      </c>
      <c r="AN52" t="s">
        <v>743</v>
      </c>
      <c r="AO52" t="s">
        <v>995</v>
      </c>
      <c r="AP52" t="s">
        <v>160</v>
      </c>
      <c r="AQ52" t="s">
        <v>288</v>
      </c>
    </row>
    <row r="53" spans="1:43" hidden="1" x14ac:dyDescent="0.3">
      <c r="A53">
        <v>49</v>
      </c>
      <c r="B53" t="s">
        <v>991</v>
      </c>
      <c r="C53" t="s">
        <v>6</v>
      </c>
      <c r="L53">
        <v>5</v>
      </c>
      <c r="X53">
        <v>8</v>
      </c>
      <c r="AB53">
        <v>0.2</v>
      </c>
      <c r="AE53">
        <v>15</v>
      </c>
      <c r="AH53" t="s">
        <v>992</v>
      </c>
      <c r="AI53" t="s">
        <v>993</v>
      </c>
      <c r="AL53">
        <v>1</v>
      </c>
      <c r="AM53" t="s">
        <v>994</v>
      </c>
      <c r="AN53" t="s">
        <v>743</v>
      </c>
      <c r="AO53" t="s">
        <v>995</v>
      </c>
      <c r="AP53" t="s">
        <v>160</v>
      </c>
      <c r="AQ53" t="s">
        <v>288</v>
      </c>
    </row>
    <row r="54" spans="1:43" hidden="1" x14ac:dyDescent="0.3">
      <c r="A54">
        <v>50</v>
      </c>
      <c r="B54" t="s">
        <v>991</v>
      </c>
      <c r="C54" t="s">
        <v>6</v>
      </c>
      <c r="L54">
        <v>7</v>
      </c>
      <c r="X54">
        <v>8</v>
      </c>
      <c r="AB54">
        <v>0.2</v>
      </c>
      <c r="AE54">
        <v>15</v>
      </c>
      <c r="AH54" t="s">
        <v>992</v>
      </c>
      <c r="AI54" t="s">
        <v>993</v>
      </c>
      <c r="AL54">
        <v>2</v>
      </c>
      <c r="AM54" t="s">
        <v>994</v>
      </c>
      <c r="AN54" t="s">
        <v>743</v>
      </c>
      <c r="AO54" t="s">
        <v>995</v>
      </c>
      <c r="AP54" t="s">
        <v>160</v>
      </c>
      <c r="AQ54" t="s">
        <v>288</v>
      </c>
    </row>
    <row r="55" spans="1:43" hidden="1" x14ac:dyDescent="0.3">
      <c r="A55">
        <v>51</v>
      </c>
      <c r="B55" t="s">
        <v>991</v>
      </c>
      <c r="C55" t="s">
        <v>6</v>
      </c>
      <c r="L55">
        <v>9</v>
      </c>
      <c r="X55">
        <v>8</v>
      </c>
      <c r="AB55">
        <v>0.2</v>
      </c>
      <c r="AE55">
        <v>15</v>
      </c>
      <c r="AH55" t="s">
        <v>992</v>
      </c>
      <c r="AI55" t="s">
        <v>993</v>
      </c>
      <c r="AL55">
        <v>3</v>
      </c>
      <c r="AM55" t="s">
        <v>994</v>
      </c>
      <c r="AN55" t="s">
        <v>743</v>
      </c>
      <c r="AO55" t="s">
        <v>995</v>
      </c>
      <c r="AP55" t="s">
        <v>160</v>
      </c>
      <c r="AQ55" t="s">
        <v>288</v>
      </c>
    </row>
    <row r="56" spans="1:43" hidden="1" x14ac:dyDescent="0.3">
      <c r="A56">
        <v>52</v>
      </c>
      <c r="B56" t="s">
        <v>991</v>
      </c>
      <c r="C56" t="s">
        <v>6</v>
      </c>
      <c r="L56">
        <v>12</v>
      </c>
      <c r="X56">
        <v>8</v>
      </c>
      <c r="AB56">
        <v>0.2</v>
      </c>
      <c r="AE56">
        <v>15</v>
      </c>
      <c r="AH56" t="s">
        <v>992</v>
      </c>
      <c r="AI56" t="s">
        <v>993</v>
      </c>
      <c r="AL56">
        <v>4</v>
      </c>
      <c r="AM56" t="s">
        <v>994</v>
      </c>
      <c r="AN56" t="s">
        <v>743</v>
      </c>
      <c r="AO56" t="s">
        <v>995</v>
      </c>
      <c r="AP56" t="s">
        <v>160</v>
      </c>
      <c r="AQ56" t="s">
        <v>288</v>
      </c>
    </row>
    <row r="57" spans="1:43" hidden="1" x14ac:dyDescent="0.3">
      <c r="A57">
        <v>53</v>
      </c>
      <c r="B57" t="s">
        <v>991</v>
      </c>
      <c r="C57" t="s">
        <v>6</v>
      </c>
      <c r="L57">
        <v>6</v>
      </c>
      <c r="X57">
        <v>8.5</v>
      </c>
      <c r="AB57">
        <v>0.2</v>
      </c>
      <c r="AE57">
        <v>15</v>
      </c>
      <c r="AH57" t="s">
        <v>992</v>
      </c>
      <c r="AI57" t="s">
        <v>993</v>
      </c>
      <c r="AL57">
        <v>1</v>
      </c>
      <c r="AM57" t="s">
        <v>994</v>
      </c>
      <c r="AN57" t="s">
        <v>743</v>
      </c>
      <c r="AO57" t="s">
        <v>995</v>
      </c>
      <c r="AP57" t="s">
        <v>160</v>
      </c>
      <c r="AQ57" t="s">
        <v>288</v>
      </c>
    </row>
    <row r="58" spans="1:43" hidden="1" x14ac:dyDescent="0.3">
      <c r="A58">
        <v>54</v>
      </c>
      <c r="B58" t="s">
        <v>991</v>
      </c>
      <c r="C58" t="s">
        <v>6</v>
      </c>
      <c r="L58">
        <v>9</v>
      </c>
      <c r="X58">
        <v>8.5</v>
      </c>
      <c r="AB58">
        <v>0.2</v>
      </c>
      <c r="AE58">
        <v>15</v>
      </c>
      <c r="AH58" t="s">
        <v>992</v>
      </c>
      <c r="AI58" t="s">
        <v>993</v>
      </c>
      <c r="AL58">
        <v>2</v>
      </c>
      <c r="AM58" t="s">
        <v>994</v>
      </c>
      <c r="AN58" t="s">
        <v>743</v>
      </c>
      <c r="AO58" t="s">
        <v>995</v>
      </c>
      <c r="AP58" t="s">
        <v>160</v>
      </c>
      <c r="AQ58" t="s">
        <v>288</v>
      </c>
    </row>
    <row r="59" spans="1:43" hidden="1" x14ac:dyDescent="0.3">
      <c r="A59">
        <v>55</v>
      </c>
      <c r="B59" t="s">
        <v>991</v>
      </c>
      <c r="C59" t="s">
        <v>6</v>
      </c>
      <c r="L59">
        <v>12</v>
      </c>
      <c r="X59">
        <v>8.5</v>
      </c>
      <c r="AB59">
        <v>0.2</v>
      </c>
      <c r="AE59">
        <v>15</v>
      </c>
      <c r="AH59" t="s">
        <v>992</v>
      </c>
      <c r="AI59" t="s">
        <v>993</v>
      </c>
      <c r="AL59">
        <v>3</v>
      </c>
      <c r="AM59" t="s">
        <v>994</v>
      </c>
      <c r="AN59" t="s">
        <v>743</v>
      </c>
      <c r="AO59" t="s">
        <v>995</v>
      </c>
      <c r="AP59" t="s">
        <v>160</v>
      </c>
      <c r="AQ59" t="s">
        <v>288</v>
      </c>
    </row>
    <row r="60" spans="1:43" hidden="1" x14ac:dyDescent="0.3">
      <c r="A60">
        <v>56</v>
      </c>
      <c r="B60" t="s">
        <v>991</v>
      </c>
      <c r="C60" t="s">
        <v>6</v>
      </c>
      <c r="L60">
        <v>15</v>
      </c>
      <c r="X60">
        <v>8.5</v>
      </c>
      <c r="AB60">
        <v>0.2</v>
      </c>
      <c r="AE60">
        <v>15</v>
      </c>
      <c r="AH60" t="s">
        <v>992</v>
      </c>
      <c r="AI60" t="s">
        <v>993</v>
      </c>
      <c r="AL60">
        <v>4</v>
      </c>
      <c r="AM60" t="s">
        <v>994</v>
      </c>
      <c r="AN60" t="s">
        <v>743</v>
      </c>
      <c r="AO60" t="s">
        <v>995</v>
      </c>
      <c r="AP60" t="s">
        <v>160</v>
      </c>
      <c r="AQ60" t="s">
        <v>288</v>
      </c>
    </row>
    <row r="61" spans="1:43" hidden="1" x14ac:dyDescent="0.3">
      <c r="A61">
        <v>57</v>
      </c>
      <c r="B61" t="s">
        <v>991</v>
      </c>
      <c r="C61" t="s">
        <v>6</v>
      </c>
      <c r="L61">
        <v>6</v>
      </c>
      <c r="X61">
        <v>9</v>
      </c>
      <c r="AB61">
        <v>0.2</v>
      </c>
      <c r="AE61">
        <v>15</v>
      </c>
      <c r="AH61" t="s">
        <v>992</v>
      </c>
      <c r="AI61" t="s">
        <v>993</v>
      </c>
      <c r="AL61">
        <v>1</v>
      </c>
      <c r="AM61" t="s">
        <v>994</v>
      </c>
      <c r="AN61" t="s">
        <v>743</v>
      </c>
      <c r="AO61" t="s">
        <v>995</v>
      </c>
      <c r="AP61" t="s">
        <v>160</v>
      </c>
      <c r="AQ61" t="s">
        <v>288</v>
      </c>
    </row>
    <row r="62" spans="1:43" hidden="1" x14ac:dyDescent="0.3">
      <c r="A62">
        <v>58</v>
      </c>
      <c r="B62" t="s">
        <v>991</v>
      </c>
      <c r="C62" t="s">
        <v>6</v>
      </c>
      <c r="L62">
        <v>10</v>
      </c>
      <c r="X62">
        <v>9</v>
      </c>
      <c r="AB62">
        <v>0.2</v>
      </c>
      <c r="AE62">
        <v>15</v>
      </c>
      <c r="AH62" t="s">
        <v>992</v>
      </c>
      <c r="AI62" t="s">
        <v>993</v>
      </c>
      <c r="AL62">
        <v>2</v>
      </c>
      <c r="AM62" t="s">
        <v>994</v>
      </c>
      <c r="AN62" t="s">
        <v>743</v>
      </c>
      <c r="AO62" t="s">
        <v>995</v>
      </c>
      <c r="AP62" t="s">
        <v>160</v>
      </c>
      <c r="AQ62" t="s">
        <v>288</v>
      </c>
    </row>
    <row r="63" spans="1:43" hidden="1" x14ac:dyDescent="0.3">
      <c r="A63">
        <v>59</v>
      </c>
      <c r="B63" t="s">
        <v>991</v>
      </c>
      <c r="C63" t="s">
        <v>6</v>
      </c>
      <c r="L63">
        <v>14</v>
      </c>
      <c r="X63">
        <v>9</v>
      </c>
      <c r="AB63">
        <v>0.2</v>
      </c>
      <c r="AE63">
        <v>15</v>
      </c>
      <c r="AH63" t="s">
        <v>992</v>
      </c>
      <c r="AI63" t="s">
        <v>993</v>
      </c>
      <c r="AL63">
        <v>3</v>
      </c>
      <c r="AM63" t="s">
        <v>994</v>
      </c>
      <c r="AN63" t="s">
        <v>743</v>
      </c>
      <c r="AO63" t="s">
        <v>995</v>
      </c>
      <c r="AP63" t="s">
        <v>160</v>
      </c>
      <c r="AQ63" t="s">
        <v>288</v>
      </c>
    </row>
    <row r="64" spans="1:43" hidden="1" x14ac:dyDescent="0.3">
      <c r="A64">
        <v>60</v>
      </c>
      <c r="B64" t="s">
        <v>991</v>
      </c>
      <c r="C64" t="s">
        <v>6</v>
      </c>
      <c r="L64">
        <v>17</v>
      </c>
      <c r="X64">
        <v>9</v>
      </c>
      <c r="AB64">
        <v>0.2</v>
      </c>
      <c r="AE64">
        <v>15</v>
      </c>
      <c r="AH64" t="s">
        <v>992</v>
      </c>
      <c r="AI64" t="s">
        <v>993</v>
      </c>
      <c r="AL64">
        <v>4</v>
      </c>
      <c r="AM64" t="s">
        <v>994</v>
      </c>
      <c r="AN64" t="s">
        <v>743</v>
      </c>
      <c r="AO64" t="s">
        <v>995</v>
      </c>
      <c r="AP64" t="s">
        <v>160</v>
      </c>
      <c r="AQ64" t="s">
        <v>288</v>
      </c>
    </row>
    <row r="65" spans="1:43" hidden="1" x14ac:dyDescent="0.3">
      <c r="A65">
        <v>61</v>
      </c>
      <c r="B65" t="s">
        <v>991</v>
      </c>
      <c r="C65" t="s">
        <v>6</v>
      </c>
      <c r="L65">
        <v>2</v>
      </c>
      <c r="X65">
        <v>7</v>
      </c>
      <c r="AB65">
        <v>0.2</v>
      </c>
      <c r="AE65">
        <v>20</v>
      </c>
      <c r="AH65" t="s">
        <v>992</v>
      </c>
      <c r="AI65" t="s">
        <v>993</v>
      </c>
      <c r="AL65">
        <v>1</v>
      </c>
      <c r="AM65" t="s">
        <v>994</v>
      </c>
      <c r="AN65" t="s">
        <v>743</v>
      </c>
      <c r="AO65" t="s">
        <v>995</v>
      </c>
      <c r="AP65" t="s">
        <v>160</v>
      </c>
      <c r="AQ65" t="s">
        <v>288</v>
      </c>
    </row>
    <row r="66" spans="1:43" hidden="1" x14ac:dyDescent="0.3">
      <c r="A66">
        <v>62</v>
      </c>
      <c r="B66" t="s">
        <v>991</v>
      </c>
      <c r="C66" t="s">
        <v>6</v>
      </c>
      <c r="L66">
        <v>2</v>
      </c>
      <c r="X66">
        <v>7</v>
      </c>
      <c r="AB66">
        <v>0.2</v>
      </c>
      <c r="AE66">
        <v>20</v>
      </c>
      <c r="AH66" t="s">
        <v>992</v>
      </c>
      <c r="AI66" t="s">
        <v>993</v>
      </c>
      <c r="AL66">
        <v>2</v>
      </c>
      <c r="AM66" t="s">
        <v>994</v>
      </c>
      <c r="AN66" t="s">
        <v>743</v>
      </c>
      <c r="AO66" t="s">
        <v>995</v>
      </c>
      <c r="AP66" t="s">
        <v>160</v>
      </c>
      <c r="AQ66" t="s">
        <v>288</v>
      </c>
    </row>
    <row r="67" spans="1:43" hidden="1" x14ac:dyDescent="0.3">
      <c r="A67">
        <v>63</v>
      </c>
      <c r="B67" t="s">
        <v>991</v>
      </c>
      <c r="C67" t="s">
        <v>6</v>
      </c>
      <c r="L67">
        <v>3</v>
      </c>
      <c r="X67">
        <v>7</v>
      </c>
      <c r="AB67">
        <v>0.2</v>
      </c>
      <c r="AE67">
        <v>20</v>
      </c>
      <c r="AH67" t="s">
        <v>992</v>
      </c>
      <c r="AI67" t="s">
        <v>993</v>
      </c>
      <c r="AL67">
        <v>3</v>
      </c>
      <c r="AM67" t="s">
        <v>994</v>
      </c>
      <c r="AN67" t="s">
        <v>743</v>
      </c>
      <c r="AO67" t="s">
        <v>995</v>
      </c>
      <c r="AP67" t="s">
        <v>160</v>
      </c>
      <c r="AQ67" t="s">
        <v>288</v>
      </c>
    </row>
    <row r="68" spans="1:43" hidden="1" x14ac:dyDescent="0.3">
      <c r="A68">
        <v>64</v>
      </c>
      <c r="B68" t="s">
        <v>991</v>
      </c>
      <c r="C68" t="s">
        <v>6</v>
      </c>
      <c r="L68">
        <v>3</v>
      </c>
      <c r="X68">
        <v>7</v>
      </c>
      <c r="AB68">
        <v>0.2</v>
      </c>
      <c r="AE68">
        <v>20</v>
      </c>
      <c r="AH68" t="s">
        <v>992</v>
      </c>
      <c r="AI68" t="s">
        <v>993</v>
      </c>
      <c r="AL68">
        <v>4</v>
      </c>
      <c r="AM68" t="s">
        <v>994</v>
      </c>
      <c r="AN68" t="s">
        <v>743</v>
      </c>
      <c r="AO68" t="s">
        <v>995</v>
      </c>
      <c r="AP68" t="s">
        <v>160</v>
      </c>
      <c r="AQ68" t="s">
        <v>288</v>
      </c>
    </row>
    <row r="69" spans="1:43" hidden="1" x14ac:dyDescent="0.3">
      <c r="A69">
        <v>65</v>
      </c>
      <c r="B69" t="s">
        <v>991</v>
      </c>
      <c r="C69" t="s">
        <v>6</v>
      </c>
      <c r="L69">
        <v>3</v>
      </c>
      <c r="X69">
        <v>7.5</v>
      </c>
      <c r="AB69">
        <v>0.2</v>
      </c>
      <c r="AE69">
        <v>20</v>
      </c>
      <c r="AH69" t="s">
        <v>992</v>
      </c>
      <c r="AI69" t="s">
        <v>993</v>
      </c>
      <c r="AL69">
        <v>1</v>
      </c>
      <c r="AM69" t="s">
        <v>994</v>
      </c>
      <c r="AN69" t="s">
        <v>743</v>
      </c>
      <c r="AO69" t="s">
        <v>995</v>
      </c>
      <c r="AP69" t="s">
        <v>160</v>
      </c>
      <c r="AQ69" t="s">
        <v>288</v>
      </c>
    </row>
    <row r="70" spans="1:43" hidden="1" x14ac:dyDescent="0.3">
      <c r="A70">
        <v>66</v>
      </c>
      <c r="B70" t="s">
        <v>991</v>
      </c>
      <c r="C70" t="s">
        <v>6</v>
      </c>
      <c r="L70">
        <v>4</v>
      </c>
      <c r="X70">
        <v>7.5</v>
      </c>
      <c r="AB70">
        <v>0.2</v>
      </c>
      <c r="AE70">
        <v>20</v>
      </c>
      <c r="AH70" t="s">
        <v>992</v>
      </c>
      <c r="AI70" t="s">
        <v>993</v>
      </c>
      <c r="AL70">
        <v>2</v>
      </c>
      <c r="AM70" t="s">
        <v>994</v>
      </c>
      <c r="AN70" t="s">
        <v>743</v>
      </c>
      <c r="AO70" t="s">
        <v>995</v>
      </c>
      <c r="AP70" t="s">
        <v>160</v>
      </c>
      <c r="AQ70" t="s">
        <v>288</v>
      </c>
    </row>
    <row r="71" spans="1:43" hidden="1" x14ac:dyDescent="0.3">
      <c r="A71">
        <v>67</v>
      </c>
      <c r="B71" t="s">
        <v>991</v>
      </c>
      <c r="C71" t="s">
        <v>6</v>
      </c>
      <c r="L71">
        <v>5</v>
      </c>
      <c r="X71">
        <v>7.5</v>
      </c>
      <c r="AB71">
        <v>0.2</v>
      </c>
      <c r="AE71">
        <v>20</v>
      </c>
      <c r="AH71" t="s">
        <v>992</v>
      </c>
      <c r="AI71" t="s">
        <v>993</v>
      </c>
      <c r="AL71">
        <v>3</v>
      </c>
      <c r="AM71" t="s">
        <v>994</v>
      </c>
      <c r="AN71" t="s">
        <v>743</v>
      </c>
      <c r="AO71" t="s">
        <v>995</v>
      </c>
      <c r="AP71" t="s">
        <v>160</v>
      </c>
      <c r="AQ71" t="s">
        <v>288</v>
      </c>
    </row>
    <row r="72" spans="1:43" hidden="1" x14ac:dyDescent="0.3">
      <c r="A72">
        <v>68</v>
      </c>
      <c r="B72" t="s">
        <v>991</v>
      </c>
      <c r="C72" t="s">
        <v>6</v>
      </c>
      <c r="L72">
        <v>6</v>
      </c>
      <c r="X72">
        <v>7.5</v>
      </c>
      <c r="AB72">
        <v>0.2</v>
      </c>
      <c r="AE72">
        <v>20</v>
      </c>
      <c r="AH72" t="s">
        <v>992</v>
      </c>
      <c r="AI72" t="s">
        <v>993</v>
      </c>
      <c r="AL72">
        <v>4</v>
      </c>
      <c r="AM72" t="s">
        <v>994</v>
      </c>
      <c r="AN72" t="s">
        <v>743</v>
      </c>
      <c r="AO72" t="s">
        <v>995</v>
      </c>
      <c r="AP72" t="s">
        <v>160</v>
      </c>
      <c r="AQ72" t="s">
        <v>288</v>
      </c>
    </row>
    <row r="73" spans="1:43" hidden="1" x14ac:dyDescent="0.3">
      <c r="A73">
        <v>69</v>
      </c>
      <c r="B73" t="s">
        <v>991</v>
      </c>
      <c r="C73" t="s">
        <v>6</v>
      </c>
      <c r="L73">
        <v>3</v>
      </c>
      <c r="X73">
        <v>8</v>
      </c>
      <c r="AB73">
        <v>0.2</v>
      </c>
      <c r="AE73">
        <v>20</v>
      </c>
      <c r="AH73" t="s">
        <v>992</v>
      </c>
      <c r="AI73" t="s">
        <v>993</v>
      </c>
      <c r="AL73">
        <v>1</v>
      </c>
      <c r="AM73" t="s">
        <v>994</v>
      </c>
      <c r="AN73" t="s">
        <v>743</v>
      </c>
      <c r="AO73" t="s">
        <v>995</v>
      </c>
      <c r="AP73" t="s">
        <v>160</v>
      </c>
      <c r="AQ73" t="s">
        <v>288</v>
      </c>
    </row>
    <row r="74" spans="1:43" hidden="1" x14ac:dyDescent="0.3">
      <c r="A74">
        <v>70</v>
      </c>
      <c r="B74" t="s">
        <v>991</v>
      </c>
      <c r="C74" t="s">
        <v>6</v>
      </c>
      <c r="L74">
        <v>5</v>
      </c>
      <c r="X74">
        <v>8</v>
      </c>
      <c r="AB74">
        <v>0.2</v>
      </c>
      <c r="AE74">
        <v>20</v>
      </c>
      <c r="AH74" t="s">
        <v>992</v>
      </c>
      <c r="AI74" t="s">
        <v>993</v>
      </c>
      <c r="AL74">
        <v>2</v>
      </c>
      <c r="AM74" t="s">
        <v>994</v>
      </c>
      <c r="AN74" t="s">
        <v>743</v>
      </c>
      <c r="AO74" t="s">
        <v>995</v>
      </c>
      <c r="AP74" t="s">
        <v>160</v>
      </c>
      <c r="AQ74" t="s">
        <v>288</v>
      </c>
    </row>
    <row r="75" spans="1:43" hidden="1" x14ac:dyDescent="0.3">
      <c r="A75">
        <v>71</v>
      </c>
      <c r="B75" t="s">
        <v>991</v>
      </c>
      <c r="C75" t="s">
        <v>6</v>
      </c>
      <c r="L75">
        <v>7</v>
      </c>
      <c r="X75">
        <v>8</v>
      </c>
      <c r="AB75">
        <v>0.2</v>
      </c>
      <c r="AE75">
        <v>20</v>
      </c>
      <c r="AH75" t="s">
        <v>992</v>
      </c>
      <c r="AI75" t="s">
        <v>993</v>
      </c>
      <c r="AL75">
        <v>3</v>
      </c>
      <c r="AM75" t="s">
        <v>994</v>
      </c>
      <c r="AN75" t="s">
        <v>743</v>
      </c>
      <c r="AO75" t="s">
        <v>995</v>
      </c>
      <c r="AP75" t="s">
        <v>160</v>
      </c>
      <c r="AQ75" t="s">
        <v>288</v>
      </c>
    </row>
    <row r="76" spans="1:43" hidden="1" x14ac:dyDescent="0.3">
      <c r="A76">
        <v>72</v>
      </c>
      <c r="B76" t="s">
        <v>991</v>
      </c>
      <c r="C76" t="s">
        <v>6</v>
      </c>
      <c r="L76">
        <v>8</v>
      </c>
      <c r="X76">
        <v>8</v>
      </c>
      <c r="AB76">
        <v>0.2</v>
      </c>
      <c r="AE76">
        <v>20</v>
      </c>
      <c r="AH76" t="s">
        <v>992</v>
      </c>
      <c r="AI76" t="s">
        <v>993</v>
      </c>
      <c r="AL76">
        <v>4</v>
      </c>
      <c r="AM76" t="s">
        <v>994</v>
      </c>
      <c r="AN76" t="s">
        <v>743</v>
      </c>
      <c r="AO76" t="s">
        <v>995</v>
      </c>
      <c r="AP76" t="s">
        <v>160</v>
      </c>
      <c r="AQ76" t="s">
        <v>288</v>
      </c>
    </row>
    <row r="77" spans="1:43" hidden="1" x14ac:dyDescent="0.3">
      <c r="A77">
        <v>73</v>
      </c>
      <c r="B77" t="s">
        <v>991</v>
      </c>
      <c r="C77" t="s">
        <v>6</v>
      </c>
      <c r="L77">
        <v>4</v>
      </c>
      <c r="X77">
        <v>8.5</v>
      </c>
      <c r="AB77">
        <v>0.2</v>
      </c>
      <c r="AE77">
        <v>20</v>
      </c>
      <c r="AH77" t="s">
        <v>992</v>
      </c>
      <c r="AI77" t="s">
        <v>993</v>
      </c>
      <c r="AL77">
        <v>1</v>
      </c>
      <c r="AM77" t="s">
        <v>994</v>
      </c>
      <c r="AN77" t="s">
        <v>743</v>
      </c>
      <c r="AO77" t="s">
        <v>995</v>
      </c>
      <c r="AP77" t="s">
        <v>160</v>
      </c>
      <c r="AQ77" t="s">
        <v>288</v>
      </c>
    </row>
    <row r="78" spans="1:43" hidden="1" x14ac:dyDescent="0.3">
      <c r="A78">
        <v>74</v>
      </c>
      <c r="B78" t="s">
        <v>991</v>
      </c>
      <c r="C78" t="s">
        <v>6</v>
      </c>
      <c r="L78">
        <v>6</v>
      </c>
      <c r="X78">
        <v>8.5</v>
      </c>
      <c r="AB78">
        <v>0.2</v>
      </c>
      <c r="AE78">
        <v>20</v>
      </c>
      <c r="AH78" t="s">
        <v>992</v>
      </c>
      <c r="AI78" t="s">
        <v>993</v>
      </c>
      <c r="AL78">
        <v>2</v>
      </c>
      <c r="AM78" t="s">
        <v>994</v>
      </c>
      <c r="AN78" t="s">
        <v>743</v>
      </c>
      <c r="AO78" t="s">
        <v>995</v>
      </c>
      <c r="AP78" t="s">
        <v>160</v>
      </c>
      <c r="AQ78" t="s">
        <v>288</v>
      </c>
    </row>
    <row r="79" spans="1:43" hidden="1" x14ac:dyDescent="0.3">
      <c r="A79">
        <v>75</v>
      </c>
      <c r="B79" t="s">
        <v>991</v>
      </c>
      <c r="C79" t="s">
        <v>6</v>
      </c>
      <c r="L79">
        <v>9</v>
      </c>
      <c r="X79">
        <v>8.5</v>
      </c>
      <c r="AB79">
        <v>0.2</v>
      </c>
      <c r="AE79">
        <v>20</v>
      </c>
      <c r="AH79" t="s">
        <v>992</v>
      </c>
      <c r="AI79" t="s">
        <v>993</v>
      </c>
      <c r="AL79">
        <v>3</v>
      </c>
      <c r="AM79" t="s">
        <v>994</v>
      </c>
      <c r="AN79" t="s">
        <v>743</v>
      </c>
      <c r="AO79" t="s">
        <v>995</v>
      </c>
      <c r="AP79" t="s">
        <v>160</v>
      </c>
      <c r="AQ79" t="s">
        <v>288</v>
      </c>
    </row>
    <row r="80" spans="1:43" hidden="1" x14ac:dyDescent="0.3">
      <c r="A80">
        <v>76</v>
      </c>
      <c r="B80" t="s">
        <v>991</v>
      </c>
      <c r="C80" t="s">
        <v>6</v>
      </c>
      <c r="L80">
        <v>10</v>
      </c>
      <c r="X80">
        <v>8.5</v>
      </c>
      <c r="AB80">
        <v>0.2</v>
      </c>
      <c r="AE80">
        <v>20</v>
      </c>
      <c r="AH80" t="s">
        <v>992</v>
      </c>
      <c r="AI80" t="s">
        <v>993</v>
      </c>
      <c r="AL80">
        <v>4</v>
      </c>
      <c r="AM80" t="s">
        <v>994</v>
      </c>
      <c r="AN80" t="s">
        <v>743</v>
      </c>
      <c r="AO80" t="s">
        <v>995</v>
      </c>
      <c r="AP80" t="s">
        <v>160</v>
      </c>
      <c r="AQ80" t="s">
        <v>288</v>
      </c>
    </row>
    <row r="81" spans="1:43" hidden="1" x14ac:dyDescent="0.3">
      <c r="A81">
        <v>77</v>
      </c>
      <c r="B81" t="s">
        <v>991</v>
      </c>
      <c r="C81" t="s">
        <v>6</v>
      </c>
      <c r="L81">
        <v>5</v>
      </c>
      <c r="X81">
        <v>9</v>
      </c>
      <c r="AB81">
        <v>0.2</v>
      </c>
      <c r="AE81">
        <v>20</v>
      </c>
      <c r="AH81" t="s">
        <v>992</v>
      </c>
      <c r="AI81" t="s">
        <v>993</v>
      </c>
      <c r="AL81">
        <v>1</v>
      </c>
      <c r="AM81" t="s">
        <v>994</v>
      </c>
      <c r="AN81" t="s">
        <v>743</v>
      </c>
      <c r="AO81" t="s">
        <v>995</v>
      </c>
      <c r="AP81" t="s">
        <v>160</v>
      </c>
      <c r="AQ81" t="s">
        <v>288</v>
      </c>
    </row>
    <row r="82" spans="1:43" hidden="1" x14ac:dyDescent="0.3">
      <c r="A82">
        <v>78</v>
      </c>
      <c r="B82" t="s">
        <v>991</v>
      </c>
      <c r="C82" t="s">
        <v>6</v>
      </c>
      <c r="L82">
        <v>7</v>
      </c>
      <c r="X82">
        <v>9</v>
      </c>
      <c r="AB82">
        <v>0.2</v>
      </c>
      <c r="AE82">
        <v>20</v>
      </c>
      <c r="AH82" t="s">
        <v>992</v>
      </c>
      <c r="AI82" t="s">
        <v>993</v>
      </c>
      <c r="AL82">
        <v>2</v>
      </c>
      <c r="AM82" t="s">
        <v>994</v>
      </c>
      <c r="AN82" t="s">
        <v>743</v>
      </c>
      <c r="AO82" t="s">
        <v>995</v>
      </c>
      <c r="AP82" t="s">
        <v>160</v>
      </c>
      <c r="AQ82" t="s">
        <v>288</v>
      </c>
    </row>
    <row r="83" spans="1:43" hidden="1" x14ac:dyDescent="0.3">
      <c r="A83">
        <v>79</v>
      </c>
      <c r="B83" t="s">
        <v>991</v>
      </c>
      <c r="C83" t="s">
        <v>6</v>
      </c>
      <c r="L83">
        <v>10</v>
      </c>
      <c r="X83">
        <v>9</v>
      </c>
      <c r="AB83">
        <v>0.2</v>
      </c>
      <c r="AE83">
        <v>20</v>
      </c>
      <c r="AH83" t="s">
        <v>992</v>
      </c>
      <c r="AI83" t="s">
        <v>993</v>
      </c>
      <c r="AL83">
        <v>3</v>
      </c>
      <c r="AM83" t="s">
        <v>994</v>
      </c>
      <c r="AN83" t="s">
        <v>743</v>
      </c>
      <c r="AO83" t="s">
        <v>995</v>
      </c>
      <c r="AP83" t="s">
        <v>160</v>
      </c>
      <c r="AQ83" t="s">
        <v>288</v>
      </c>
    </row>
    <row r="84" spans="1:43" hidden="1" x14ac:dyDescent="0.3">
      <c r="A84">
        <v>80</v>
      </c>
      <c r="B84" t="s">
        <v>991</v>
      </c>
      <c r="C84" t="s">
        <v>6</v>
      </c>
      <c r="L84">
        <v>12</v>
      </c>
      <c r="X84">
        <v>9</v>
      </c>
      <c r="AB84">
        <v>0.2</v>
      </c>
      <c r="AE84">
        <v>20</v>
      </c>
      <c r="AH84" t="s">
        <v>992</v>
      </c>
      <c r="AI84" t="s">
        <v>993</v>
      </c>
      <c r="AL84">
        <v>4</v>
      </c>
      <c r="AM84" t="s">
        <v>994</v>
      </c>
      <c r="AN84" t="s">
        <v>743</v>
      </c>
      <c r="AO84" t="s">
        <v>995</v>
      </c>
      <c r="AP84" t="s">
        <v>160</v>
      </c>
      <c r="AQ84" t="s">
        <v>288</v>
      </c>
    </row>
    <row r="85" spans="1:43" hidden="1" x14ac:dyDescent="0.3">
      <c r="A85">
        <v>81</v>
      </c>
      <c r="B85" t="s">
        <v>991</v>
      </c>
      <c r="C85" t="s">
        <v>6</v>
      </c>
      <c r="L85">
        <v>1</v>
      </c>
      <c r="X85">
        <v>7</v>
      </c>
      <c r="AB85">
        <v>0.2</v>
      </c>
      <c r="AE85">
        <v>25</v>
      </c>
      <c r="AH85" t="s">
        <v>992</v>
      </c>
      <c r="AI85" t="s">
        <v>993</v>
      </c>
      <c r="AL85">
        <v>1</v>
      </c>
      <c r="AM85" t="s">
        <v>994</v>
      </c>
      <c r="AN85" t="s">
        <v>743</v>
      </c>
      <c r="AO85" t="s">
        <v>995</v>
      </c>
      <c r="AP85" t="s">
        <v>160</v>
      </c>
      <c r="AQ85" t="s">
        <v>288</v>
      </c>
    </row>
    <row r="86" spans="1:43" hidden="1" x14ac:dyDescent="0.3">
      <c r="A86">
        <v>82</v>
      </c>
      <c r="B86" t="s">
        <v>991</v>
      </c>
      <c r="C86" t="s">
        <v>6</v>
      </c>
      <c r="L86">
        <v>2</v>
      </c>
      <c r="X86">
        <v>7</v>
      </c>
      <c r="AB86">
        <v>0.2</v>
      </c>
      <c r="AE86">
        <v>25</v>
      </c>
      <c r="AH86" t="s">
        <v>992</v>
      </c>
      <c r="AI86" t="s">
        <v>993</v>
      </c>
      <c r="AL86">
        <v>2</v>
      </c>
      <c r="AM86" t="s">
        <v>994</v>
      </c>
      <c r="AN86" t="s">
        <v>743</v>
      </c>
      <c r="AO86" t="s">
        <v>995</v>
      </c>
      <c r="AP86" t="s">
        <v>160</v>
      </c>
      <c r="AQ86" t="s">
        <v>288</v>
      </c>
    </row>
    <row r="87" spans="1:43" hidden="1" x14ac:dyDescent="0.3">
      <c r="A87">
        <v>83</v>
      </c>
      <c r="B87" t="s">
        <v>991</v>
      </c>
      <c r="C87" t="s">
        <v>6</v>
      </c>
      <c r="L87">
        <v>2</v>
      </c>
      <c r="X87">
        <v>7</v>
      </c>
      <c r="AB87">
        <v>0.2</v>
      </c>
      <c r="AE87">
        <v>25</v>
      </c>
      <c r="AH87" t="s">
        <v>992</v>
      </c>
      <c r="AI87" t="s">
        <v>993</v>
      </c>
      <c r="AL87">
        <v>3</v>
      </c>
      <c r="AM87" t="s">
        <v>994</v>
      </c>
      <c r="AN87" t="s">
        <v>743</v>
      </c>
      <c r="AO87" t="s">
        <v>995</v>
      </c>
      <c r="AP87" t="s">
        <v>160</v>
      </c>
      <c r="AQ87" t="s">
        <v>288</v>
      </c>
    </row>
    <row r="88" spans="1:43" hidden="1" x14ac:dyDescent="0.3">
      <c r="A88">
        <v>84</v>
      </c>
      <c r="B88" t="s">
        <v>991</v>
      </c>
      <c r="C88" t="s">
        <v>6</v>
      </c>
      <c r="L88">
        <v>2</v>
      </c>
      <c r="X88">
        <v>7</v>
      </c>
      <c r="AB88">
        <v>0.2</v>
      </c>
      <c r="AE88">
        <v>25</v>
      </c>
      <c r="AH88" t="s">
        <v>992</v>
      </c>
      <c r="AI88" t="s">
        <v>993</v>
      </c>
      <c r="AL88">
        <v>4</v>
      </c>
      <c r="AM88" t="s">
        <v>994</v>
      </c>
      <c r="AN88" t="s">
        <v>743</v>
      </c>
      <c r="AO88" t="s">
        <v>995</v>
      </c>
      <c r="AP88" t="s">
        <v>160</v>
      </c>
      <c r="AQ88" t="s">
        <v>288</v>
      </c>
    </row>
    <row r="89" spans="1:43" hidden="1" x14ac:dyDescent="0.3">
      <c r="A89">
        <v>85</v>
      </c>
      <c r="B89" t="s">
        <v>991</v>
      </c>
      <c r="C89" t="s">
        <v>6</v>
      </c>
      <c r="L89">
        <v>2</v>
      </c>
      <c r="X89">
        <v>7.5</v>
      </c>
      <c r="AB89">
        <v>0.2</v>
      </c>
      <c r="AE89">
        <v>25</v>
      </c>
      <c r="AH89" t="s">
        <v>992</v>
      </c>
      <c r="AI89" t="s">
        <v>993</v>
      </c>
      <c r="AL89">
        <v>1</v>
      </c>
      <c r="AM89" t="s">
        <v>994</v>
      </c>
      <c r="AN89" t="s">
        <v>743</v>
      </c>
      <c r="AO89" t="s">
        <v>995</v>
      </c>
      <c r="AP89" t="s">
        <v>160</v>
      </c>
      <c r="AQ89" t="s">
        <v>288</v>
      </c>
    </row>
    <row r="90" spans="1:43" hidden="1" x14ac:dyDescent="0.3">
      <c r="A90">
        <v>86</v>
      </c>
      <c r="B90" t="s">
        <v>991</v>
      </c>
      <c r="C90" t="s">
        <v>6</v>
      </c>
      <c r="L90">
        <v>3</v>
      </c>
      <c r="X90">
        <v>7.5</v>
      </c>
      <c r="AB90">
        <v>0.2</v>
      </c>
      <c r="AE90">
        <v>25</v>
      </c>
      <c r="AH90" t="s">
        <v>992</v>
      </c>
      <c r="AI90" t="s">
        <v>993</v>
      </c>
      <c r="AL90">
        <v>2</v>
      </c>
      <c r="AM90" t="s">
        <v>994</v>
      </c>
      <c r="AN90" t="s">
        <v>743</v>
      </c>
      <c r="AO90" t="s">
        <v>995</v>
      </c>
      <c r="AP90" t="s">
        <v>160</v>
      </c>
      <c r="AQ90" t="s">
        <v>288</v>
      </c>
    </row>
    <row r="91" spans="1:43" hidden="1" x14ac:dyDescent="0.3">
      <c r="A91">
        <v>87</v>
      </c>
      <c r="B91" t="s">
        <v>991</v>
      </c>
      <c r="C91" t="s">
        <v>6</v>
      </c>
      <c r="L91">
        <v>4</v>
      </c>
      <c r="X91">
        <v>7.5</v>
      </c>
      <c r="AB91">
        <v>0.2</v>
      </c>
      <c r="AE91">
        <v>25</v>
      </c>
      <c r="AH91" t="s">
        <v>992</v>
      </c>
      <c r="AI91" t="s">
        <v>993</v>
      </c>
      <c r="AL91">
        <v>3</v>
      </c>
      <c r="AM91" t="s">
        <v>994</v>
      </c>
      <c r="AN91" t="s">
        <v>743</v>
      </c>
      <c r="AO91" t="s">
        <v>995</v>
      </c>
      <c r="AP91" t="s">
        <v>160</v>
      </c>
      <c r="AQ91" t="s">
        <v>288</v>
      </c>
    </row>
    <row r="92" spans="1:43" hidden="1" x14ac:dyDescent="0.3">
      <c r="A92">
        <v>88</v>
      </c>
      <c r="B92" t="s">
        <v>991</v>
      </c>
      <c r="C92" t="s">
        <v>6</v>
      </c>
      <c r="L92">
        <v>4</v>
      </c>
      <c r="X92">
        <v>7.5</v>
      </c>
      <c r="AB92">
        <v>0.2</v>
      </c>
      <c r="AE92">
        <v>25</v>
      </c>
      <c r="AH92" t="s">
        <v>992</v>
      </c>
      <c r="AI92" t="s">
        <v>993</v>
      </c>
      <c r="AL92">
        <v>4</v>
      </c>
      <c r="AM92" t="s">
        <v>994</v>
      </c>
      <c r="AN92" t="s">
        <v>743</v>
      </c>
      <c r="AO92" t="s">
        <v>995</v>
      </c>
      <c r="AP92" t="s">
        <v>160</v>
      </c>
      <c r="AQ92" t="s">
        <v>288</v>
      </c>
    </row>
    <row r="93" spans="1:43" hidden="1" x14ac:dyDescent="0.3">
      <c r="A93">
        <v>89</v>
      </c>
      <c r="B93" t="s">
        <v>991</v>
      </c>
      <c r="C93" t="s">
        <v>6</v>
      </c>
      <c r="L93">
        <v>3</v>
      </c>
      <c r="X93">
        <v>8</v>
      </c>
      <c r="AB93">
        <v>0.2</v>
      </c>
      <c r="AE93">
        <v>25</v>
      </c>
      <c r="AH93" t="s">
        <v>992</v>
      </c>
      <c r="AI93" t="s">
        <v>993</v>
      </c>
      <c r="AL93">
        <v>1</v>
      </c>
      <c r="AM93" t="s">
        <v>994</v>
      </c>
      <c r="AN93" t="s">
        <v>743</v>
      </c>
      <c r="AO93" t="s">
        <v>995</v>
      </c>
      <c r="AP93" t="s">
        <v>160</v>
      </c>
      <c r="AQ93" t="s">
        <v>288</v>
      </c>
    </row>
    <row r="94" spans="1:43" hidden="1" x14ac:dyDescent="0.3">
      <c r="A94">
        <v>90</v>
      </c>
      <c r="B94" t="s">
        <v>991</v>
      </c>
      <c r="C94" t="s">
        <v>6</v>
      </c>
      <c r="L94">
        <v>4</v>
      </c>
      <c r="X94">
        <v>8</v>
      </c>
      <c r="AB94">
        <v>0.2</v>
      </c>
      <c r="AE94">
        <v>25</v>
      </c>
      <c r="AH94" t="s">
        <v>992</v>
      </c>
      <c r="AI94" t="s">
        <v>993</v>
      </c>
      <c r="AL94">
        <v>2</v>
      </c>
      <c r="AM94" t="s">
        <v>994</v>
      </c>
      <c r="AN94" t="s">
        <v>743</v>
      </c>
      <c r="AO94" t="s">
        <v>995</v>
      </c>
      <c r="AP94" t="s">
        <v>160</v>
      </c>
      <c r="AQ94" t="s">
        <v>288</v>
      </c>
    </row>
    <row r="95" spans="1:43" hidden="1" x14ac:dyDescent="0.3">
      <c r="A95">
        <v>91</v>
      </c>
      <c r="B95" t="s">
        <v>991</v>
      </c>
      <c r="C95" t="s">
        <v>6</v>
      </c>
      <c r="L95">
        <v>5</v>
      </c>
      <c r="X95">
        <v>8</v>
      </c>
      <c r="AB95">
        <v>0.2</v>
      </c>
      <c r="AE95">
        <v>25</v>
      </c>
      <c r="AH95" t="s">
        <v>992</v>
      </c>
      <c r="AI95" t="s">
        <v>993</v>
      </c>
      <c r="AL95">
        <v>3</v>
      </c>
      <c r="AM95" t="s">
        <v>994</v>
      </c>
      <c r="AN95" t="s">
        <v>743</v>
      </c>
      <c r="AO95" t="s">
        <v>995</v>
      </c>
      <c r="AP95" t="s">
        <v>160</v>
      </c>
      <c r="AQ95" t="s">
        <v>288</v>
      </c>
    </row>
    <row r="96" spans="1:43" hidden="1" x14ac:dyDescent="0.3">
      <c r="A96">
        <v>92</v>
      </c>
      <c r="B96" t="s">
        <v>991</v>
      </c>
      <c r="C96" t="s">
        <v>6</v>
      </c>
      <c r="L96">
        <v>6</v>
      </c>
      <c r="X96">
        <v>8</v>
      </c>
      <c r="AB96">
        <v>0.2</v>
      </c>
      <c r="AE96">
        <v>25</v>
      </c>
      <c r="AH96" t="s">
        <v>992</v>
      </c>
      <c r="AI96" t="s">
        <v>993</v>
      </c>
      <c r="AL96">
        <v>4</v>
      </c>
      <c r="AM96" t="s">
        <v>994</v>
      </c>
      <c r="AN96" t="s">
        <v>743</v>
      </c>
      <c r="AO96" t="s">
        <v>995</v>
      </c>
      <c r="AP96" t="s">
        <v>160</v>
      </c>
      <c r="AQ96" t="s">
        <v>288</v>
      </c>
    </row>
    <row r="97" spans="1:43" hidden="1" x14ac:dyDescent="0.3">
      <c r="A97">
        <v>93</v>
      </c>
      <c r="B97" t="s">
        <v>991</v>
      </c>
      <c r="C97" t="s">
        <v>6</v>
      </c>
      <c r="L97">
        <v>3</v>
      </c>
      <c r="X97">
        <v>8.5</v>
      </c>
      <c r="AB97">
        <v>0.2</v>
      </c>
      <c r="AE97">
        <v>25</v>
      </c>
      <c r="AH97" t="s">
        <v>992</v>
      </c>
      <c r="AI97" t="s">
        <v>993</v>
      </c>
      <c r="AL97">
        <v>1</v>
      </c>
      <c r="AM97" t="s">
        <v>994</v>
      </c>
      <c r="AN97" t="s">
        <v>743</v>
      </c>
      <c r="AO97" t="s">
        <v>995</v>
      </c>
      <c r="AP97" t="s">
        <v>160</v>
      </c>
      <c r="AQ97" t="s">
        <v>288</v>
      </c>
    </row>
    <row r="98" spans="1:43" hidden="1" x14ac:dyDescent="0.3">
      <c r="A98">
        <v>94</v>
      </c>
      <c r="B98" t="s">
        <v>991</v>
      </c>
      <c r="C98" t="s">
        <v>6</v>
      </c>
      <c r="L98">
        <v>5</v>
      </c>
      <c r="X98">
        <v>8.5</v>
      </c>
      <c r="AB98">
        <v>0.2</v>
      </c>
      <c r="AE98">
        <v>25</v>
      </c>
      <c r="AH98" t="s">
        <v>992</v>
      </c>
      <c r="AI98" t="s">
        <v>993</v>
      </c>
      <c r="AL98">
        <v>2</v>
      </c>
      <c r="AM98" t="s">
        <v>994</v>
      </c>
      <c r="AN98" t="s">
        <v>743</v>
      </c>
      <c r="AO98" t="s">
        <v>995</v>
      </c>
      <c r="AP98" t="s">
        <v>160</v>
      </c>
      <c r="AQ98" t="s">
        <v>288</v>
      </c>
    </row>
    <row r="99" spans="1:43" hidden="1" x14ac:dyDescent="0.3">
      <c r="A99">
        <v>95</v>
      </c>
      <c r="B99" t="s">
        <v>991</v>
      </c>
      <c r="C99" t="s">
        <v>6</v>
      </c>
      <c r="L99">
        <v>6</v>
      </c>
      <c r="X99">
        <v>8.5</v>
      </c>
      <c r="AB99">
        <v>0.2</v>
      </c>
      <c r="AE99">
        <v>25</v>
      </c>
      <c r="AH99" t="s">
        <v>992</v>
      </c>
      <c r="AI99" t="s">
        <v>993</v>
      </c>
      <c r="AL99">
        <v>3</v>
      </c>
      <c r="AM99" t="s">
        <v>994</v>
      </c>
      <c r="AN99" t="s">
        <v>743</v>
      </c>
      <c r="AO99" t="s">
        <v>995</v>
      </c>
      <c r="AP99" t="s">
        <v>160</v>
      </c>
      <c r="AQ99" t="s">
        <v>288</v>
      </c>
    </row>
    <row r="100" spans="1:43" hidden="1" x14ac:dyDescent="0.3">
      <c r="A100">
        <v>96</v>
      </c>
      <c r="B100" t="s">
        <v>991</v>
      </c>
      <c r="C100" t="s">
        <v>6</v>
      </c>
      <c r="L100">
        <v>8</v>
      </c>
      <c r="X100">
        <v>8.5</v>
      </c>
      <c r="AB100">
        <v>0.2</v>
      </c>
      <c r="AE100">
        <v>25</v>
      </c>
      <c r="AH100" t="s">
        <v>992</v>
      </c>
      <c r="AI100" t="s">
        <v>993</v>
      </c>
      <c r="AL100">
        <v>4</v>
      </c>
      <c r="AM100" t="s">
        <v>994</v>
      </c>
      <c r="AN100" t="s">
        <v>743</v>
      </c>
      <c r="AO100" t="s">
        <v>995</v>
      </c>
      <c r="AP100" t="s">
        <v>160</v>
      </c>
      <c r="AQ100" t="s">
        <v>288</v>
      </c>
    </row>
    <row r="101" spans="1:43" hidden="1" x14ac:dyDescent="0.3">
      <c r="A101">
        <v>97</v>
      </c>
      <c r="B101" t="s">
        <v>991</v>
      </c>
      <c r="C101" t="s">
        <v>6</v>
      </c>
      <c r="L101">
        <v>3</v>
      </c>
      <c r="X101">
        <v>9</v>
      </c>
      <c r="AB101">
        <v>0.2</v>
      </c>
      <c r="AE101">
        <v>25</v>
      </c>
      <c r="AH101" t="s">
        <v>992</v>
      </c>
      <c r="AI101" t="s">
        <v>993</v>
      </c>
      <c r="AL101">
        <v>1</v>
      </c>
      <c r="AM101" t="s">
        <v>994</v>
      </c>
      <c r="AN101" t="s">
        <v>743</v>
      </c>
      <c r="AO101" t="s">
        <v>995</v>
      </c>
      <c r="AP101" t="s">
        <v>160</v>
      </c>
      <c r="AQ101" t="s">
        <v>288</v>
      </c>
    </row>
    <row r="102" spans="1:43" hidden="1" x14ac:dyDescent="0.3">
      <c r="A102">
        <v>98</v>
      </c>
      <c r="B102" t="s">
        <v>991</v>
      </c>
      <c r="C102" t="s">
        <v>6</v>
      </c>
      <c r="L102">
        <v>5</v>
      </c>
      <c r="X102">
        <v>9</v>
      </c>
      <c r="AB102">
        <v>0.2</v>
      </c>
      <c r="AE102">
        <v>25</v>
      </c>
      <c r="AH102" t="s">
        <v>992</v>
      </c>
      <c r="AI102" t="s">
        <v>993</v>
      </c>
      <c r="AL102">
        <v>2</v>
      </c>
      <c r="AM102" t="s">
        <v>994</v>
      </c>
      <c r="AN102" t="s">
        <v>743</v>
      </c>
      <c r="AO102" t="s">
        <v>995</v>
      </c>
      <c r="AP102" t="s">
        <v>160</v>
      </c>
      <c r="AQ102" t="s">
        <v>288</v>
      </c>
    </row>
    <row r="103" spans="1:43" hidden="1" x14ac:dyDescent="0.3">
      <c r="A103">
        <v>99</v>
      </c>
      <c r="B103" t="s">
        <v>991</v>
      </c>
      <c r="C103" t="s">
        <v>6</v>
      </c>
      <c r="L103">
        <v>7</v>
      </c>
      <c r="X103">
        <v>9</v>
      </c>
      <c r="AB103">
        <v>0.2</v>
      </c>
      <c r="AE103">
        <v>25</v>
      </c>
      <c r="AH103" t="s">
        <v>992</v>
      </c>
      <c r="AI103" t="s">
        <v>993</v>
      </c>
      <c r="AL103">
        <v>3</v>
      </c>
      <c r="AM103" t="s">
        <v>994</v>
      </c>
      <c r="AN103" t="s">
        <v>743</v>
      </c>
      <c r="AO103" t="s">
        <v>995</v>
      </c>
      <c r="AP103" t="s">
        <v>160</v>
      </c>
      <c r="AQ103" t="s">
        <v>288</v>
      </c>
    </row>
    <row r="104" spans="1:43" hidden="1" x14ac:dyDescent="0.3">
      <c r="A104">
        <v>100</v>
      </c>
      <c r="B104" t="s">
        <v>991</v>
      </c>
      <c r="C104" t="s">
        <v>6</v>
      </c>
      <c r="L104">
        <v>9</v>
      </c>
      <c r="X104">
        <v>9</v>
      </c>
      <c r="AB104">
        <v>0.2</v>
      </c>
      <c r="AE104">
        <v>25</v>
      </c>
      <c r="AH104" t="s">
        <v>992</v>
      </c>
      <c r="AI104" t="s">
        <v>993</v>
      </c>
      <c r="AL104">
        <v>4</v>
      </c>
      <c r="AM104" t="s">
        <v>994</v>
      </c>
      <c r="AN104" t="s">
        <v>743</v>
      </c>
      <c r="AO104" t="s">
        <v>995</v>
      </c>
      <c r="AP104" t="s">
        <v>160</v>
      </c>
      <c r="AQ104" t="s">
        <v>288</v>
      </c>
    </row>
    <row r="105" spans="1:43" hidden="1" x14ac:dyDescent="0.3">
      <c r="A105">
        <v>101</v>
      </c>
      <c r="B105" t="s">
        <v>991</v>
      </c>
      <c r="C105" t="s">
        <v>6</v>
      </c>
      <c r="L105">
        <v>4</v>
      </c>
      <c r="X105">
        <v>7</v>
      </c>
      <c r="AB105">
        <v>2</v>
      </c>
      <c r="AE105">
        <v>5</v>
      </c>
      <c r="AH105" t="s">
        <v>992</v>
      </c>
      <c r="AI105" t="s">
        <v>993</v>
      </c>
      <c r="AL105">
        <v>1</v>
      </c>
      <c r="AM105" t="s">
        <v>994</v>
      </c>
      <c r="AN105" t="s">
        <v>743</v>
      </c>
      <c r="AO105" t="s">
        <v>995</v>
      </c>
      <c r="AP105" t="s">
        <v>160</v>
      </c>
      <c r="AQ105" t="s">
        <v>288</v>
      </c>
    </row>
    <row r="106" spans="1:43" hidden="1" x14ac:dyDescent="0.3">
      <c r="A106">
        <v>102</v>
      </c>
      <c r="B106" t="s">
        <v>991</v>
      </c>
      <c r="C106" t="s">
        <v>6</v>
      </c>
      <c r="L106">
        <v>5</v>
      </c>
      <c r="X106">
        <v>7</v>
      </c>
      <c r="AB106">
        <v>2</v>
      </c>
      <c r="AE106">
        <v>5</v>
      </c>
      <c r="AH106" t="s">
        <v>992</v>
      </c>
      <c r="AI106" t="s">
        <v>993</v>
      </c>
      <c r="AL106">
        <v>2</v>
      </c>
      <c r="AM106" t="s">
        <v>994</v>
      </c>
      <c r="AN106" t="s">
        <v>743</v>
      </c>
      <c r="AO106" t="s">
        <v>995</v>
      </c>
      <c r="AP106" t="s">
        <v>160</v>
      </c>
      <c r="AQ106" t="s">
        <v>288</v>
      </c>
    </row>
    <row r="107" spans="1:43" hidden="1" x14ac:dyDescent="0.3">
      <c r="A107">
        <v>103</v>
      </c>
      <c r="B107" t="s">
        <v>991</v>
      </c>
      <c r="C107" t="s">
        <v>6</v>
      </c>
      <c r="L107">
        <v>7</v>
      </c>
      <c r="X107">
        <v>7</v>
      </c>
      <c r="AB107">
        <v>2</v>
      </c>
      <c r="AE107">
        <v>5</v>
      </c>
      <c r="AH107" t="s">
        <v>992</v>
      </c>
      <c r="AI107" t="s">
        <v>993</v>
      </c>
      <c r="AL107">
        <v>3</v>
      </c>
      <c r="AM107" t="s">
        <v>994</v>
      </c>
      <c r="AN107" t="s">
        <v>743</v>
      </c>
      <c r="AO107" t="s">
        <v>995</v>
      </c>
      <c r="AP107" t="s">
        <v>160</v>
      </c>
      <c r="AQ107" t="s">
        <v>288</v>
      </c>
    </row>
    <row r="108" spans="1:43" hidden="1" x14ac:dyDescent="0.3">
      <c r="A108">
        <v>104</v>
      </c>
      <c r="B108" t="s">
        <v>991</v>
      </c>
      <c r="C108" t="s">
        <v>6</v>
      </c>
      <c r="L108">
        <v>9</v>
      </c>
      <c r="X108">
        <v>7</v>
      </c>
      <c r="AB108">
        <v>2</v>
      </c>
      <c r="AE108">
        <v>5</v>
      </c>
      <c r="AH108" t="s">
        <v>992</v>
      </c>
      <c r="AI108" t="s">
        <v>993</v>
      </c>
      <c r="AL108">
        <v>4</v>
      </c>
      <c r="AM108" t="s">
        <v>994</v>
      </c>
      <c r="AN108" t="s">
        <v>743</v>
      </c>
      <c r="AO108" t="s">
        <v>995</v>
      </c>
      <c r="AP108" t="s">
        <v>160</v>
      </c>
      <c r="AQ108" t="s">
        <v>288</v>
      </c>
    </row>
    <row r="109" spans="1:43" hidden="1" x14ac:dyDescent="0.3">
      <c r="A109">
        <v>105</v>
      </c>
      <c r="B109" t="s">
        <v>991</v>
      </c>
      <c r="C109" t="s">
        <v>6</v>
      </c>
      <c r="L109">
        <v>7</v>
      </c>
      <c r="X109">
        <v>7.5</v>
      </c>
      <c r="AB109">
        <v>2</v>
      </c>
      <c r="AE109">
        <v>5</v>
      </c>
      <c r="AH109" t="s">
        <v>992</v>
      </c>
      <c r="AI109" t="s">
        <v>993</v>
      </c>
      <c r="AL109">
        <v>1</v>
      </c>
      <c r="AM109" t="s">
        <v>994</v>
      </c>
      <c r="AN109" t="s">
        <v>743</v>
      </c>
      <c r="AO109" t="s">
        <v>995</v>
      </c>
      <c r="AP109" t="s">
        <v>160</v>
      </c>
      <c r="AQ109" t="s">
        <v>288</v>
      </c>
    </row>
    <row r="110" spans="1:43" hidden="1" x14ac:dyDescent="0.3">
      <c r="A110">
        <v>106</v>
      </c>
      <c r="B110" t="s">
        <v>991</v>
      </c>
      <c r="C110" t="s">
        <v>6</v>
      </c>
      <c r="L110">
        <v>10</v>
      </c>
      <c r="X110">
        <v>7.5</v>
      </c>
      <c r="AB110">
        <v>2</v>
      </c>
      <c r="AE110">
        <v>5</v>
      </c>
      <c r="AH110" t="s">
        <v>992</v>
      </c>
      <c r="AI110" t="s">
        <v>993</v>
      </c>
      <c r="AL110">
        <v>2</v>
      </c>
      <c r="AM110" t="s">
        <v>994</v>
      </c>
      <c r="AN110" t="s">
        <v>743</v>
      </c>
      <c r="AO110" t="s">
        <v>995</v>
      </c>
      <c r="AP110" t="s">
        <v>160</v>
      </c>
      <c r="AQ110" t="s">
        <v>288</v>
      </c>
    </row>
    <row r="111" spans="1:43" hidden="1" x14ac:dyDescent="0.3">
      <c r="A111">
        <v>107</v>
      </c>
      <c r="B111" t="s">
        <v>991</v>
      </c>
      <c r="C111" t="s">
        <v>6</v>
      </c>
      <c r="L111">
        <v>13</v>
      </c>
      <c r="X111">
        <v>7.5</v>
      </c>
      <c r="AB111">
        <v>2</v>
      </c>
      <c r="AE111">
        <v>5</v>
      </c>
      <c r="AH111" t="s">
        <v>992</v>
      </c>
      <c r="AI111" t="s">
        <v>993</v>
      </c>
      <c r="AL111">
        <v>3</v>
      </c>
      <c r="AM111" t="s">
        <v>994</v>
      </c>
      <c r="AN111" t="s">
        <v>743</v>
      </c>
      <c r="AO111" t="s">
        <v>995</v>
      </c>
      <c r="AP111" t="s">
        <v>160</v>
      </c>
      <c r="AQ111" t="s">
        <v>288</v>
      </c>
    </row>
    <row r="112" spans="1:43" hidden="1" x14ac:dyDescent="0.3">
      <c r="A112">
        <v>108</v>
      </c>
      <c r="B112" t="s">
        <v>991</v>
      </c>
      <c r="C112" t="s">
        <v>6</v>
      </c>
      <c r="L112">
        <v>16</v>
      </c>
      <c r="X112">
        <v>7.5</v>
      </c>
      <c r="AB112">
        <v>2</v>
      </c>
      <c r="AE112">
        <v>5</v>
      </c>
      <c r="AH112" t="s">
        <v>992</v>
      </c>
      <c r="AI112" t="s">
        <v>993</v>
      </c>
      <c r="AL112">
        <v>4</v>
      </c>
      <c r="AM112" t="s">
        <v>994</v>
      </c>
      <c r="AN112" t="s">
        <v>743</v>
      </c>
      <c r="AO112" t="s">
        <v>995</v>
      </c>
      <c r="AP112" t="s">
        <v>160</v>
      </c>
      <c r="AQ112" t="s">
        <v>288</v>
      </c>
    </row>
    <row r="113" spans="1:43" hidden="1" x14ac:dyDescent="0.3">
      <c r="A113">
        <v>109</v>
      </c>
      <c r="B113" t="s">
        <v>991</v>
      </c>
      <c r="C113" t="s">
        <v>6</v>
      </c>
      <c r="L113">
        <v>10</v>
      </c>
      <c r="X113">
        <v>8</v>
      </c>
      <c r="AB113">
        <v>2</v>
      </c>
      <c r="AE113">
        <v>5</v>
      </c>
      <c r="AH113" t="s">
        <v>992</v>
      </c>
      <c r="AI113" t="s">
        <v>993</v>
      </c>
      <c r="AL113">
        <v>1</v>
      </c>
      <c r="AM113" t="s">
        <v>994</v>
      </c>
      <c r="AN113" t="s">
        <v>743</v>
      </c>
      <c r="AO113" t="s">
        <v>995</v>
      </c>
      <c r="AP113" t="s">
        <v>160</v>
      </c>
      <c r="AQ113" t="s">
        <v>288</v>
      </c>
    </row>
    <row r="114" spans="1:43" hidden="1" x14ac:dyDescent="0.3">
      <c r="A114">
        <v>110</v>
      </c>
      <c r="B114" t="s">
        <v>991</v>
      </c>
      <c r="C114" t="s">
        <v>6</v>
      </c>
      <c r="L114">
        <v>15</v>
      </c>
      <c r="X114">
        <v>8</v>
      </c>
      <c r="AB114">
        <v>2</v>
      </c>
      <c r="AE114">
        <v>5</v>
      </c>
      <c r="AH114" t="s">
        <v>992</v>
      </c>
      <c r="AI114" t="s">
        <v>993</v>
      </c>
      <c r="AL114">
        <v>2</v>
      </c>
      <c r="AM114" t="s">
        <v>994</v>
      </c>
      <c r="AN114" t="s">
        <v>743</v>
      </c>
      <c r="AO114" t="s">
        <v>995</v>
      </c>
      <c r="AP114" t="s">
        <v>160</v>
      </c>
      <c r="AQ114" t="s">
        <v>288</v>
      </c>
    </row>
    <row r="115" spans="1:43" hidden="1" x14ac:dyDescent="0.3">
      <c r="A115">
        <v>111</v>
      </c>
      <c r="B115" t="s">
        <v>991</v>
      </c>
      <c r="C115" t="s">
        <v>6</v>
      </c>
      <c r="L115">
        <v>19</v>
      </c>
      <c r="X115">
        <v>8</v>
      </c>
      <c r="AB115">
        <v>2</v>
      </c>
      <c r="AE115">
        <v>5</v>
      </c>
      <c r="AH115" t="s">
        <v>992</v>
      </c>
      <c r="AI115" t="s">
        <v>993</v>
      </c>
      <c r="AL115">
        <v>3</v>
      </c>
      <c r="AM115" t="s">
        <v>994</v>
      </c>
      <c r="AN115" t="s">
        <v>743</v>
      </c>
      <c r="AO115" t="s">
        <v>995</v>
      </c>
      <c r="AP115" t="s">
        <v>160</v>
      </c>
      <c r="AQ115" t="s">
        <v>288</v>
      </c>
    </row>
    <row r="116" spans="1:43" hidden="1" x14ac:dyDescent="0.3">
      <c r="A116">
        <v>112</v>
      </c>
      <c r="B116" t="s">
        <v>991</v>
      </c>
      <c r="C116" t="s">
        <v>6</v>
      </c>
      <c r="L116">
        <v>23</v>
      </c>
      <c r="X116">
        <v>8</v>
      </c>
      <c r="AB116">
        <v>2</v>
      </c>
      <c r="AE116">
        <v>5</v>
      </c>
      <c r="AH116" t="s">
        <v>992</v>
      </c>
      <c r="AI116" t="s">
        <v>993</v>
      </c>
      <c r="AL116">
        <v>4</v>
      </c>
      <c r="AM116" t="s">
        <v>994</v>
      </c>
      <c r="AN116" t="s">
        <v>743</v>
      </c>
      <c r="AO116" t="s">
        <v>995</v>
      </c>
      <c r="AP116" t="s">
        <v>160</v>
      </c>
      <c r="AQ116" t="s">
        <v>288</v>
      </c>
    </row>
    <row r="117" spans="1:43" hidden="1" x14ac:dyDescent="0.3">
      <c r="A117">
        <v>113</v>
      </c>
      <c r="B117" t="s">
        <v>991</v>
      </c>
      <c r="C117" t="s">
        <v>6</v>
      </c>
      <c r="L117">
        <v>12</v>
      </c>
      <c r="X117">
        <v>8.5</v>
      </c>
      <c r="AB117">
        <v>2</v>
      </c>
      <c r="AE117">
        <v>5</v>
      </c>
      <c r="AH117" t="s">
        <v>992</v>
      </c>
      <c r="AI117" t="s">
        <v>993</v>
      </c>
      <c r="AL117">
        <v>1</v>
      </c>
      <c r="AM117" t="s">
        <v>994</v>
      </c>
      <c r="AN117" t="s">
        <v>743</v>
      </c>
      <c r="AO117" t="s">
        <v>995</v>
      </c>
      <c r="AP117" t="s">
        <v>160</v>
      </c>
      <c r="AQ117" t="s">
        <v>288</v>
      </c>
    </row>
    <row r="118" spans="1:43" hidden="1" x14ac:dyDescent="0.3">
      <c r="A118">
        <v>114</v>
      </c>
      <c r="B118" t="s">
        <v>991</v>
      </c>
      <c r="C118" t="s">
        <v>6</v>
      </c>
      <c r="L118">
        <v>19</v>
      </c>
      <c r="X118">
        <v>8.5</v>
      </c>
      <c r="AB118">
        <v>2</v>
      </c>
      <c r="AE118">
        <v>5</v>
      </c>
      <c r="AH118" t="s">
        <v>992</v>
      </c>
      <c r="AI118" t="s">
        <v>993</v>
      </c>
      <c r="AL118">
        <v>2</v>
      </c>
      <c r="AM118" t="s">
        <v>994</v>
      </c>
      <c r="AN118" t="s">
        <v>743</v>
      </c>
      <c r="AO118" t="s">
        <v>995</v>
      </c>
      <c r="AP118" t="s">
        <v>160</v>
      </c>
      <c r="AQ118" t="s">
        <v>288</v>
      </c>
    </row>
    <row r="119" spans="1:43" hidden="1" x14ac:dyDescent="0.3">
      <c r="A119">
        <v>115</v>
      </c>
      <c r="B119" t="s">
        <v>991</v>
      </c>
      <c r="C119" t="s">
        <v>6</v>
      </c>
      <c r="L119">
        <v>25</v>
      </c>
      <c r="X119">
        <v>8.5</v>
      </c>
      <c r="AB119">
        <v>2</v>
      </c>
      <c r="AE119">
        <v>5</v>
      </c>
      <c r="AH119" t="s">
        <v>992</v>
      </c>
      <c r="AI119" t="s">
        <v>993</v>
      </c>
      <c r="AL119">
        <v>3</v>
      </c>
      <c r="AM119" t="s">
        <v>994</v>
      </c>
      <c r="AN119" t="s">
        <v>743</v>
      </c>
      <c r="AO119" t="s">
        <v>995</v>
      </c>
      <c r="AP119" t="s">
        <v>160</v>
      </c>
      <c r="AQ119" t="s">
        <v>288</v>
      </c>
    </row>
    <row r="120" spans="1:43" hidden="1" x14ac:dyDescent="0.3">
      <c r="A120">
        <v>116</v>
      </c>
      <c r="B120" t="s">
        <v>991</v>
      </c>
      <c r="C120" t="s">
        <v>6</v>
      </c>
      <c r="L120">
        <v>31</v>
      </c>
      <c r="X120">
        <v>8.5</v>
      </c>
      <c r="AB120">
        <v>2</v>
      </c>
      <c r="AE120">
        <v>5</v>
      </c>
      <c r="AH120" t="s">
        <v>992</v>
      </c>
      <c r="AI120" t="s">
        <v>993</v>
      </c>
      <c r="AL120">
        <v>4</v>
      </c>
      <c r="AM120" t="s">
        <v>994</v>
      </c>
      <c r="AN120" t="s">
        <v>743</v>
      </c>
      <c r="AO120" t="s">
        <v>995</v>
      </c>
      <c r="AP120" t="s">
        <v>160</v>
      </c>
      <c r="AQ120" t="s">
        <v>288</v>
      </c>
    </row>
    <row r="121" spans="1:43" hidden="1" x14ac:dyDescent="0.3">
      <c r="A121">
        <v>117</v>
      </c>
      <c r="B121" t="s">
        <v>991</v>
      </c>
      <c r="C121" t="s">
        <v>6</v>
      </c>
      <c r="L121">
        <v>14</v>
      </c>
      <c r="X121">
        <v>9</v>
      </c>
      <c r="AB121">
        <v>2</v>
      </c>
      <c r="AE121">
        <v>5</v>
      </c>
      <c r="AH121" t="s">
        <v>992</v>
      </c>
      <c r="AI121" t="s">
        <v>993</v>
      </c>
      <c r="AL121">
        <v>1</v>
      </c>
      <c r="AM121" t="s">
        <v>994</v>
      </c>
      <c r="AN121" t="s">
        <v>743</v>
      </c>
      <c r="AO121" t="s">
        <v>995</v>
      </c>
      <c r="AP121" t="s">
        <v>160</v>
      </c>
      <c r="AQ121" t="s">
        <v>288</v>
      </c>
    </row>
    <row r="122" spans="1:43" hidden="1" x14ac:dyDescent="0.3">
      <c r="A122">
        <v>118</v>
      </c>
      <c r="B122" t="s">
        <v>991</v>
      </c>
      <c r="C122" t="s">
        <v>6</v>
      </c>
      <c r="L122">
        <v>22</v>
      </c>
      <c r="X122">
        <v>9</v>
      </c>
      <c r="AB122">
        <v>2</v>
      </c>
      <c r="AE122">
        <v>5</v>
      </c>
      <c r="AH122" t="s">
        <v>992</v>
      </c>
      <c r="AI122" t="s">
        <v>993</v>
      </c>
      <c r="AL122">
        <v>2</v>
      </c>
      <c r="AM122" t="s">
        <v>994</v>
      </c>
      <c r="AN122" t="s">
        <v>743</v>
      </c>
      <c r="AO122" t="s">
        <v>995</v>
      </c>
      <c r="AP122" t="s">
        <v>160</v>
      </c>
      <c r="AQ122" t="s">
        <v>288</v>
      </c>
    </row>
    <row r="123" spans="1:43" hidden="1" x14ac:dyDescent="0.3">
      <c r="A123">
        <v>119</v>
      </c>
      <c r="B123" t="s">
        <v>991</v>
      </c>
      <c r="C123" t="s">
        <v>6</v>
      </c>
      <c r="L123">
        <v>30</v>
      </c>
      <c r="X123">
        <v>9</v>
      </c>
      <c r="AB123">
        <v>2</v>
      </c>
      <c r="AE123">
        <v>5</v>
      </c>
      <c r="AH123" t="s">
        <v>992</v>
      </c>
      <c r="AI123" t="s">
        <v>993</v>
      </c>
      <c r="AL123">
        <v>3</v>
      </c>
      <c r="AM123" t="s">
        <v>994</v>
      </c>
      <c r="AN123" t="s">
        <v>743</v>
      </c>
      <c r="AO123" t="s">
        <v>995</v>
      </c>
      <c r="AP123" t="s">
        <v>160</v>
      </c>
      <c r="AQ123" t="s">
        <v>288</v>
      </c>
    </row>
    <row r="124" spans="1:43" hidden="1" x14ac:dyDescent="0.3">
      <c r="A124">
        <v>120</v>
      </c>
      <c r="B124" t="s">
        <v>991</v>
      </c>
      <c r="C124" t="s">
        <v>6</v>
      </c>
      <c r="L124">
        <v>38</v>
      </c>
      <c r="X124">
        <v>9</v>
      </c>
      <c r="AB124">
        <v>2</v>
      </c>
      <c r="AE124">
        <v>5</v>
      </c>
      <c r="AH124" t="s">
        <v>992</v>
      </c>
      <c r="AI124" t="s">
        <v>993</v>
      </c>
      <c r="AL124">
        <v>4</v>
      </c>
      <c r="AM124" t="s">
        <v>994</v>
      </c>
      <c r="AN124" t="s">
        <v>743</v>
      </c>
      <c r="AO124" t="s">
        <v>995</v>
      </c>
      <c r="AP124" t="s">
        <v>160</v>
      </c>
      <c r="AQ124" t="s">
        <v>288</v>
      </c>
    </row>
    <row r="125" spans="1:43" hidden="1" x14ac:dyDescent="0.3">
      <c r="A125">
        <v>121</v>
      </c>
      <c r="B125" t="s">
        <v>991</v>
      </c>
      <c r="C125" t="s">
        <v>6</v>
      </c>
      <c r="L125">
        <v>3</v>
      </c>
      <c r="X125">
        <v>7</v>
      </c>
      <c r="AB125">
        <v>2</v>
      </c>
      <c r="AE125">
        <v>10</v>
      </c>
      <c r="AH125" t="s">
        <v>992</v>
      </c>
      <c r="AI125" t="s">
        <v>993</v>
      </c>
      <c r="AL125">
        <v>1</v>
      </c>
      <c r="AM125" t="s">
        <v>994</v>
      </c>
      <c r="AN125" t="s">
        <v>743</v>
      </c>
      <c r="AO125" t="s">
        <v>995</v>
      </c>
      <c r="AP125" t="s">
        <v>160</v>
      </c>
      <c r="AQ125" t="s">
        <v>288</v>
      </c>
    </row>
    <row r="126" spans="1:43" hidden="1" x14ac:dyDescent="0.3">
      <c r="A126">
        <v>122</v>
      </c>
      <c r="B126" t="s">
        <v>991</v>
      </c>
      <c r="C126" t="s">
        <v>6</v>
      </c>
      <c r="L126">
        <v>4</v>
      </c>
      <c r="X126">
        <v>7</v>
      </c>
      <c r="AB126">
        <v>2</v>
      </c>
      <c r="AE126">
        <v>10</v>
      </c>
      <c r="AH126" t="s">
        <v>992</v>
      </c>
      <c r="AI126" t="s">
        <v>993</v>
      </c>
      <c r="AL126">
        <v>2</v>
      </c>
      <c r="AM126" t="s">
        <v>994</v>
      </c>
      <c r="AN126" t="s">
        <v>743</v>
      </c>
      <c r="AO126" t="s">
        <v>995</v>
      </c>
      <c r="AP126" t="s">
        <v>160</v>
      </c>
      <c r="AQ126" t="s">
        <v>288</v>
      </c>
    </row>
    <row r="127" spans="1:43" hidden="1" x14ac:dyDescent="0.3">
      <c r="A127">
        <v>123</v>
      </c>
      <c r="B127" t="s">
        <v>991</v>
      </c>
      <c r="C127" t="s">
        <v>6</v>
      </c>
      <c r="L127">
        <v>5</v>
      </c>
      <c r="X127">
        <v>7</v>
      </c>
      <c r="AB127">
        <v>2</v>
      </c>
      <c r="AE127">
        <v>10</v>
      </c>
      <c r="AH127" t="s">
        <v>992</v>
      </c>
      <c r="AI127" t="s">
        <v>993</v>
      </c>
      <c r="AL127">
        <v>3</v>
      </c>
      <c r="AM127" t="s">
        <v>994</v>
      </c>
      <c r="AN127" t="s">
        <v>743</v>
      </c>
      <c r="AO127" t="s">
        <v>995</v>
      </c>
      <c r="AP127" t="s">
        <v>160</v>
      </c>
      <c r="AQ127" t="s">
        <v>288</v>
      </c>
    </row>
    <row r="128" spans="1:43" hidden="1" x14ac:dyDescent="0.3">
      <c r="A128">
        <v>124</v>
      </c>
      <c r="B128" t="s">
        <v>991</v>
      </c>
      <c r="C128" t="s">
        <v>6</v>
      </c>
      <c r="L128">
        <v>6</v>
      </c>
      <c r="X128">
        <v>7</v>
      </c>
      <c r="AB128">
        <v>2</v>
      </c>
      <c r="AE128">
        <v>10</v>
      </c>
      <c r="AH128" t="s">
        <v>992</v>
      </c>
      <c r="AI128" t="s">
        <v>993</v>
      </c>
      <c r="AL128">
        <v>4</v>
      </c>
      <c r="AM128" t="s">
        <v>994</v>
      </c>
      <c r="AN128" t="s">
        <v>743</v>
      </c>
      <c r="AO128" t="s">
        <v>995</v>
      </c>
      <c r="AP128" t="s">
        <v>160</v>
      </c>
      <c r="AQ128" t="s">
        <v>288</v>
      </c>
    </row>
    <row r="129" spans="1:43" hidden="1" x14ac:dyDescent="0.3">
      <c r="A129">
        <v>125</v>
      </c>
      <c r="B129" t="s">
        <v>991</v>
      </c>
      <c r="C129" t="s">
        <v>6</v>
      </c>
      <c r="L129">
        <v>5</v>
      </c>
      <c r="X129">
        <v>7.5</v>
      </c>
      <c r="AB129">
        <v>2</v>
      </c>
      <c r="AE129">
        <v>10</v>
      </c>
      <c r="AH129" t="s">
        <v>992</v>
      </c>
      <c r="AI129" t="s">
        <v>993</v>
      </c>
      <c r="AL129">
        <v>1</v>
      </c>
      <c r="AM129" t="s">
        <v>994</v>
      </c>
      <c r="AN129" t="s">
        <v>743</v>
      </c>
      <c r="AO129" t="s">
        <v>995</v>
      </c>
      <c r="AP129" t="s">
        <v>160</v>
      </c>
      <c r="AQ129" t="s">
        <v>288</v>
      </c>
    </row>
    <row r="130" spans="1:43" hidden="1" x14ac:dyDescent="0.3">
      <c r="A130">
        <v>126</v>
      </c>
      <c r="B130" t="s">
        <v>991</v>
      </c>
      <c r="C130" t="s">
        <v>6</v>
      </c>
      <c r="L130">
        <v>7</v>
      </c>
      <c r="X130">
        <v>7.5</v>
      </c>
      <c r="AB130">
        <v>2</v>
      </c>
      <c r="AE130">
        <v>10</v>
      </c>
      <c r="AH130" t="s">
        <v>992</v>
      </c>
      <c r="AI130" t="s">
        <v>993</v>
      </c>
      <c r="AL130">
        <v>2</v>
      </c>
      <c r="AM130" t="s">
        <v>994</v>
      </c>
      <c r="AN130" t="s">
        <v>743</v>
      </c>
      <c r="AO130" t="s">
        <v>995</v>
      </c>
      <c r="AP130" t="s">
        <v>160</v>
      </c>
      <c r="AQ130" t="s">
        <v>288</v>
      </c>
    </row>
    <row r="131" spans="1:43" hidden="1" x14ac:dyDescent="0.3">
      <c r="A131">
        <v>127</v>
      </c>
      <c r="B131" t="s">
        <v>991</v>
      </c>
      <c r="C131" t="s">
        <v>6</v>
      </c>
      <c r="L131">
        <v>9</v>
      </c>
      <c r="X131">
        <v>7.5</v>
      </c>
      <c r="AB131">
        <v>2</v>
      </c>
      <c r="AE131">
        <v>10</v>
      </c>
      <c r="AH131" t="s">
        <v>992</v>
      </c>
      <c r="AI131" t="s">
        <v>993</v>
      </c>
      <c r="AL131">
        <v>3</v>
      </c>
      <c r="AM131" t="s">
        <v>994</v>
      </c>
      <c r="AN131" t="s">
        <v>743</v>
      </c>
      <c r="AO131" t="s">
        <v>995</v>
      </c>
      <c r="AP131" t="s">
        <v>160</v>
      </c>
      <c r="AQ131" t="s">
        <v>288</v>
      </c>
    </row>
    <row r="132" spans="1:43" hidden="1" x14ac:dyDescent="0.3">
      <c r="A132">
        <v>128</v>
      </c>
      <c r="B132" t="s">
        <v>991</v>
      </c>
      <c r="C132" t="s">
        <v>6</v>
      </c>
      <c r="L132">
        <v>11</v>
      </c>
      <c r="X132">
        <v>7.5</v>
      </c>
      <c r="AB132">
        <v>2</v>
      </c>
      <c r="AE132">
        <v>10</v>
      </c>
      <c r="AH132" t="s">
        <v>992</v>
      </c>
      <c r="AI132" t="s">
        <v>993</v>
      </c>
      <c r="AL132">
        <v>4</v>
      </c>
      <c r="AM132" t="s">
        <v>994</v>
      </c>
      <c r="AN132" t="s">
        <v>743</v>
      </c>
      <c r="AO132" t="s">
        <v>995</v>
      </c>
      <c r="AP132" t="s">
        <v>160</v>
      </c>
      <c r="AQ132" t="s">
        <v>288</v>
      </c>
    </row>
    <row r="133" spans="1:43" hidden="1" x14ac:dyDescent="0.3">
      <c r="A133">
        <v>129</v>
      </c>
      <c r="B133" t="s">
        <v>991</v>
      </c>
      <c r="C133" t="s">
        <v>6</v>
      </c>
      <c r="L133">
        <v>7</v>
      </c>
      <c r="X133">
        <v>8</v>
      </c>
      <c r="AB133">
        <v>2</v>
      </c>
      <c r="AE133">
        <v>10</v>
      </c>
      <c r="AH133" t="s">
        <v>992</v>
      </c>
      <c r="AI133" t="s">
        <v>993</v>
      </c>
      <c r="AL133">
        <v>1</v>
      </c>
      <c r="AM133" t="s">
        <v>994</v>
      </c>
      <c r="AN133" t="s">
        <v>743</v>
      </c>
      <c r="AO133" t="s">
        <v>995</v>
      </c>
      <c r="AP133" t="s">
        <v>160</v>
      </c>
      <c r="AQ133" t="s">
        <v>288</v>
      </c>
    </row>
    <row r="134" spans="1:43" hidden="1" x14ac:dyDescent="0.3">
      <c r="A134">
        <v>130</v>
      </c>
      <c r="B134" t="s">
        <v>991</v>
      </c>
      <c r="C134" t="s">
        <v>6</v>
      </c>
      <c r="L134">
        <v>10</v>
      </c>
      <c r="X134">
        <v>8</v>
      </c>
      <c r="AB134">
        <v>2</v>
      </c>
      <c r="AE134">
        <v>10</v>
      </c>
      <c r="AH134" t="s">
        <v>992</v>
      </c>
      <c r="AI134" t="s">
        <v>993</v>
      </c>
      <c r="AL134">
        <v>2</v>
      </c>
      <c r="AM134" t="s">
        <v>994</v>
      </c>
      <c r="AN134" t="s">
        <v>743</v>
      </c>
      <c r="AO134" t="s">
        <v>995</v>
      </c>
      <c r="AP134" t="s">
        <v>160</v>
      </c>
      <c r="AQ134" t="s">
        <v>288</v>
      </c>
    </row>
    <row r="135" spans="1:43" hidden="1" x14ac:dyDescent="0.3">
      <c r="A135">
        <v>131</v>
      </c>
      <c r="B135" t="s">
        <v>991</v>
      </c>
      <c r="C135" t="s">
        <v>6</v>
      </c>
      <c r="L135">
        <v>13</v>
      </c>
      <c r="X135">
        <v>8</v>
      </c>
      <c r="AB135">
        <v>2</v>
      </c>
      <c r="AE135">
        <v>10</v>
      </c>
      <c r="AH135" t="s">
        <v>992</v>
      </c>
      <c r="AI135" t="s">
        <v>993</v>
      </c>
      <c r="AL135">
        <v>3</v>
      </c>
      <c r="AM135" t="s">
        <v>994</v>
      </c>
      <c r="AN135" t="s">
        <v>743</v>
      </c>
      <c r="AO135" t="s">
        <v>995</v>
      </c>
      <c r="AP135" t="s">
        <v>160</v>
      </c>
      <c r="AQ135" t="s">
        <v>288</v>
      </c>
    </row>
    <row r="136" spans="1:43" hidden="1" x14ac:dyDescent="0.3">
      <c r="A136">
        <v>132</v>
      </c>
      <c r="B136" t="s">
        <v>991</v>
      </c>
      <c r="C136" t="s">
        <v>6</v>
      </c>
      <c r="L136">
        <v>16</v>
      </c>
      <c r="X136">
        <v>8</v>
      </c>
      <c r="AB136">
        <v>2</v>
      </c>
      <c r="AE136">
        <v>10</v>
      </c>
      <c r="AH136" t="s">
        <v>992</v>
      </c>
      <c r="AI136" t="s">
        <v>993</v>
      </c>
      <c r="AL136">
        <v>4</v>
      </c>
      <c r="AM136" t="s">
        <v>994</v>
      </c>
      <c r="AN136" t="s">
        <v>743</v>
      </c>
      <c r="AO136" t="s">
        <v>995</v>
      </c>
      <c r="AP136" t="s">
        <v>160</v>
      </c>
      <c r="AQ136" t="s">
        <v>288</v>
      </c>
    </row>
    <row r="137" spans="1:43" hidden="1" x14ac:dyDescent="0.3">
      <c r="A137">
        <v>133</v>
      </c>
      <c r="B137" t="s">
        <v>991</v>
      </c>
      <c r="C137" t="s">
        <v>6</v>
      </c>
      <c r="L137">
        <v>9</v>
      </c>
      <c r="X137">
        <v>8.5</v>
      </c>
      <c r="AB137">
        <v>2</v>
      </c>
      <c r="AE137">
        <v>10</v>
      </c>
      <c r="AH137" t="s">
        <v>992</v>
      </c>
      <c r="AI137" t="s">
        <v>993</v>
      </c>
      <c r="AL137">
        <v>1</v>
      </c>
      <c r="AM137" t="s">
        <v>994</v>
      </c>
      <c r="AN137" t="s">
        <v>743</v>
      </c>
      <c r="AO137" t="s">
        <v>995</v>
      </c>
      <c r="AP137" t="s">
        <v>160</v>
      </c>
      <c r="AQ137" t="s">
        <v>288</v>
      </c>
    </row>
    <row r="138" spans="1:43" hidden="1" x14ac:dyDescent="0.3">
      <c r="A138">
        <v>134</v>
      </c>
      <c r="B138" t="s">
        <v>991</v>
      </c>
      <c r="C138" t="s">
        <v>6</v>
      </c>
      <c r="L138">
        <v>13</v>
      </c>
      <c r="X138">
        <v>8.5</v>
      </c>
      <c r="AB138">
        <v>2</v>
      </c>
      <c r="AE138">
        <v>10</v>
      </c>
      <c r="AH138" t="s">
        <v>992</v>
      </c>
      <c r="AI138" t="s">
        <v>993</v>
      </c>
      <c r="AL138">
        <v>2</v>
      </c>
      <c r="AM138" t="s">
        <v>994</v>
      </c>
      <c r="AN138" t="s">
        <v>743</v>
      </c>
      <c r="AO138" t="s">
        <v>995</v>
      </c>
      <c r="AP138" t="s">
        <v>160</v>
      </c>
      <c r="AQ138" t="s">
        <v>288</v>
      </c>
    </row>
    <row r="139" spans="1:43" hidden="1" x14ac:dyDescent="0.3">
      <c r="A139">
        <v>135</v>
      </c>
      <c r="B139" t="s">
        <v>991</v>
      </c>
      <c r="C139" t="s">
        <v>6</v>
      </c>
      <c r="L139">
        <v>17</v>
      </c>
      <c r="X139">
        <v>8.5</v>
      </c>
      <c r="AB139">
        <v>2</v>
      </c>
      <c r="AE139">
        <v>10</v>
      </c>
      <c r="AH139" t="s">
        <v>992</v>
      </c>
      <c r="AI139" t="s">
        <v>993</v>
      </c>
      <c r="AL139">
        <v>3</v>
      </c>
      <c r="AM139" t="s">
        <v>994</v>
      </c>
      <c r="AN139" t="s">
        <v>743</v>
      </c>
      <c r="AO139" t="s">
        <v>995</v>
      </c>
      <c r="AP139" t="s">
        <v>160</v>
      </c>
      <c r="AQ139" t="s">
        <v>288</v>
      </c>
    </row>
    <row r="140" spans="1:43" hidden="1" x14ac:dyDescent="0.3">
      <c r="A140">
        <v>136</v>
      </c>
      <c r="B140" t="s">
        <v>991</v>
      </c>
      <c r="C140" t="s">
        <v>6</v>
      </c>
      <c r="L140">
        <v>22</v>
      </c>
      <c r="X140">
        <v>8.5</v>
      </c>
      <c r="AB140">
        <v>2</v>
      </c>
      <c r="AE140">
        <v>10</v>
      </c>
      <c r="AH140" t="s">
        <v>992</v>
      </c>
      <c r="AI140" t="s">
        <v>993</v>
      </c>
      <c r="AL140">
        <v>4</v>
      </c>
      <c r="AM140" t="s">
        <v>994</v>
      </c>
      <c r="AN140" t="s">
        <v>743</v>
      </c>
      <c r="AO140" t="s">
        <v>995</v>
      </c>
      <c r="AP140" t="s">
        <v>160</v>
      </c>
      <c r="AQ140" t="s">
        <v>288</v>
      </c>
    </row>
    <row r="141" spans="1:43" hidden="1" x14ac:dyDescent="0.3">
      <c r="A141">
        <v>137</v>
      </c>
      <c r="B141" t="s">
        <v>991</v>
      </c>
      <c r="C141" t="s">
        <v>6</v>
      </c>
      <c r="L141">
        <v>10</v>
      </c>
      <c r="X141">
        <v>9</v>
      </c>
      <c r="AB141">
        <v>2</v>
      </c>
      <c r="AE141">
        <v>10</v>
      </c>
      <c r="AH141" t="s">
        <v>992</v>
      </c>
      <c r="AI141" t="s">
        <v>993</v>
      </c>
      <c r="AL141">
        <v>1</v>
      </c>
      <c r="AM141" t="s">
        <v>994</v>
      </c>
      <c r="AN141" t="s">
        <v>743</v>
      </c>
      <c r="AO141" t="s">
        <v>995</v>
      </c>
      <c r="AP141" t="s">
        <v>160</v>
      </c>
      <c r="AQ141" t="s">
        <v>288</v>
      </c>
    </row>
    <row r="142" spans="1:43" hidden="1" x14ac:dyDescent="0.3">
      <c r="A142">
        <v>138</v>
      </c>
      <c r="B142" t="s">
        <v>991</v>
      </c>
      <c r="C142" t="s">
        <v>6</v>
      </c>
      <c r="L142">
        <v>16</v>
      </c>
      <c r="X142">
        <v>9</v>
      </c>
      <c r="AB142">
        <v>2</v>
      </c>
      <c r="AE142">
        <v>10</v>
      </c>
      <c r="AH142" t="s">
        <v>992</v>
      </c>
      <c r="AI142" t="s">
        <v>993</v>
      </c>
      <c r="AL142">
        <v>2</v>
      </c>
      <c r="AM142" t="s">
        <v>994</v>
      </c>
      <c r="AN142" t="s">
        <v>743</v>
      </c>
      <c r="AO142" t="s">
        <v>995</v>
      </c>
      <c r="AP142" t="s">
        <v>160</v>
      </c>
      <c r="AQ142" t="s">
        <v>288</v>
      </c>
    </row>
    <row r="143" spans="1:43" hidden="1" x14ac:dyDescent="0.3">
      <c r="A143">
        <v>139</v>
      </c>
      <c r="B143" t="s">
        <v>991</v>
      </c>
      <c r="C143" t="s">
        <v>6</v>
      </c>
      <c r="L143">
        <v>21</v>
      </c>
      <c r="X143">
        <v>9</v>
      </c>
      <c r="AB143">
        <v>2</v>
      </c>
      <c r="AE143">
        <v>10</v>
      </c>
      <c r="AH143" t="s">
        <v>992</v>
      </c>
      <c r="AI143" t="s">
        <v>993</v>
      </c>
      <c r="AL143">
        <v>3</v>
      </c>
      <c r="AM143" t="s">
        <v>994</v>
      </c>
      <c r="AN143" t="s">
        <v>743</v>
      </c>
      <c r="AO143" t="s">
        <v>995</v>
      </c>
      <c r="AP143" t="s">
        <v>160</v>
      </c>
      <c r="AQ143" t="s">
        <v>288</v>
      </c>
    </row>
    <row r="144" spans="1:43" hidden="1" x14ac:dyDescent="0.3">
      <c r="A144">
        <v>140</v>
      </c>
      <c r="B144" t="s">
        <v>991</v>
      </c>
      <c r="C144" t="s">
        <v>6</v>
      </c>
      <c r="L144">
        <v>27</v>
      </c>
      <c r="X144">
        <v>9</v>
      </c>
      <c r="AB144">
        <v>2</v>
      </c>
      <c r="AE144">
        <v>10</v>
      </c>
      <c r="AH144" t="s">
        <v>992</v>
      </c>
      <c r="AI144" t="s">
        <v>993</v>
      </c>
      <c r="AL144">
        <v>4</v>
      </c>
      <c r="AM144" t="s">
        <v>994</v>
      </c>
      <c r="AN144" t="s">
        <v>743</v>
      </c>
      <c r="AO144" t="s">
        <v>995</v>
      </c>
      <c r="AP144" t="s">
        <v>160</v>
      </c>
      <c r="AQ144" t="s">
        <v>288</v>
      </c>
    </row>
    <row r="145" spans="1:43" hidden="1" x14ac:dyDescent="0.3">
      <c r="A145">
        <v>141</v>
      </c>
      <c r="B145" t="s">
        <v>991</v>
      </c>
      <c r="C145" t="s">
        <v>6</v>
      </c>
      <c r="L145">
        <v>2</v>
      </c>
      <c r="X145">
        <v>7</v>
      </c>
      <c r="AB145">
        <v>2</v>
      </c>
      <c r="AE145">
        <v>15</v>
      </c>
      <c r="AH145" t="s">
        <v>992</v>
      </c>
      <c r="AI145" t="s">
        <v>993</v>
      </c>
      <c r="AL145">
        <v>1</v>
      </c>
      <c r="AM145" t="s">
        <v>994</v>
      </c>
      <c r="AN145" t="s">
        <v>743</v>
      </c>
      <c r="AO145" t="s">
        <v>995</v>
      </c>
      <c r="AP145" t="s">
        <v>160</v>
      </c>
      <c r="AQ145" t="s">
        <v>288</v>
      </c>
    </row>
    <row r="146" spans="1:43" hidden="1" x14ac:dyDescent="0.3">
      <c r="A146">
        <v>142</v>
      </c>
      <c r="B146" t="s">
        <v>991</v>
      </c>
      <c r="C146" t="s">
        <v>6</v>
      </c>
      <c r="L146">
        <v>3</v>
      </c>
      <c r="X146">
        <v>7</v>
      </c>
      <c r="AB146">
        <v>2</v>
      </c>
      <c r="AE146">
        <v>15</v>
      </c>
      <c r="AH146" t="s">
        <v>992</v>
      </c>
      <c r="AI146" t="s">
        <v>993</v>
      </c>
      <c r="AL146">
        <v>2</v>
      </c>
      <c r="AM146" t="s">
        <v>994</v>
      </c>
      <c r="AN146" t="s">
        <v>743</v>
      </c>
      <c r="AO146" t="s">
        <v>995</v>
      </c>
      <c r="AP146" t="s">
        <v>160</v>
      </c>
      <c r="AQ146" t="s">
        <v>288</v>
      </c>
    </row>
    <row r="147" spans="1:43" hidden="1" x14ac:dyDescent="0.3">
      <c r="A147">
        <v>143</v>
      </c>
      <c r="B147" t="s">
        <v>991</v>
      </c>
      <c r="C147" t="s">
        <v>6</v>
      </c>
      <c r="L147">
        <v>4</v>
      </c>
      <c r="X147">
        <v>7</v>
      </c>
      <c r="AB147">
        <v>2</v>
      </c>
      <c r="AE147">
        <v>15</v>
      </c>
      <c r="AH147" t="s">
        <v>992</v>
      </c>
      <c r="AI147" t="s">
        <v>993</v>
      </c>
      <c r="AL147">
        <v>3</v>
      </c>
      <c r="AM147" t="s">
        <v>994</v>
      </c>
      <c r="AN147" t="s">
        <v>743</v>
      </c>
      <c r="AO147" t="s">
        <v>995</v>
      </c>
      <c r="AP147" t="s">
        <v>160</v>
      </c>
      <c r="AQ147" t="s">
        <v>288</v>
      </c>
    </row>
    <row r="148" spans="1:43" hidden="1" x14ac:dyDescent="0.3">
      <c r="A148">
        <v>144</v>
      </c>
      <c r="B148" t="s">
        <v>991</v>
      </c>
      <c r="C148" t="s">
        <v>6</v>
      </c>
      <c r="L148">
        <v>4</v>
      </c>
      <c r="X148">
        <v>7</v>
      </c>
      <c r="AB148">
        <v>2</v>
      </c>
      <c r="AE148">
        <v>15</v>
      </c>
      <c r="AH148" t="s">
        <v>992</v>
      </c>
      <c r="AI148" t="s">
        <v>993</v>
      </c>
      <c r="AL148">
        <v>4</v>
      </c>
      <c r="AM148" t="s">
        <v>994</v>
      </c>
      <c r="AN148" t="s">
        <v>743</v>
      </c>
      <c r="AO148" t="s">
        <v>995</v>
      </c>
      <c r="AP148" t="s">
        <v>160</v>
      </c>
      <c r="AQ148" t="s">
        <v>288</v>
      </c>
    </row>
    <row r="149" spans="1:43" hidden="1" x14ac:dyDescent="0.3">
      <c r="A149">
        <v>145</v>
      </c>
      <c r="B149" t="s">
        <v>991</v>
      </c>
      <c r="C149" t="s">
        <v>6</v>
      </c>
      <c r="L149">
        <v>4</v>
      </c>
      <c r="X149">
        <v>7.5</v>
      </c>
      <c r="AB149">
        <v>2</v>
      </c>
      <c r="AE149">
        <v>15</v>
      </c>
      <c r="AH149" t="s">
        <v>992</v>
      </c>
      <c r="AI149" t="s">
        <v>993</v>
      </c>
      <c r="AL149">
        <v>1</v>
      </c>
      <c r="AM149" t="s">
        <v>994</v>
      </c>
      <c r="AN149" t="s">
        <v>743</v>
      </c>
      <c r="AO149" t="s">
        <v>995</v>
      </c>
      <c r="AP149" t="s">
        <v>160</v>
      </c>
      <c r="AQ149" t="s">
        <v>288</v>
      </c>
    </row>
    <row r="150" spans="1:43" hidden="1" x14ac:dyDescent="0.3">
      <c r="A150">
        <v>146</v>
      </c>
      <c r="B150" t="s">
        <v>991</v>
      </c>
      <c r="C150" t="s">
        <v>6</v>
      </c>
      <c r="L150">
        <v>5</v>
      </c>
      <c r="X150">
        <v>7.5</v>
      </c>
      <c r="AB150">
        <v>2</v>
      </c>
      <c r="AE150">
        <v>15</v>
      </c>
      <c r="AH150" t="s">
        <v>992</v>
      </c>
      <c r="AI150" t="s">
        <v>993</v>
      </c>
      <c r="AL150">
        <v>2</v>
      </c>
      <c r="AM150" t="s">
        <v>994</v>
      </c>
      <c r="AN150" t="s">
        <v>743</v>
      </c>
      <c r="AO150" t="s">
        <v>995</v>
      </c>
      <c r="AP150" t="s">
        <v>160</v>
      </c>
      <c r="AQ150" t="s">
        <v>288</v>
      </c>
    </row>
    <row r="151" spans="1:43" hidden="1" x14ac:dyDescent="0.3">
      <c r="A151">
        <v>147</v>
      </c>
      <c r="B151" t="s">
        <v>991</v>
      </c>
      <c r="C151" t="s">
        <v>6</v>
      </c>
      <c r="L151">
        <v>7</v>
      </c>
      <c r="X151">
        <v>7.5</v>
      </c>
      <c r="AB151">
        <v>2</v>
      </c>
      <c r="AE151">
        <v>15</v>
      </c>
      <c r="AH151" t="s">
        <v>992</v>
      </c>
      <c r="AI151" t="s">
        <v>993</v>
      </c>
      <c r="AL151">
        <v>3</v>
      </c>
      <c r="AM151" t="s">
        <v>994</v>
      </c>
      <c r="AN151" t="s">
        <v>743</v>
      </c>
      <c r="AO151" t="s">
        <v>995</v>
      </c>
      <c r="AP151" t="s">
        <v>160</v>
      </c>
      <c r="AQ151" t="s">
        <v>288</v>
      </c>
    </row>
    <row r="152" spans="1:43" hidden="1" x14ac:dyDescent="0.3">
      <c r="A152">
        <v>148</v>
      </c>
      <c r="B152" t="s">
        <v>991</v>
      </c>
      <c r="C152" t="s">
        <v>6</v>
      </c>
      <c r="L152">
        <v>8</v>
      </c>
      <c r="X152">
        <v>7.5</v>
      </c>
      <c r="AB152">
        <v>2</v>
      </c>
      <c r="AE152">
        <v>15</v>
      </c>
      <c r="AH152" t="s">
        <v>992</v>
      </c>
      <c r="AI152" t="s">
        <v>993</v>
      </c>
      <c r="AL152">
        <v>4</v>
      </c>
      <c r="AM152" t="s">
        <v>994</v>
      </c>
      <c r="AN152" t="s">
        <v>743</v>
      </c>
      <c r="AO152" t="s">
        <v>995</v>
      </c>
      <c r="AP152" t="s">
        <v>160</v>
      </c>
      <c r="AQ152" t="s">
        <v>288</v>
      </c>
    </row>
    <row r="153" spans="1:43" hidden="1" x14ac:dyDescent="0.3">
      <c r="A153">
        <v>149</v>
      </c>
      <c r="B153" t="s">
        <v>991</v>
      </c>
      <c r="C153" t="s">
        <v>6</v>
      </c>
      <c r="L153">
        <v>5</v>
      </c>
      <c r="X153">
        <v>8</v>
      </c>
      <c r="AB153">
        <v>2</v>
      </c>
      <c r="AE153">
        <v>15</v>
      </c>
      <c r="AH153" t="s">
        <v>992</v>
      </c>
      <c r="AI153" t="s">
        <v>993</v>
      </c>
      <c r="AL153">
        <v>1</v>
      </c>
      <c r="AM153" t="s">
        <v>994</v>
      </c>
      <c r="AN153" t="s">
        <v>743</v>
      </c>
      <c r="AO153" t="s">
        <v>995</v>
      </c>
      <c r="AP153" t="s">
        <v>160</v>
      </c>
      <c r="AQ153" t="s">
        <v>288</v>
      </c>
    </row>
    <row r="154" spans="1:43" hidden="1" x14ac:dyDescent="0.3">
      <c r="A154">
        <v>150</v>
      </c>
      <c r="B154" t="s">
        <v>991</v>
      </c>
      <c r="C154" t="s">
        <v>6</v>
      </c>
      <c r="L154">
        <v>7</v>
      </c>
      <c r="X154">
        <v>8</v>
      </c>
      <c r="AB154">
        <v>2</v>
      </c>
      <c r="AE154">
        <v>15</v>
      </c>
      <c r="AH154" t="s">
        <v>992</v>
      </c>
      <c r="AI154" t="s">
        <v>993</v>
      </c>
      <c r="AL154">
        <v>2</v>
      </c>
      <c r="AM154" t="s">
        <v>994</v>
      </c>
      <c r="AN154" t="s">
        <v>743</v>
      </c>
      <c r="AO154" t="s">
        <v>995</v>
      </c>
      <c r="AP154" t="s">
        <v>160</v>
      </c>
      <c r="AQ154" t="s">
        <v>288</v>
      </c>
    </row>
    <row r="155" spans="1:43" hidden="1" x14ac:dyDescent="0.3">
      <c r="A155">
        <v>151</v>
      </c>
      <c r="B155" t="s">
        <v>991</v>
      </c>
      <c r="C155" t="s">
        <v>6</v>
      </c>
      <c r="L155">
        <v>10</v>
      </c>
      <c r="X155">
        <v>8</v>
      </c>
      <c r="AB155">
        <v>2</v>
      </c>
      <c r="AE155">
        <v>15</v>
      </c>
      <c r="AH155" t="s">
        <v>992</v>
      </c>
      <c r="AI155" t="s">
        <v>993</v>
      </c>
      <c r="AL155">
        <v>3</v>
      </c>
      <c r="AM155" t="s">
        <v>994</v>
      </c>
      <c r="AN155" t="s">
        <v>743</v>
      </c>
      <c r="AO155" t="s">
        <v>995</v>
      </c>
      <c r="AP155" t="s">
        <v>160</v>
      </c>
      <c r="AQ155" t="s">
        <v>288</v>
      </c>
    </row>
    <row r="156" spans="1:43" hidden="1" x14ac:dyDescent="0.3">
      <c r="A156">
        <v>152</v>
      </c>
      <c r="B156" t="s">
        <v>991</v>
      </c>
      <c r="C156" t="s">
        <v>6</v>
      </c>
      <c r="L156">
        <v>12</v>
      </c>
      <c r="X156">
        <v>8</v>
      </c>
      <c r="AB156">
        <v>2</v>
      </c>
      <c r="AE156">
        <v>15</v>
      </c>
      <c r="AH156" t="s">
        <v>992</v>
      </c>
      <c r="AI156" t="s">
        <v>993</v>
      </c>
      <c r="AL156">
        <v>4</v>
      </c>
      <c r="AM156" t="s">
        <v>994</v>
      </c>
      <c r="AN156" t="s">
        <v>743</v>
      </c>
      <c r="AO156" t="s">
        <v>995</v>
      </c>
      <c r="AP156" t="s">
        <v>160</v>
      </c>
      <c r="AQ156" t="s">
        <v>288</v>
      </c>
    </row>
    <row r="157" spans="1:43" hidden="1" x14ac:dyDescent="0.3">
      <c r="A157">
        <v>153</v>
      </c>
      <c r="B157" t="s">
        <v>991</v>
      </c>
      <c r="C157" t="s">
        <v>6</v>
      </c>
      <c r="L157">
        <v>6</v>
      </c>
      <c r="X157">
        <v>8.5</v>
      </c>
      <c r="AB157">
        <v>2</v>
      </c>
      <c r="AE157">
        <v>15</v>
      </c>
      <c r="AH157" t="s">
        <v>992</v>
      </c>
      <c r="AI157" t="s">
        <v>993</v>
      </c>
      <c r="AL157">
        <v>1</v>
      </c>
      <c r="AM157" t="s">
        <v>994</v>
      </c>
      <c r="AN157" t="s">
        <v>743</v>
      </c>
      <c r="AO157" t="s">
        <v>995</v>
      </c>
      <c r="AP157" t="s">
        <v>160</v>
      </c>
      <c r="AQ157" t="s">
        <v>288</v>
      </c>
    </row>
    <row r="158" spans="1:43" hidden="1" x14ac:dyDescent="0.3">
      <c r="A158">
        <v>154</v>
      </c>
      <c r="B158" t="s">
        <v>991</v>
      </c>
      <c r="C158" t="s">
        <v>6</v>
      </c>
      <c r="L158">
        <v>9</v>
      </c>
      <c r="X158">
        <v>8.5</v>
      </c>
      <c r="AB158">
        <v>2</v>
      </c>
      <c r="AE158">
        <v>15</v>
      </c>
      <c r="AH158" t="s">
        <v>992</v>
      </c>
      <c r="AI158" t="s">
        <v>993</v>
      </c>
      <c r="AL158">
        <v>2</v>
      </c>
      <c r="AM158" t="s">
        <v>994</v>
      </c>
      <c r="AN158" t="s">
        <v>743</v>
      </c>
      <c r="AO158" t="s">
        <v>995</v>
      </c>
      <c r="AP158" t="s">
        <v>160</v>
      </c>
      <c r="AQ158" t="s">
        <v>288</v>
      </c>
    </row>
    <row r="159" spans="1:43" hidden="1" x14ac:dyDescent="0.3">
      <c r="A159">
        <v>155</v>
      </c>
      <c r="B159" t="s">
        <v>991</v>
      </c>
      <c r="C159" t="s">
        <v>6</v>
      </c>
      <c r="L159">
        <v>13</v>
      </c>
      <c r="X159">
        <v>8.5</v>
      </c>
      <c r="AB159">
        <v>2</v>
      </c>
      <c r="AE159">
        <v>15</v>
      </c>
      <c r="AH159" t="s">
        <v>992</v>
      </c>
      <c r="AI159" t="s">
        <v>993</v>
      </c>
      <c r="AL159">
        <v>3</v>
      </c>
      <c r="AM159" t="s">
        <v>994</v>
      </c>
      <c r="AN159" t="s">
        <v>743</v>
      </c>
      <c r="AO159" t="s">
        <v>995</v>
      </c>
      <c r="AP159" t="s">
        <v>160</v>
      </c>
      <c r="AQ159" t="s">
        <v>288</v>
      </c>
    </row>
    <row r="160" spans="1:43" hidden="1" x14ac:dyDescent="0.3">
      <c r="A160">
        <v>156</v>
      </c>
      <c r="B160" t="s">
        <v>991</v>
      </c>
      <c r="C160" t="s">
        <v>6</v>
      </c>
      <c r="L160">
        <v>16</v>
      </c>
      <c r="X160">
        <v>8.5</v>
      </c>
      <c r="AB160">
        <v>2</v>
      </c>
      <c r="AE160">
        <v>15</v>
      </c>
      <c r="AH160" t="s">
        <v>992</v>
      </c>
      <c r="AI160" t="s">
        <v>993</v>
      </c>
      <c r="AL160">
        <v>4</v>
      </c>
      <c r="AM160" t="s">
        <v>994</v>
      </c>
      <c r="AN160" t="s">
        <v>743</v>
      </c>
      <c r="AO160" t="s">
        <v>995</v>
      </c>
      <c r="AP160" t="s">
        <v>160</v>
      </c>
      <c r="AQ160" t="s">
        <v>288</v>
      </c>
    </row>
    <row r="161" spans="1:43" hidden="1" x14ac:dyDescent="0.3">
      <c r="A161">
        <v>157</v>
      </c>
      <c r="B161" t="s">
        <v>991</v>
      </c>
      <c r="C161" t="s">
        <v>6</v>
      </c>
      <c r="L161">
        <v>7</v>
      </c>
      <c r="X161">
        <v>9</v>
      </c>
      <c r="AB161">
        <v>2</v>
      </c>
      <c r="AE161">
        <v>15</v>
      </c>
      <c r="AH161" t="s">
        <v>992</v>
      </c>
      <c r="AI161" t="s">
        <v>993</v>
      </c>
      <c r="AL161">
        <v>1</v>
      </c>
      <c r="AM161" t="s">
        <v>994</v>
      </c>
      <c r="AN161" t="s">
        <v>743</v>
      </c>
      <c r="AO161" t="s">
        <v>995</v>
      </c>
      <c r="AP161" t="s">
        <v>160</v>
      </c>
      <c r="AQ161" t="s">
        <v>288</v>
      </c>
    </row>
    <row r="162" spans="1:43" hidden="1" x14ac:dyDescent="0.3">
      <c r="A162">
        <v>158</v>
      </c>
      <c r="B162" t="s">
        <v>991</v>
      </c>
      <c r="C162" t="s">
        <v>6</v>
      </c>
      <c r="L162">
        <v>11</v>
      </c>
      <c r="X162">
        <v>9</v>
      </c>
      <c r="AB162">
        <v>2</v>
      </c>
      <c r="AE162">
        <v>15</v>
      </c>
      <c r="AH162" t="s">
        <v>992</v>
      </c>
      <c r="AI162" t="s">
        <v>993</v>
      </c>
      <c r="AL162">
        <v>2</v>
      </c>
      <c r="AM162" t="s">
        <v>994</v>
      </c>
      <c r="AN162" t="s">
        <v>743</v>
      </c>
      <c r="AO162" t="s">
        <v>995</v>
      </c>
      <c r="AP162" t="s">
        <v>160</v>
      </c>
      <c r="AQ162" t="s">
        <v>288</v>
      </c>
    </row>
    <row r="163" spans="1:43" hidden="1" x14ac:dyDescent="0.3">
      <c r="A163">
        <v>159</v>
      </c>
      <c r="B163" t="s">
        <v>991</v>
      </c>
      <c r="C163" t="s">
        <v>6</v>
      </c>
      <c r="L163">
        <v>15</v>
      </c>
      <c r="X163">
        <v>9</v>
      </c>
      <c r="AB163">
        <v>2</v>
      </c>
      <c r="AE163">
        <v>15</v>
      </c>
      <c r="AH163" t="s">
        <v>992</v>
      </c>
      <c r="AI163" t="s">
        <v>993</v>
      </c>
      <c r="AL163">
        <v>3</v>
      </c>
      <c r="AM163" t="s">
        <v>994</v>
      </c>
      <c r="AN163" t="s">
        <v>743</v>
      </c>
      <c r="AO163" t="s">
        <v>995</v>
      </c>
      <c r="AP163" t="s">
        <v>160</v>
      </c>
      <c r="AQ163" t="s">
        <v>288</v>
      </c>
    </row>
    <row r="164" spans="1:43" hidden="1" x14ac:dyDescent="0.3">
      <c r="A164">
        <v>160</v>
      </c>
      <c r="B164" t="s">
        <v>991</v>
      </c>
      <c r="C164" t="s">
        <v>6</v>
      </c>
      <c r="L164">
        <v>19</v>
      </c>
      <c r="X164">
        <v>9</v>
      </c>
      <c r="AB164">
        <v>2</v>
      </c>
      <c r="AE164">
        <v>15</v>
      </c>
      <c r="AH164" t="s">
        <v>992</v>
      </c>
      <c r="AI164" t="s">
        <v>993</v>
      </c>
      <c r="AL164">
        <v>4</v>
      </c>
      <c r="AM164" t="s">
        <v>994</v>
      </c>
      <c r="AN164" t="s">
        <v>743</v>
      </c>
      <c r="AO164" t="s">
        <v>995</v>
      </c>
      <c r="AP164" t="s">
        <v>160</v>
      </c>
      <c r="AQ164" t="s">
        <v>288</v>
      </c>
    </row>
    <row r="165" spans="1:43" hidden="1" x14ac:dyDescent="0.3">
      <c r="A165">
        <v>161</v>
      </c>
      <c r="B165" t="s">
        <v>991</v>
      </c>
      <c r="C165" t="s">
        <v>6</v>
      </c>
      <c r="L165">
        <v>2</v>
      </c>
      <c r="X165">
        <v>7</v>
      </c>
      <c r="AB165">
        <v>2</v>
      </c>
      <c r="AE165">
        <v>20</v>
      </c>
      <c r="AH165" t="s">
        <v>992</v>
      </c>
      <c r="AI165" t="s">
        <v>993</v>
      </c>
      <c r="AL165">
        <v>1</v>
      </c>
      <c r="AM165" t="s">
        <v>994</v>
      </c>
      <c r="AN165" t="s">
        <v>743</v>
      </c>
      <c r="AO165" t="s">
        <v>995</v>
      </c>
      <c r="AP165" t="s">
        <v>160</v>
      </c>
      <c r="AQ165" t="s">
        <v>288</v>
      </c>
    </row>
    <row r="166" spans="1:43" hidden="1" x14ac:dyDescent="0.3">
      <c r="A166">
        <v>162</v>
      </c>
      <c r="B166" t="s">
        <v>991</v>
      </c>
      <c r="C166" t="s">
        <v>6</v>
      </c>
      <c r="L166">
        <v>2</v>
      </c>
      <c r="X166">
        <v>7</v>
      </c>
      <c r="AB166">
        <v>2</v>
      </c>
      <c r="AE166">
        <v>20</v>
      </c>
      <c r="AH166" t="s">
        <v>992</v>
      </c>
      <c r="AI166" t="s">
        <v>993</v>
      </c>
      <c r="AL166">
        <v>2</v>
      </c>
      <c r="AM166" t="s">
        <v>994</v>
      </c>
      <c r="AN166" t="s">
        <v>743</v>
      </c>
      <c r="AO166" t="s">
        <v>995</v>
      </c>
      <c r="AP166" t="s">
        <v>160</v>
      </c>
      <c r="AQ166" t="s">
        <v>288</v>
      </c>
    </row>
    <row r="167" spans="1:43" hidden="1" x14ac:dyDescent="0.3">
      <c r="A167">
        <v>163</v>
      </c>
      <c r="B167" t="s">
        <v>991</v>
      </c>
      <c r="C167" t="s">
        <v>6</v>
      </c>
      <c r="L167">
        <v>3</v>
      </c>
      <c r="X167">
        <v>7</v>
      </c>
      <c r="AB167">
        <v>2</v>
      </c>
      <c r="AE167">
        <v>20</v>
      </c>
      <c r="AH167" t="s">
        <v>992</v>
      </c>
      <c r="AI167" t="s">
        <v>993</v>
      </c>
      <c r="AL167">
        <v>3</v>
      </c>
      <c r="AM167" t="s">
        <v>994</v>
      </c>
      <c r="AN167" t="s">
        <v>743</v>
      </c>
      <c r="AO167" t="s">
        <v>995</v>
      </c>
      <c r="AP167" t="s">
        <v>160</v>
      </c>
      <c r="AQ167" t="s">
        <v>288</v>
      </c>
    </row>
    <row r="168" spans="1:43" hidden="1" x14ac:dyDescent="0.3">
      <c r="A168">
        <v>164</v>
      </c>
      <c r="B168" t="s">
        <v>991</v>
      </c>
      <c r="C168" t="s">
        <v>6</v>
      </c>
      <c r="L168">
        <v>3</v>
      </c>
      <c r="X168">
        <v>7</v>
      </c>
      <c r="AB168">
        <v>2</v>
      </c>
      <c r="AE168">
        <v>20</v>
      </c>
      <c r="AH168" t="s">
        <v>992</v>
      </c>
      <c r="AI168" t="s">
        <v>993</v>
      </c>
      <c r="AL168">
        <v>4</v>
      </c>
      <c r="AM168" t="s">
        <v>994</v>
      </c>
      <c r="AN168" t="s">
        <v>743</v>
      </c>
      <c r="AO168" t="s">
        <v>995</v>
      </c>
      <c r="AP168" t="s">
        <v>160</v>
      </c>
      <c r="AQ168" t="s">
        <v>288</v>
      </c>
    </row>
    <row r="169" spans="1:43" hidden="1" x14ac:dyDescent="0.3">
      <c r="A169">
        <v>165</v>
      </c>
      <c r="B169" t="s">
        <v>991</v>
      </c>
      <c r="C169" t="s">
        <v>6</v>
      </c>
      <c r="L169">
        <v>3</v>
      </c>
      <c r="X169">
        <v>7.5</v>
      </c>
      <c r="AB169">
        <v>2</v>
      </c>
      <c r="AE169">
        <v>20</v>
      </c>
      <c r="AH169" t="s">
        <v>992</v>
      </c>
      <c r="AI169" t="s">
        <v>993</v>
      </c>
      <c r="AL169">
        <v>1</v>
      </c>
      <c r="AM169" t="s">
        <v>994</v>
      </c>
      <c r="AN169" t="s">
        <v>743</v>
      </c>
      <c r="AO169" t="s">
        <v>995</v>
      </c>
      <c r="AP169" t="s">
        <v>160</v>
      </c>
      <c r="AQ169" t="s">
        <v>288</v>
      </c>
    </row>
    <row r="170" spans="1:43" hidden="1" x14ac:dyDescent="0.3">
      <c r="A170">
        <v>166</v>
      </c>
      <c r="B170" t="s">
        <v>991</v>
      </c>
      <c r="C170" t="s">
        <v>6</v>
      </c>
      <c r="L170">
        <v>4</v>
      </c>
      <c r="X170">
        <v>7.5</v>
      </c>
      <c r="AB170">
        <v>2</v>
      </c>
      <c r="AE170">
        <v>20</v>
      </c>
      <c r="AH170" t="s">
        <v>992</v>
      </c>
      <c r="AI170" t="s">
        <v>993</v>
      </c>
      <c r="AL170">
        <v>2</v>
      </c>
      <c r="AM170" t="s">
        <v>994</v>
      </c>
      <c r="AN170" t="s">
        <v>743</v>
      </c>
      <c r="AO170" t="s">
        <v>995</v>
      </c>
      <c r="AP170" t="s">
        <v>160</v>
      </c>
      <c r="AQ170" t="s">
        <v>288</v>
      </c>
    </row>
    <row r="171" spans="1:43" hidden="1" x14ac:dyDescent="0.3">
      <c r="A171">
        <v>167</v>
      </c>
      <c r="B171" t="s">
        <v>991</v>
      </c>
      <c r="C171" t="s">
        <v>6</v>
      </c>
      <c r="L171">
        <v>5</v>
      </c>
      <c r="X171">
        <v>7.5</v>
      </c>
      <c r="AB171">
        <v>2</v>
      </c>
      <c r="AE171">
        <v>20</v>
      </c>
      <c r="AH171" t="s">
        <v>992</v>
      </c>
      <c r="AI171" t="s">
        <v>993</v>
      </c>
      <c r="AL171">
        <v>3</v>
      </c>
      <c r="AM171" t="s">
        <v>994</v>
      </c>
      <c r="AN171" t="s">
        <v>743</v>
      </c>
      <c r="AO171" t="s">
        <v>995</v>
      </c>
      <c r="AP171" t="s">
        <v>160</v>
      </c>
      <c r="AQ171" t="s">
        <v>288</v>
      </c>
    </row>
    <row r="172" spans="1:43" hidden="1" x14ac:dyDescent="0.3">
      <c r="A172">
        <v>168</v>
      </c>
      <c r="B172" t="s">
        <v>991</v>
      </c>
      <c r="C172" t="s">
        <v>6</v>
      </c>
      <c r="L172">
        <v>6</v>
      </c>
      <c r="X172">
        <v>7.5</v>
      </c>
      <c r="AB172">
        <v>2</v>
      </c>
      <c r="AE172">
        <v>20</v>
      </c>
      <c r="AH172" t="s">
        <v>992</v>
      </c>
      <c r="AI172" t="s">
        <v>993</v>
      </c>
      <c r="AL172">
        <v>4</v>
      </c>
      <c r="AM172" t="s">
        <v>994</v>
      </c>
      <c r="AN172" t="s">
        <v>743</v>
      </c>
      <c r="AO172" t="s">
        <v>995</v>
      </c>
      <c r="AP172" t="s">
        <v>160</v>
      </c>
      <c r="AQ172" t="s">
        <v>288</v>
      </c>
    </row>
    <row r="173" spans="1:43" hidden="1" x14ac:dyDescent="0.3">
      <c r="A173">
        <v>169</v>
      </c>
      <c r="B173" t="s">
        <v>991</v>
      </c>
      <c r="C173" t="s">
        <v>6</v>
      </c>
      <c r="L173">
        <v>4</v>
      </c>
      <c r="X173">
        <v>8</v>
      </c>
      <c r="AB173">
        <v>2</v>
      </c>
      <c r="AE173">
        <v>20</v>
      </c>
      <c r="AH173" t="s">
        <v>992</v>
      </c>
      <c r="AI173" t="s">
        <v>993</v>
      </c>
      <c r="AL173">
        <v>1</v>
      </c>
      <c r="AM173" t="s">
        <v>994</v>
      </c>
      <c r="AN173" t="s">
        <v>743</v>
      </c>
      <c r="AO173" t="s">
        <v>995</v>
      </c>
      <c r="AP173" t="s">
        <v>160</v>
      </c>
      <c r="AQ173" t="s">
        <v>288</v>
      </c>
    </row>
    <row r="174" spans="1:43" hidden="1" x14ac:dyDescent="0.3">
      <c r="A174">
        <v>170</v>
      </c>
      <c r="B174" t="s">
        <v>991</v>
      </c>
      <c r="C174" t="s">
        <v>6</v>
      </c>
      <c r="L174">
        <v>5</v>
      </c>
      <c r="X174">
        <v>8</v>
      </c>
      <c r="AB174">
        <v>2</v>
      </c>
      <c r="AE174">
        <v>20</v>
      </c>
      <c r="AH174" t="s">
        <v>992</v>
      </c>
      <c r="AI174" t="s">
        <v>993</v>
      </c>
      <c r="AL174">
        <v>2</v>
      </c>
      <c r="AM174" t="s">
        <v>994</v>
      </c>
      <c r="AN174" t="s">
        <v>743</v>
      </c>
      <c r="AO174" t="s">
        <v>995</v>
      </c>
      <c r="AP174" t="s">
        <v>160</v>
      </c>
      <c r="AQ174" t="s">
        <v>288</v>
      </c>
    </row>
    <row r="175" spans="1:43" hidden="1" x14ac:dyDescent="0.3">
      <c r="A175">
        <v>171</v>
      </c>
      <c r="B175" t="s">
        <v>991</v>
      </c>
      <c r="C175" t="s">
        <v>6</v>
      </c>
      <c r="L175">
        <v>7</v>
      </c>
      <c r="X175">
        <v>8</v>
      </c>
      <c r="AB175">
        <v>2</v>
      </c>
      <c r="AE175">
        <v>20</v>
      </c>
      <c r="AH175" t="s">
        <v>992</v>
      </c>
      <c r="AI175" t="s">
        <v>993</v>
      </c>
      <c r="AL175">
        <v>3</v>
      </c>
      <c r="AM175" t="s">
        <v>994</v>
      </c>
      <c r="AN175" t="s">
        <v>743</v>
      </c>
      <c r="AO175" t="s">
        <v>995</v>
      </c>
      <c r="AP175" t="s">
        <v>160</v>
      </c>
      <c r="AQ175" t="s">
        <v>288</v>
      </c>
    </row>
    <row r="176" spans="1:43" hidden="1" x14ac:dyDescent="0.3">
      <c r="A176">
        <v>172</v>
      </c>
      <c r="B176" t="s">
        <v>991</v>
      </c>
      <c r="C176" t="s">
        <v>6</v>
      </c>
      <c r="L176">
        <v>8</v>
      </c>
      <c r="X176">
        <v>8</v>
      </c>
      <c r="AB176">
        <v>2</v>
      </c>
      <c r="AE176">
        <v>20</v>
      </c>
      <c r="AH176" t="s">
        <v>992</v>
      </c>
      <c r="AI176" t="s">
        <v>993</v>
      </c>
      <c r="AL176">
        <v>4</v>
      </c>
      <c r="AM176" t="s">
        <v>994</v>
      </c>
      <c r="AN176" t="s">
        <v>743</v>
      </c>
      <c r="AO176" t="s">
        <v>995</v>
      </c>
      <c r="AP176" t="s">
        <v>160</v>
      </c>
      <c r="AQ176" t="s">
        <v>288</v>
      </c>
    </row>
    <row r="177" spans="1:43" hidden="1" x14ac:dyDescent="0.3">
      <c r="A177">
        <v>173</v>
      </c>
      <c r="B177" t="s">
        <v>991</v>
      </c>
      <c r="C177" t="s">
        <v>6</v>
      </c>
      <c r="L177">
        <v>5</v>
      </c>
      <c r="X177">
        <v>8.5</v>
      </c>
      <c r="AB177">
        <v>2</v>
      </c>
      <c r="AE177">
        <v>20</v>
      </c>
      <c r="AH177" t="s">
        <v>992</v>
      </c>
      <c r="AI177" t="s">
        <v>993</v>
      </c>
      <c r="AL177">
        <v>1</v>
      </c>
      <c r="AM177" t="s">
        <v>994</v>
      </c>
      <c r="AN177" t="s">
        <v>743</v>
      </c>
      <c r="AO177" t="s">
        <v>995</v>
      </c>
      <c r="AP177" t="s">
        <v>160</v>
      </c>
      <c r="AQ177" t="s">
        <v>288</v>
      </c>
    </row>
    <row r="178" spans="1:43" hidden="1" x14ac:dyDescent="0.3">
      <c r="A178">
        <v>174</v>
      </c>
      <c r="B178" t="s">
        <v>991</v>
      </c>
      <c r="C178" t="s">
        <v>6</v>
      </c>
      <c r="L178">
        <v>7</v>
      </c>
      <c r="X178">
        <v>8.5</v>
      </c>
      <c r="AB178">
        <v>2</v>
      </c>
      <c r="AE178">
        <v>20</v>
      </c>
      <c r="AH178" t="s">
        <v>992</v>
      </c>
      <c r="AI178" t="s">
        <v>993</v>
      </c>
      <c r="AL178">
        <v>2</v>
      </c>
      <c r="AM178" t="s">
        <v>994</v>
      </c>
      <c r="AN178" t="s">
        <v>743</v>
      </c>
      <c r="AO178" t="s">
        <v>995</v>
      </c>
      <c r="AP178" t="s">
        <v>160</v>
      </c>
      <c r="AQ178" t="s">
        <v>288</v>
      </c>
    </row>
    <row r="179" spans="1:43" hidden="1" x14ac:dyDescent="0.3">
      <c r="A179">
        <v>175</v>
      </c>
      <c r="B179" t="s">
        <v>991</v>
      </c>
      <c r="C179" t="s">
        <v>6</v>
      </c>
      <c r="L179">
        <v>9</v>
      </c>
      <c r="X179">
        <v>8.5</v>
      </c>
      <c r="AB179">
        <v>2</v>
      </c>
      <c r="AE179">
        <v>20</v>
      </c>
      <c r="AH179" t="s">
        <v>992</v>
      </c>
      <c r="AI179" t="s">
        <v>993</v>
      </c>
      <c r="AL179">
        <v>3</v>
      </c>
      <c r="AM179" t="s">
        <v>994</v>
      </c>
      <c r="AN179" t="s">
        <v>743</v>
      </c>
      <c r="AO179" t="s">
        <v>995</v>
      </c>
      <c r="AP179" t="s">
        <v>160</v>
      </c>
      <c r="AQ179" t="s">
        <v>288</v>
      </c>
    </row>
    <row r="180" spans="1:43" hidden="1" x14ac:dyDescent="0.3">
      <c r="A180">
        <v>176</v>
      </c>
      <c r="B180" t="s">
        <v>991</v>
      </c>
      <c r="C180" t="s">
        <v>6</v>
      </c>
      <c r="L180">
        <v>11</v>
      </c>
      <c r="X180">
        <v>8.5</v>
      </c>
      <c r="AB180">
        <v>2</v>
      </c>
      <c r="AE180">
        <v>20</v>
      </c>
      <c r="AH180" t="s">
        <v>992</v>
      </c>
      <c r="AI180" t="s">
        <v>993</v>
      </c>
      <c r="AL180">
        <v>4</v>
      </c>
      <c r="AM180" t="s">
        <v>994</v>
      </c>
      <c r="AN180" t="s">
        <v>743</v>
      </c>
      <c r="AO180" t="s">
        <v>995</v>
      </c>
      <c r="AP180" t="s">
        <v>160</v>
      </c>
      <c r="AQ180" t="s">
        <v>288</v>
      </c>
    </row>
    <row r="181" spans="1:43" hidden="1" x14ac:dyDescent="0.3">
      <c r="A181">
        <v>177</v>
      </c>
      <c r="B181" t="s">
        <v>991</v>
      </c>
      <c r="C181" t="s">
        <v>6</v>
      </c>
      <c r="L181">
        <v>5</v>
      </c>
      <c r="X181">
        <v>9</v>
      </c>
      <c r="AB181">
        <v>2</v>
      </c>
      <c r="AE181">
        <v>20</v>
      </c>
      <c r="AH181" t="s">
        <v>992</v>
      </c>
      <c r="AI181" t="s">
        <v>993</v>
      </c>
      <c r="AL181">
        <v>1</v>
      </c>
      <c r="AM181" t="s">
        <v>994</v>
      </c>
      <c r="AN181" t="s">
        <v>743</v>
      </c>
      <c r="AO181" t="s">
        <v>995</v>
      </c>
      <c r="AP181" t="s">
        <v>160</v>
      </c>
      <c r="AQ181" t="s">
        <v>288</v>
      </c>
    </row>
    <row r="182" spans="1:43" hidden="1" x14ac:dyDescent="0.3">
      <c r="A182">
        <v>178</v>
      </c>
      <c r="B182" t="s">
        <v>991</v>
      </c>
      <c r="C182" t="s">
        <v>6</v>
      </c>
      <c r="L182">
        <v>8</v>
      </c>
      <c r="X182">
        <v>9</v>
      </c>
      <c r="AB182">
        <v>2</v>
      </c>
      <c r="AE182">
        <v>20</v>
      </c>
      <c r="AH182" t="s">
        <v>992</v>
      </c>
      <c r="AI182" t="s">
        <v>993</v>
      </c>
      <c r="AL182">
        <v>2</v>
      </c>
      <c r="AM182" t="s">
        <v>994</v>
      </c>
      <c r="AN182" t="s">
        <v>743</v>
      </c>
      <c r="AO182" t="s">
        <v>995</v>
      </c>
      <c r="AP182" t="s">
        <v>160</v>
      </c>
      <c r="AQ182" t="s">
        <v>288</v>
      </c>
    </row>
    <row r="183" spans="1:43" hidden="1" x14ac:dyDescent="0.3">
      <c r="A183">
        <v>179</v>
      </c>
      <c r="B183" t="s">
        <v>991</v>
      </c>
      <c r="C183" t="s">
        <v>6</v>
      </c>
      <c r="L183">
        <v>11</v>
      </c>
      <c r="X183">
        <v>9</v>
      </c>
      <c r="AB183">
        <v>2</v>
      </c>
      <c r="AE183">
        <v>20</v>
      </c>
      <c r="AH183" t="s">
        <v>992</v>
      </c>
      <c r="AI183" t="s">
        <v>993</v>
      </c>
      <c r="AL183">
        <v>3</v>
      </c>
      <c r="AM183" t="s">
        <v>994</v>
      </c>
      <c r="AN183" t="s">
        <v>743</v>
      </c>
      <c r="AO183" t="s">
        <v>995</v>
      </c>
      <c r="AP183" t="s">
        <v>160</v>
      </c>
      <c r="AQ183" t="s">
        <v>288</v>
      </c>
    </row>
    <row r="184" spans="1:43" hidden="1" x14ac:dyDescent="0.3">
      <c r="A184">
        <v>180</v>
      </c>
      <c r="B184" t="s">
        <v>991</v>
      </c>
      <c r="C184" t="s">
        <v>6</v>
      </c>
      <c r="L184">
        <v>13</v>
      </c>
      <c r="X184">
        <v>9</v>
      </c>
      <c r="AB184">
        <v>2</v>
      </c>
      <c r="AE184">
        <v>20</v>
      </c>
      <c r="AH184" t="s">
        <v>992</v>
      </c>
      <c r="AI184" t="s">
        <v>993</v>
      </c>
      <c r="AL184">
        <v>4</v>
      </c>
      <c r="AM184" t="s">
        <v>994</v>
      </c>
      <c r="AN184" t="s">
        <v>743</v>
      </c>
      <c r="AO184" t="s">
        <v>995</v>
      </c>
      <c r="AP184" t="s">
        <v>160</v>
      </c>
      <c r="AQ184" t="s">
        <v>288</v>
      </c>
    </row>
    <row r="185" spans="1:43" hidden="1" x14ac:dyDescent="0.3">
      <c r="A185">
        <v>181</v>
      </c>
      <c r="B185" t="s">
        <v>991</v>
      </c>
      <c r="C185" t="s">
        <v>6</v>
      </c>
      <c r="L185">
        <v>1</v>
      </c>
      <c r="X185">
        <v>7</v>
      </c>
      <c r="AB185">
        <v>2</v>
      </c>
      <c r="AE185">
        <v>25</v>
      </c>
      <c r="AH185" t="s">
        <v>992</v>
      </c>
      <c r="AI185" t="s">
        <v>993</v>
      </c>
      <c r="AL185">
        <v>1</v>
      </c>
      <c r="AM185" t="s">
        <v>994</v>
      </c>
      <c r="AN185" t="s">
        <v>743</v>
      </c>
      <c r="AO185" t="s">
        <v>995</v>
      </c>
      <c r="AP185" t="s">
        <v>160</v>
      </c>
      <c r="AQ185" t="s">
        <v>288</v>
      </c>
    </row>
    <row r="186" spans="1:43" hidden="1" x14ac:dyDescent="0.3">
      <c r="A186">
        <v>182</v>
      </c>
      <c r="B186" t="s">
        <v>991</v>
      </c>
      <c r="C186" t="s">
        <v>6</v>
      </c>
      <c r="L186">
        <v>2</v>
      </c>
      <c r="X186">
        <v>7</v>
      </c>
      <c r="AB186">
        <v>2</v>
      </c>
      <c r="AE186">
        <v>25</v>
      </c>
      <c r="AH186" t="s">
        <v>992</v>
      </c>
      <c r="AI186" t="s">
        <v>993</v>
      </c>
      <c r="AL186">
        <v>2</v>
      </c>
      <c r="AM186" t="s">
        <v>994</v>
      </c>
      <c r="AN186" t="s">
        <v>743</v>
      </c>
      <c r="AO186" t="s">
        <v>995</v>
      </c>
      <c r="AP186" t="s">
        <v>160</v>
      </c>
      <c r="AQ186" t="s">
        <v>288</v>
      </c>
    </row>
    <row r="187" spans="1:43" hidden="1" x14ac:dyDescent="0.3">
      <c r="A187">
        <v>183</v>
      </c>
      <c r="B187" t="s">
        <v>991</v>
      </c>
      <c r="C187" t="s">
        <v>6</v>
      </c>
      <c r="L187">
        <v>2</v>
      </c>
      <c r="X187">
        <v>7</v>
      </c>
      <c r="AB187">
        <v>2</v>
      </c>
      <c r="AE187">
        <v>25</v>
      </c>
      <c r="AH187" t="s">
        <v>992</v>
      </c>
      <c r="AI187" t="s">
        <v>993</v>
      </c>
      <c r="AL187">
        <v>3</v>
      </c>
      <c r="AM187" t="s">
        <v>994</v>
      </c>
      <c r="AN187" t="s">
        <v>743</v>
      </c>
      <c r="AO187" t="s">
        <v>995</v>
      </c>
      <c r="AP187" t="s">
        <v>160</v>
      </c>
      <c r="AQ187" t="s">
        <v>288</v>
      </c>
    </row>
    <row r="188" spans="1:43" hidden="1" x14ac:dyDescent="0.3">
      <c r="A188">
        <v>184</v>
      </c>
      <c r="B188" t="s">
        <v>991</v>
      </c>
      <c r="C188" t="s">
        <v>6</v>
      </c>
      <c r="L188">
        <v>2</v>
      </c>
      <c r="X188">
        <v>7</v>
      </c>
      <c r="AB188">
        <v>2</v>
      </c>
      <c r="AE188">
        <v>25</v>
      </c>
      <c r="AH188" t="s">
        <v>992</v>
      </c>
      <c r="AI188" t="s">
        <v>993</v>
      </c>
      <c r="AL188">
        <v>4</v>
      </c>
      <c r="AM188" t="s">
        <v>994</v>
      </c>
      <c r="AN188" t="s">
        <v>743</v>
      </c>
      <c r="AO188" t="s">
        <v>995</v>
      </c>
      <c r="AP188" t="s">
        <v>160</v>
      </c>
      <c r="AQ188" t="s">
        <v>288</v>
      </c>
    </row>
    <row r="189" spans="1:43" hidden="1" x14ac:dyDescent="0.3">
      <c r="A189">
        <v>185</v>
      </c>
      <c r="B189" t="s">
        <v>991</v>
      </c>
      <c r="C189" t="s">
        <v>6</v>
      </c>
      <c r="L189">
        <v>2</v>
      </c>
      <c r="X189">
        <v>7.5</v>
      </c>
      <c r="AB189">
        <v>2</v>
      </c>
      <c r="AE189">
        <v>25</v>
      </c>
      <c r="AH189" t="s">
        <v>992</v>
      </c>
      <c r="AI189" t="s">
        <v>993</v>
      </c>
      <c r="AL189">
        <v>1</v>
      </c>
      <c r="AM189" t="s">
        <v>994</v>
      </c>
      <c r="AN189" t="s">
        <v>743</v>
      </c>
      <c r="AO189" t="s">
        <v>995</v>
      </c>
      <c r="AP189" t="s">
        <v>160</v>
      </c>
      <c r="AQ189" t="s">
        <v>288</v>
      </c>
    </row>
    <row r="190" spans="1:43" hidden="1" x14ac:dyDescent="0.3">
      <c r="A190">
        <v>186</v>
      </c>
      <c r="B190" t="s">
        <v>991</v>
      </c>
      <c r="C190" t="s">
        <v>6</v>
      </c>
      <c r="L190">
        <v>3</v>
      </c>
      <c r="X190">
        <v>7.5</v>
      </c>
      <c r="AB190">
        <v>2</v>
      </c>
      <c r="AE190">
        <v>25</v>
      </c>
      <c r="AH190" t="s">
        <v>992</v>
      </c>
      <c r="AI190" t="s">
        <v>993</v>
      </c>
      <c r="AL190">
        <v>2</v>
      </c>
      <c r="AM190" t="s">
        <v>994</v>
      </c>
      <c r="AN190" t="s">
        <v>743</v>
      </c>
      <c r="AO190" t="s">
        <v>995</v>
      </c>
      <c r="AP190" t="s">
        <v>160</v>
      </c>
      <c r="AQ190" t="s">
        <v>288</v>
      </c>
    </row>
    <row r="191" spans="1:43" hidden="1" x14ac:dyDescent="0.3">
      <c r="A191">
        <v>187</v>
      </c>
      <c r="B191" t="s">
        <v>991</v>
      </c>
      <c r="C191" t="s">
        <v>6</v>
      </c>
      <c r="L191">
        <v>4</v>
      </c>
      <c r="X191">
        <v>7.5</v>
      </c>
      <c r="AB191">
        <v>2</v>
      </c>
      <c r="AE191">
        <v>25</v>
      </c>
      <c r="AH191" t="s">
        <v>992</v>
      </c>
      <c r="AI191" t="s">
        <v>993</v>
      </c>
      <c r="AL191">
        <v>3</v>
      </c>
      <c r="AM191" t="s">
        <v>994</v>
      </c>
      <c r="AN191" t="s">
        <v>743</v>
      </c>
      <c r="AO191" t="s">
        <v>995</v>
      </c>
      <c r="AP191" t="s">
        <v>160</v>
      </c>
      <c r="AQ191" t="s">
        <v>288</v>
      </c>
    </row>
    <row r="192" spans="1:43" hidden="1" x14ac:dyDescent="0.3">
      <c r="A192">
        <v>188</v>
      </c>
      <c r="B192" t="s">
        <v>991</v>
      </c>
      <c r="C192" t="s">
        <v>6</v>
      </c>
      <c r="L192">
        <v>4</v>
      </c>
      <c r="X192">
        <v>7.5</v>
      </c>
      <c r="AB192">
        <v>2</v>
      </c>
      <c r="AE192">
        <v>25</v>
      </c>
      <c r="AH192" t="s">
        <v>992</v>
      </c>
      <c r="AI192" t="s">
        <v>993</v>
      </c>
      <c r="AL192">
        <v>4</v>
      </c>
      <c r="AM192" t="s">
        <v>994</v>
      </c>
      <c r="AN192" t="s">
        <v>743</v>
      </c>
      <c r="AO192" t="s">
        <v>995</v>
      </c>
      <c r="AP192" t="s">
        <v>160</v>
      </c>
      <c r="AQ192" t="s">
        <v>288</v>
      </c>
    </row>
    <row r="193" spans="1:43" hidden="1" x14ac:dyDescent="0.3">
      <c r="A193">
        <v>189</v>
      </c>
      <c r="B193" t="s">
        <v>991</v>
      </c>
      <c r="C193" t="s">
        <v>6</v>
      </c>
      <c r="L193">
        <v>3</v>
      </c>
      <c r="X193">
        <v>8</v>
      </c>
      <c r="AB193">
        <v>2</v>
      </c>
      <c r="AE193">
        <v>25</v>
      </c>
      <c r="AH193" t="s">
        <v>992</v>
      </c>
      <c r="AI193" t="s">
        <v>993</v>
      </c>
      <c r="AL193">
        <v>1</v>
      </c>
      <c r="AM193" t="s">
        <v>994</v>
      </c>
      <c r="AN193" t="s">
        <v>743</v>
      </c>
      <c r="AO193" t="s">
        <v>995</v>
      </c>
      <c r="AP193" t="s">
        <v>160</v>
      </c>
      <c r="AQ193" t="s">
        <v>288</v>
      </c>
    </row>
    <row r="194" spans="1:43" hidden="1" x14ac:dyDescent="0.3">
      <c r="A194">
        <v>190</v>
      </c>
      <c r="B194" t="s">
        <v>991</v>
      </c>
      <c r="C194" t="s">
        <v>6</v>
      </c>
      <c r="L194">
        <v>4</v>
      </c>
      <c r="X194">
        <v>8</v>
      </c>
      <c r="AB194">
        <v>2</v>
      </c>
      <c r="AE194">
        <v>25</v>
      </c>
      <c r="AH194" t="s">
        <v>992</v>
      </c>
      <c r="AI194" t="s">
        <v>993</v>
      </c>
      <c r="AL194">
        <v>2</v>
      </c>
      <c r="AM194" t="s">
        <v>994</v>
      </c>
      <c r="AN194" t="s">
        <v>743</v>
      </c>
      <c r="AO194" t="s">
        <v>995</v>
      </c>
      <c r="AP194" t="s">
        <v>160</v>
      </c>
      <c r="AQ194" t="s">
        <v>288</v>
      </c>
    </row>
    <row r="195" spans="1:43" hidden="1" x14ac:dyDescent="0.3">
      <c r="A195">
        <v>191</v>
      </c>
      <c r="B195" t="s">
        <v>991</v>
      </c>
      <c r="C195" t="s">
        <v>6</v>
      </c>
      <c r="L195">
        <v>5</v>
      </c>
      <c r="X195">
        <v>8</v>
      </c>
      <c r="AB195">
        <v>2</v>
      </c>
      <c r="AE195">
        <v>25</v>
      </c>
      <c r="AH195" t="s">
        <v>992</v>
      </c>
      <c r="AI195" t="s">
        <v>993</v>
      </c>
      <c r="AL195">
        <v>3</v>
      </c>
      <c r="AM195" t="s">
        <v>994</v>
      </c>
      <c r="AN195" t="s">
        <v>743</v>
      </c>
      <c r="AO195" t="s">
        <v>995</v>
      </c>
      <c r="AP195" t="s">
        <v>160</v>
      </c>
      <c r="AQ195" t="s">
        <v>288</v>
      </c>
    </row>
    <row r="196" spans="1:43" hidden="1" x14ac:dyDescent="0.3">
      <c r="A196">
        <v>192</v>
      </c>
      <c r="B196" t="s">
        <v>991</v>
      </c>
      <c r="C196" t="s">
        <v>6</v>
      </c>
      <c r="L196">
        <v>6</v>
      </c>
      <c r="X196">
        <v>8</v>
      </c>
      <c r="AB196">
        <v>2</v>
      </c>
      <c r="AE196">
        <v>25</v>
      </c>
      <c r="AH196" t="s">
        <v>992</v>
      </c>
      <c r="AI196" t="s">
        <v>993</v>
      </c>
      <c r="AL196">
        <v>4</v>
      </c>
      <c r="AM196" t="s">
        <v>994</v>
      </c>
      <c r="AN196" t="s">
        <v>743</v>
      </c>
      <c r="AO196" t="s">
        <v>995</v>
      </c>
      <c r="AP196" t="s">
        <v>160</v>
      </c>
      <c r="AQ196" t="s">
        <v>288</v>
      </c>
    </row>
    <row r="197" spans="1:43" hidden="1" x14ac:dyDescent="0.3">
      <c r="A197">
        <v>193</v>
      </c>
      <c r="B197" t="s">
        <v>991</v>
      </c>
      <c r="C197" t="s">
        <v>6</v>
      </c>
      <c r="L197">
        <v>4</v>
      </c>
      <c r="X197">
        <v>8.5</v>
      </c>
      <c r="AB197">
        <v>2</v>
      </c>
      <c r="AE197">
        <v>25</v>
      </c>
      <c r="AH197" t="s">
        <v>992</v>
      </c>
      <c r="AI197" t="s">
        <v>993</v>
      </c>
      <c r="AL197">
        <v>1</v>
      </c>
      <c r="AM197" t="s">
        <v>994</v>
      </c>
      <c r="AN197" t="s">
        <v>743</v>
      </c>
      <c r="AO197" t="s">
        <v>995</v>
      </c>
      <c r="AP197" t="s">
        <v>160</v>
      </c>
      <c r="AQ197" t="s">
        <v>288</v>
      </c>
    </row>
    <row r="198" spans="1:43" hidden="1" x14ac:dyDescent="0.3">
      <c r="A198">
        <v>194</v>
      </c>
      <c r="B198" t="s">
        <v>991</v>
      </c>
      <c r="C198" t="s">
        <v>6</v>
      </c>
      <c r="L198">
        <v>5</v>
      </c>
      <c r="X198">
        <v>8.5</v>
      </c>
      <c r="AB198">
        <v>2</v>
      </c>
      <c r="AE198">
        <v>25</v>
      </c>
      <c r="AH198" t="s">
        <v>992</v>
      </c>
      <c r="AI198" t="s">
        <v>993</v>
      </c>
      <c r="AL198">
        <v>2</v>
      </c>
      <c r="AM198" t="s">
        <v>994</v>
      </c>
      <c r="AN198" t="s">
        <v>743</v>
      </c>
      <c r="AO198" t="s">
        <v>995</v>
      </c>
      <c r="AP198" t="s">
        <v>160</v>
      </c>
      <c r="AQ198" t="s">
        <v>288</v>
      </c>
    </row>
    <row r="199" spans="1:43" hidden="1" x14ac:dyDescent="0.3">
      <c r="A199">
        <v>195</v>
      </c>
      <c r="B199" t="s">
        <v>991</v>
      </c>
      <c r="C199" t="s">
        <v>6</v>
      </c>
      <c r="L199">
        <v>7</v>
      </c>
      <c r="X199">
        <v>8.5</v>
      </c>
      <c r="AB199">
        <v>2</v>
      </c>
      <c r="AE199">
        <v>25</v>
      </c>
      <c r="AH199" t="s">
        <v>992</v>
      </c>
      <c r="AI199" t="s">
        <v>993</v>
      </c>
      <c r="AL199">
        <v>3</v>
      </c>
      <c r="AM199" t="s">
        <v>994</v>
      </c>
      <c r="AN199" t="s">
        <v>743</v>
      </c>
      <c r="AO199" t="s">
        <v>995</v>
      </c>
      <c r="AP199" t="s">
        <v>160</v>
      </c>
      <c r="AQ199" t="s">
        <v>288</v>
      </c>
    </row>
    <row r="200" spans="1:43" hidden="1" x14ac:dyDescent="0.3">
      <c r="A200">
        <v>196</v>
      </c>
      <c r="B200" t="s">
        <v>991</v>
      </c>
      <c r="C200" t="s">
        <v>6</v>
      </c>
      <c r="L200">
        <v>8</v>
      </c>
      <c r="X200">
        <v>8.5</v>
      </c>
      <c r="AB200">
        <v>2</v>
      </c>
      <c r="AE200">
        <v>25</v>
      </c>
      <c r="AH200" t="s">
        <v>992</v>
      </c>
      <c r="AI200" t="s">
        <v>993</v>
      </c>
      <c r="AL200">
        <v>4</v>
      </c>
      <c r="AM200" t="s">
        <v>994</v>
      </c>
      <c r="AN200" t="s">
        <v>743</v>
      </c>
      <c r="AO200" t="s">
        <v>995</v>
      </c>
      <c r="AP200" t="s">
        <v>160</v>
      </c>
      <c r="AQ200" t="s">
        <v>288</v>
      </c>
    </row>
    <row r="201" spans="1:43" hidden="1" x14ac:dyDescent="0.3">
      <c r="A201">
        <v>197</v>
      </c>
      <c r="B201" t="s">
        <v>991</v>
      </c>
      <c r="C201" t="s">
        <v>6</v>
      </c>
      <c r="L201">
        <v>4</v>
      </c>
      <c r="X201">
        <v>9</v>
      </c>
      <c r="AB201">
        <v>2</v>
      </c>
      <c r="AE201">
        <v>25</v>
      </c>
      <c r="AH201" t="s">
        <v>992</v>
      </c>
      <c r="AI201" t="s">
        <v>993</v>
      </c>
      <c r="AL201">
        <v>1</v>
      </c>
      <c r="AM201" t="s">
        <v>994</v>
      </c>
      <c r="AN201" t="s">
        <v>743</v>
      </c>
      <c r="AO201" t="s">
        <v>995</v>
      </c>
      <c r="AP201" t="s">
        <v>160</v>
      </c>
      <c r="AQ201" t="s">
        <v>288</v>
      </c>
    </row>
    <row r="202" spans="1:43" hidden="1" x14ac:dyDescent="0.3">
      <c r="A202">
        <v>198</v>
      </c>
      <c r="B202" t="s">
        <v>991</v>
      </c>
      <c r="C202" t="s">
        <v>6</v>
      </c>
      <c r="L202">
        <v>6</v>
      </c>
      <c r="X202">
        <v>9</v>
      </c>
      <c r="AB202">
        <v>2</v>
      </c>
      <c r="AE202">
        <v>25</v>
      </c>
      <c r="AH202" t="s">
        <v>992</v>
      </c>
      <c r="AI202" t="s">
        <v>993</v>
      </c>
      <c r="AL202">
        <v>2</v>
      </c>
      <c r="AM202" t="s">
        <v>994</v>
      </c>
      <c r="AN202" t="s">
        <v>743</v>
      </c>
      <c r="AO202" t="s">
        <v>995</v>
      </c>
      <c r="AP202" t="s">
        <v>160</v>
      </c>
      <c r="AQ202" t="s">
        <v>288</v>
      </c>
    </row>
    <row r="203" spans="1:43" hidden="1" x14ac:dyDescent="0.3">
      <c r="A203">
        <v>199</v>
      </c>
      <c r="B203" t="s">
        <v>991</v>
      </c>
      <c r="C203" t="s">
        <v>6</v>
      </c>
      <c r="L203">
        <v>8</v>
      </c>
      <c r="X203">
        <v>9</v>
      </c>
      <c r="AB203">
        <v>2</v>
      </c>
      <c r="AE203">
        <v>25</v>
      </c>
      <c r="AH203" t="s">
        <v>992</v>
      </c>
      <c r="AI203" t="s">
        <v>993</v>
      </c>
      <c r="AL203">
        <v>3</v>
      </c>
      <c r="AM203" t="s">
        <v>994</v>
      </c>
      <c r="AN203" t="s">
        <v>743</v>
      </c>
      <c r="AO203" t="s">
        <v>995</v>
      </c>
      <c r="AP203" t="s">
        <v>160</v>
      </c>
      <c r="AQ203" t="s">
        <v>288</v>
      </c>
    </row>
    <row r="204" spans="1:43" hidden="1" x14ac:dyDescent="0.3">
      <c r="A204">
        <v>200</v>
      </c>
      <c r="B204" t="s">
        <v>991</v>
      </c>
      <c r="C204" t="s">
        <v>6</v>
      </c>
      <c r="L204">
        <v>10</v>
      </c>
      <c r="X204">
        <v>9</v>
      </c>
      <c r="AB204">
        <v>2</v>
      </c>
      <c r="AE204">
        <v>25</v>
      </c>
      <c r="AH204" t="s">
        <v>992</v>
      </c>
      <c r="AI204" t="s">
        <v>993</v>
      </c>
      <c r="AL204">
        <v>4</v>
      </c>
      <c r="AM204" t="s">
        <v>994</v>
      </c>
      <c r="AN204" t="s">
        <v>743</v>
      </c>
      <c r="AO204" t="s">
        <v>995</v>
      </c>
      <c r="AP204" t="s">
        <v>160</v>
      </c>
      <c r="AQ204" t="s">
        <v>288</v>
      </c>
    </row>
    <row r="205" spans="1:43" hidden="1" x14ac:dyDescent="0.3">
      <c r="A205">
        <v>201</v>
      </c>
      <c r="B205" t="s">
        <v>991</v>
      </c>
      <c r="C205" t="s">
        <v>6</v>
      </c>
      <c r="L205">
        <v>4</v>
      </c>
      <c r="X205">
        <v>7</v>
      </c>
      <c r="AB205">
        <v>5</v>
      </c>
      <c r="AE205">
        <v>5</v>
      </c>
      <c r="AH205" t="s">
        <v>992</v>
      </c>
      <c r="AI205" t="s">
        <v>993</v>
      </c>
      <c r="AL205">
        <v>1</v>
      </c>
      <c r="AM205" t="s">
        <v>994</v>
      </c>
      <c r="AN205" t="s">
        <v>743</v>
      </c>
      <c r="AO205" t="s">
        <v>995</v>
      </c>
      <c r="AP205" t="s">
        <v>160</v>
      </c>
      <c r="AQ205" t="s">
        <v>288</v>
      </c>
    </row>
    <row r="206" spans="1:43" hidden="1" x14ac:dyDescent="0.3">
      <c r="A206">
        <v>202</v>
      </c>
      <c r="B206" t="s">
        <v>991</v>
      </c>
      <c r="C206" t="s">
        <v>6</v>
      </c>
      <c r="L206">
        <v>6</v>
      </c>
      <c r="X206">
        <v>7</v>
      </c>
      <c r="AB206">
        <v>5</v>
      </c>
      <c r="AE206">
        <v>5</v>
      </c>
      <c r="AH206" t="s">
        <v>992</v>
      </c>
      <c r="AI206" t="s">
        <v>993</v>
      </c>
      <c r="AL206">
        <v>2</v>
      </c>
      <c r="AM206" t="s">
        <v>994</v>
      </c>
      <c r="AN206" t="s">
        <v>743</v>
      </c>
      <c r="AO206" t="s">
        <v>995</v>
      </c>
      <c r="AP206" t="s">
        <v>160</v>
      </c>
      <c r="AQ206" t="s">
        <v>288</v>
      </c>
    </row>
    <row r="207" spans="1:43" hidden="1" x14ac:dyDescent="0.3">
      <c r="A207">
        <v>203</v>
      </c>
      <c r="B207" t="s">
        <v>991</v>
      </c>
      <c r="C207" t="s">
        <v>6</v>
      </c>
      <c r="L207">
        <v>7</v>
      </c>
      <c r="X207">
        <v>7</v>
      </c>
      <c r="AB207">
        <v>5</v>
      </c>
      <c r="AE207">
        <v>5</v>
      </c>
      <c r="AH207" t="s">
        <v>992</v>
      </c>
      <c r="AI207" t="s">
        <v>993</v>
      </c>
      <c r="AL207">
        <v>3</v>
      </c>
      <c r="AM207" t="s">
        <v>994</v>
      </c>
      <c r="AN207" t="s">
        <v>743</v>
      </c>
      <c r="AO207" t="s">
        <v>995</v>
      </c>
      <c r="AP207" t="s">
        <v>160</v>
      </c>
      <c r="AQ207" t="s">
        <v>288</v>
      </c>
    </row>
    <row r="208" spans="1:43" hidden="1" x14ac:dyDescent="0.3">
      <c r="A208">
        <v>204</v>
      </c>
      <c r="B208" t="s">
        <v>991</v>
      </c>
      <c r="C208" t="s">
        <v>6</v>
      </c>
      <c r="L208">
        <v>9</v>
      </c>
      <c r="X208">
        <v>7</v>
      </c>
      <c r="AB208">
        <v>5</v>
      </c>
      <c r="AE208">
        <v>5</v>
      </c>
      <c r="AH208" t="s">
        <v>992</v>
      </c>
      <c r="AI208" t="s">
        <v>993</v>
      </c>
      <c r="AL208">
        <v>4</v>
      </c>
      <c r="AM208" t="s">
        <v>994</v>
      </c>
      <c r="AN208" t="s">
        <v>743</v>
      </c>
      <c r="AO208" t="s">
        <v>995</v>
      </c>
      <c r="AP208" t="s">
        <v>160</v>
      </c>
      <c r="AQ208" t="s">
        <v>288</v>
      </c>
    </row>
    <row r="209" spans="1:43" hidden="1" x14ac:dyDescent="0.3">
      <c r="A209">
        <v>205</v>
      </c>
      <c r="B209" t="s">
        <v>991</v>
      </c>
      <c r="C209" t="s">
        <v>6</v>
      </c>
      <c r="L209">
        <v>8</v>
      </c>
      <c r="X209">
        <v>7.5</v>
      </c>
      <c r="AB209">
        <v>5</v>
      </c>
      <c r="AE209">
        <v>5</v>
      </c>
      <c r="AH209" t="s">
        <v>992</v>
      </c>
      <c r="AI209" t="s">
        <v>993</v>
      </c>
      <c r="AL209">
        <v>1</v>
      </c>
      <c r="AM209" t="s">
        <v>994</v>
      </c>
      <c r="AN209" t="s">
        <v>743</v>
      </c>
      <c r="AO209" t="s">
        <v>995</v>
      </c>
      <c r="AP209" t="s">
        <v>160</v>
      </c>
      <c r="AQ209" t="s">
        <v>288</v>
      </c>
    </row>
    <row r="210" spans="1:43" hidden="1" x14ac:dyDescent="0.3">
      <c r="A210">
        <v>206</v>
      </c>
      <c r="B210" t="s">
        <v>991</v>
      </c>
      <c r="C210" t="s">
        <v>6</v>
      </c>
      <c r="L210">
        <v>13</v>
      </c>
      <c r="X210">
        <v>7.5</v>
      </c>
      <c r="AB210">
        <v>5</v>
      </c>
      <c r="AE210">
        <v>5</v>
      </c>
      <c r="AH210" t="s">
        <v>992</v>
      </c>
      <c r="AI210" t="s">
        <v>993</v>
      </c>
      <c r="AL210">
        <v>2</v>
      </c>
      <c r="AM210" t="s">
        <v>994</v>
      </c>
      <c r="AN210" t="s">
        <v>743</v>
      </c>
      <c r="AO210" t="s">
        <v>995</v>
      </c>
      <c r="AP210" t="s">
        <v>160</v>
      </c>
      <c r="AQ210" t="s">
        <v>288</v>
      </c>
    </row>
    <row r="211" spans="1:43" hidden="1" x14ac:dyDescent="0.3">
      <c r="A211">
        <v>207</v>
      </c>
      <c r="B211" t="s">
        <v>991</v>
      </c>
      <c r="C211" t="s">
        <v>6</v>
      </c>
      <c r="L211">
        <v>16</v>
      </c>
      <c r="X211">
        <v>7.5</v>
      </c>
      <c r="AB211">
        <v>5</v>
      </c>
      <c r="AE211">
        <v>5</v>
      </c>
      <c r="AH211" t="s">
        <v>992</v>
      </c>
      <c r="AI211" t="s">
        <v>993</v>
      </c>
      <c r="AL211">
        <v>3</v>
      </c>
      <c r="AM211" t="s">
        <v>994</v>
      </c>
      <c r="AN211" t="s">
        <v>743</v>
      </c>
      <c r="AO211" t="s">
        <v>995</v>
      </c>
      <c r="AP211" t="s">
        <v>160</v>
      </c>
      <c r="AQ211" t="s">
        <v>288</v>
      </c>
    </row>
    <row r="212" spans="1:43" hidden="1" x14ac:dyDescent="0.3">
      <c r="A212">
        <v>208</v>
      </c>
      <c r="B212" t="s">
        <v>991</v>
      </c>
      <c r="C212" t="s">
        <v>6</v>
      </c>
      <c r="L212">
        <v>21</v>
      </c>
      <c r="X212">
        <v>7.5</v>
      </c>
      <c r="AB212">
        <v>5</v>
      </c>
      <c r="AE212">
        <v>5</v>
      </c>
      <c r="AH212" t="s">
        <v>992</v>
      </c>
      <c r="AI212" t="s">
        <v>993</v>
      </c>
      <c r="AL212">
        <v>4</v>
      </c>
      <c r="AM212" t="s">
        <v>994</v>
      </c>
      <c r="AN212" t="s">
        <v>743</v>
      </c>
      <c r="AO212" t="s">
        <v>995</v>
      </c>
      <c r="AP212" t="s">
        <v>160</v>
      </c>
      <c r="AQ212" t="s">
        <v>288</v>
      </c>
    </row>
    <row r="213" spans="1:43" hidden="1" x14ac:dyDescent="0.3">
      <c r="A213">
        <v>209</v>
      </c>
      <c r="B213" t="s">
        <v>991</v>
      </c>
      <c r="C213" t="s">
        <v>6</v>
      </c>
      <c r="L213">
        <v>12</v>
      </c>
      <c r="X213">
        <v>8</v>
      </c>
      <c r="AB213">
        <v>5</v>
      </c>
      <c r="AE213">
        <v>5</v>
      </c>
      <c r="AH213" t="s">
        <v>992</v>
      </c>
      <c r="AI213" t="s">
        <v>993</v>
      </c>
      <c r="AL213">
        <v>1</v>
      </c>
      <c r="AM213" t="s">
        <v>994</v>
      </c>
      <c r="AN213" t="s">
        <v>743</v>
      </c>
      <c r="AO213" t="s">
        <v>995</v>
      </c>
      <c r="AP213" t="s">
        <v>160</v>
      </c>
      <c r="AQ213" t="s">
        <v>288</v>
      </c>
    </row>
    <row r="214" spans="1:43" hidden="1" x14ac:dyDescent="0.3">
      <c r="A214">
        <v>210</v>
      </c>
      <c r="B214" t="s">
        <v>991</v>
      </c>
      <c r="C214" t="s">
        <v>6</v>
      </c>
      <c r="L214">
        <v>19</v>
      </c>
      <c r="X214">
        <v>8</v>
      </c>
      <c r="AB214">
        <v>5</v>
      </c>
      <c r="AE214">
        <v>5</v>
      </c>
      <c r="AH214" t="s">
        <v>992</v>
      </c>
      <c r="AI214" t="s">
        <v>993</v>
      </c>
      <c r="AL214">
        <v>2</v>
      </c>
      <c r="AM214" t="s">
        <v>994</v>
      </c>
      <c r="AN214" t="s">
        <v>743</v>
      </c>
      <c r="AO214" t="s">
        <v>995</v>
      </c>
      <c r="AP214" t="s">
        <v>160</v>
      </c>
      <c r="AQ214" t="s">
        <v>288</v>
      </c>
    </row>
    <row r="215" spans="1:43" hidden="1" x14ac:dyDescent="0.3">
      <c r="A215">
        <v>211</v>
      </c>
      <c r="B215" t="s">
        <v>991</v>
      </c>
      <c r="C215" t="s">
        <v>6</v>
      </c>
      <c r="L215">
        <v>25</v>
      </c>
      <c r="X215">
        <v>8</v>
      </c>
      <c r="AB215">
        <v>5</v>
      </c>
      <c r="AE215">
        <v>5</v>
      </c>
      <c r="AH215" t="s">
        <v>992</v>
      </c>
      <c r="AI215" t="s">
        <v>993</v>
      </c>
      <c r="AL215">
        <v>3</v>
      </c>
      <c r="AM215" t="s">
        <v>994</v>
      </c>
      <c r="AN215" t="s">
        <v>743</v>
      </c>
      <c r="AO215" t="s">
        <v>995</v>
      </c>
      <c r="AP215" t="s">
        <v>160</v>
      </c>
      <c r="AQ215" t="s">
        <v>288</v>
      </c>
    </row>
    <row r="216" spans="1:43" hidden="1" x14ac:dyDescent="0.3">
      <c r="A216">
        <v>212</v>
      </c>
      <c r="B216" t="s">
        <v>991</v>
      </c>
      <c r="C216" t="s">
        <v>6</v>
      </c>
      <c r="L216">
        <v>32</v>
      </c>
      <c r="X216">
        <v>8</v>
      </c>
      <c r="AB216">
        <v>5</v>
      </c>
      <c r="AE216">
        <v>5</v>
      </c>
      <c r="AH216" t="s">
        <v>992</v>
      </c>
      <c r="AI216" t="s">
        <v>993</v>
      </c>
      <c r="AL216">
        <v>4</v>
      </c>
      <c r="AM216" t="s">
        <v>994</v>
      </c>
      <c r="AN216" t="s">
        <v>743</v>
      </c>
      <c r="AO216" t="s">
        <v>995</v>
      </c>
      <c r="AP216" t="s">
        <v>160</v>
      </c>
      <c r="AQ216" t="s">
        <v>288</v>
      </c>
    </row>
    <row r="217" spans="1:43" hidden="1" x14ac:dyDescent="0.3">
      <c r="A217">
        <v>213</v>
      </c>
      <c r="B217" t="s">
        <v>991</v>
      </c>
      <c r="C217" t="s">
        <v>6</v>
      </c>
      <c r="L217">
        <v>14</v>
      </c>
      <c r="X217">
        <v>8.5</v>
      </c>
      <c r="AB217">
        <v>5</v>
      </c>
      <c r="AE217">
        <v>5</v>
      </c>
      <c r="AH217" t="s">
        <v>992</v>
      </c>
      <c r="AI217" t="s">
        <v>993</v>
      </c>
      <c r="AL217">
        <v>1</v>
      </c>
      <c r="AM217" t="s">
        <v>994</v>
      </c>
      <c r="AN217" t="s">
        <v>743</v>
      </c>
      <c r="AO217" t="s">
        <v>995</v>
      </c>
      <c r="AP217" t="s">
        <v>160</v>
      </c>
      <c r="AQ217" t="s">
        <v>288</v>
      </c>
    </row>
    <row r="218" spans="1:43" hidden="1" x14ac:dyDescent="0.3">
      <c r="A218">
        <v>214</v>
      </c>
      <c r="B218" t="s">
        <v>991</v>
      </c>
      <c r="C218" t="s">
        <v>6</v>
      </c>
      <c r="L218">
        <v>21</v>
      </c>
      <c r="X218">
        <v>8.5</v>
      </c>
      <c r="AB218">
        <v>5</v>
      </c>
      <c r="AE218">
        <v>5</v>
      </c>
      <c r="AH218" t="s">
        <v>992</v>
      </c>
      <c r="AI218" t="s">
        <v>993</v>
      </c>
      <c r="AL218">
        <v>2</v>
      </c>
      <c r="AM218" t="s">
        <v>994</v>
      </c>
      <c r="AN218" t="s">
        <v>743</v>
      </c>
      <c r="AO218" t="s">
        <v>995</v>
      </c>
      <c r="AP218" t="s">
        <v>160</v>
      </c>
      <c r="AQ218" t="s">
        <v>288</v>
      </c>
    </row>
    <row r="219" spans="1:43" hidden="1" x14ac:dyDescent="0.3">
      <c r="A219">
        <v>215</v>
      </c>
      <c r="B219" t="s">
        <v>991</v>
      </c>
      <c r="C219" t="s">
        <v>6</v>
      </c>
      <c r="L219">
        <v>29</v>
      </c>
      <c r="X219">
        <v>8.5</v>
      </c>
      <c r="AB219">
        <v>5</v>
      </c>
      <c r="AE219">
        <v>5</v>
      </c>
      <c r="AH219" t="s">
        <v>992</v>
      </c>
      <c r="AI219" t="s">
        <v>993</v>
      </c>
      <c r="AL219">
        <v>3</v>
      </c>
      <c r="AM219" t="s">
        <v>994</v>
      </c>
      <c r="AN219" t="s">
        <v>743</v>
      </c>
      <c r="AO219" t="s">
        <v>995</v>
      </c>
      <c r="AP219" t="s">
        <v>160</v>
      </c>
      <c r="AQ219" t="s">
        <v>288</v>
      </c>
    </row>
    <row r="220" spans="1:43" hidden="1" x14ac:dyDescent="0.3">
      <c r="A220">
        <v>216</v>
      </c>
      <c r="B220" t="s">
        <v>991</v>
      </c>
      <c r="C220" t="s">
        <v>6</v>
      </c>
      <c r="L220">
        <v>37</v>
      </c>
      <c r="X220">
        <v>8.5</v>
      </c>
      <c r="AB220">
        <v>5</v>
      </c>
      <c r="AE220">
        <v>5</v>
      </c>
      <c r="AH220" t="s">
        <v>992</v>
      </c>
      <c r="AI220" t="s">
        <v>993</v>
      </c>
      <c r="AL220">
        <v>4</v>
      </c>
      <c r="AM220" t="s">
        <v>994</v>
      </c>
      <c r="AN220" t="s">
        <v>743</v>
      </c>
      <c r="AO220" t="s">
        <v>995</v>
      </c>
      <c r="AP220" t="s">
        <v>160</v>
      </c>
      <c r="AQ220" t="s">
        <v>288</v>
      </c>
    </row>
    <row r="221" spans="1:43" hidden="1" x14ac:dyDescent="0.3">
      <c r="A221">
        <v>217</v>
      </c>
      <c r="B221" t="s">
        <v>991</v>
      </c>
      <c r="C221" t="s">
        <v>6</v>
      </c>
      <c r="L221">
        <v>15</v>
      </c>
      <c r="X221">
        <v>9</v>
      </c>
      <c r="AB221">
        <v>5</v>
      </c>
      <c r="AE221">
        <v>5</v>
      </c>
      <c r="AH221" t="s">
        <v>992</v>
      </c>
      <c r="AI221" t="s">
        <v>993</v>
      </c>
      <c r="AL221">
        <v>1</v>
      </c>
      <c r="AM221" t="s">
        <v>994</v>
      </c>
      <c r="AN221" t="s">
        <v>743</v>
      </c>
      <c r="AO221" t="s">
        <v>995</v>
      </c>
      <c r="AP221" t="s">
        <v>160</v>
      </c>
      <c r="AQ221" t="s">
        <v>288</v>
      </c>
    </row>
    <row r="222" spans="1:43" hidden="1" x14ac:dyDescent="0.3">
      <c r="A222">
        <v>218</v>
      </c>
      <c r="B222" t="s">
        <v>991</v>
      </c>
      <c r="C222" t="s">
        <v>6</v>
      </c>
      <c r="L222">
        <v>23</v>
      </c>
      <c r="X222">
        <v>9</v>
      </c>
      <c r="AB222">
        <v>5</v>
      </c>
      <c r="AE222">
        <v>5</v>
      </c>
      <c r="AH222" t="s">
        <v>992</v>
      </c>
      <c r="AI222" t="s">
        <v>993</v>
      </c>
      <c r="AL222">
        <v>2</v>
      </c>
      <c r="AM222" t="s">
        <v>994</v>
      </c>
      <c r="AN222" t="s">
        <v>743</v>
      </c>
      <c r="AO222" t="s">
        <v>995</v>
      </c>
      <c r="AP222" t="s">
        <v>160</v>
      </c>
      <c r="AQ222" t="s">
        <v>288</v>
      </c>
    </row>
    <row r="223" spans="1:43" hidden="1" x14ac:dyDescent="0.3">
      <c r="A223">
        <v>219</v>
      </c>
      <c r="B223" t="s">
        <v>991</v>
      </c>
      <c r="C223" t="s">
        <v>6</v>
      </c>
      <c r="L223">
        <v>32</v>
      </c>
      <c r="X223">
        <v>9</v>
      </c>
      <c r="AB223">
        <v>5</v>
      </c>
      <c r="AE223">
        <v>5</v>
      </c>
      <c r="AH223" t="s">
        <v>992</v>
      </c>
      <c r="AI223" t="s">
        <v>993</v>
      </c>
      <c r="AL223">
        <v>3</v>
      </c>
      <c r="AM223" t="s">
        <v>994</v>
      </c>
      <c r="AN223" t="s">
        <v>743</v>
      </c>
      <c r="AO223" t="s">
        <v>995</v>
      </c>
      <c r="AP223" t="s">
        <v>160</v>
      </c>
      <c r="AQ223" t="s">
        <v>288</v>
      </c>
    </row>
    <row r="224" spans="1:43" hidden="1" x14ac:dyDescent="0.3">
      <c r="A224">
        <v>220</v>
      </c>
      <c r="B224" t="s">
        <v>991</v>
      </c>
      <c r="C224" t="s">
        <v>6</v>
      </c>
      <c r="L224">
        <v>41</v>
      </c>
      <c r="X224">
        <v>9</v>
      </c>
      <c r="AB224">
        <v>5</v>
      </c>
      <c r="AE224">
        <v>5</v>
      </c>
      <c r="AH224" t="s">
        <v>992</v>
      </c>
      <c r="AI224" t="s">
        <v>993</v>
      </c>
      <c r="AL224">
        <v>4</v>
      </c>
      <c r="AM224" t="s">
        <v>994</v>
      </c>
      <c r="AN224" t="s">
        <v>743</v>
      </c>
      <c r="AO224" t="s">
        <v>995</v>
      </c>
      <c r="AP224" t="s">
        <v>160</v>
      </c>
      <c r="AQ224" t="s">
        <v>288</v>
      </c>
    </row>
    <row r="225" spans="1:43" hidden="1" x14ac:dyDescent="0.3">
      <c r="A225">
        <v>221</v>
      </c>
      <c r="B225" t="s">
        <v>991</v>
      </c>
      <c r="C225" t="s">
        <v>6</v>
      </c>
      <c r="L225">
        <v>3</v>
      </c>
      <c r="X225">
        <v>7</v>
      </c>
      <c r="AB225">
        <v>5</v>
      </c>
      <c r="AE225">
        <v>10</v>
      </c>
      <c r="AH225" t="s">
        <v>992</v>
      </c>
      <c r="AI225" t="s">
        <v>993</v>
      </c>
      <c r="AL225">
        <v>1</v>
      </c>
      <c r="AM225" t="s">
        <v>994</v>
      </c>
      <c r="AN225" t="s">
        <v>743</v>
      </c>
      <c r="AO225" t="s">
        <v>995</v>
      </c>
      <c r="AP225" t="s">
        <v>160</v>
      </c>
      <c r="AQ225" t="s">
        <v>288</v>
      </c>
    </row>
    <row r="226" spans="1:43" hidden="1" x14ac:dyDescent="0.3">
      <c r="A226">
        <v>222</v>
      </c>
      <c r="B226" t="s">
        <v>991</v>
      </c>
      <c r="C226" t="s">
        <v>6</v>
      </c>
      <c r="L226">
        <v>4</v>
      </c>
      <c r="X226">
        <v>7</v>
      </c>
      <c r="AB226">
        <v>5</v>
      </c>
      <c r="AE226">
        <v>10</v>
      </c>
      <c r="AH226" t="s">
        <v>992</v>
      </c>
      <c r="AI226" t="s">
        <v>993</v>
      </c>
      <c r="AL226">
        <v>2</v>
      </c>
      <c r="AM226" t="s">
        <v>994</v>
      </c>
      <c r="AN226" t="s">
        <v>743</v>
      </c>
      <c r="AO226" t="s">
        <v>995</v>
      </c>
      <c r="AP226" t="s">
        <v>160</v>
      </c>
      <c r="AQ226" t="s">
        <v>288</v>
      </c>
    </row>
    <row r="227" spans="1:43" hidden="1" x14ac:dyDescent="0.3">
      <c r="A227">
        <v>223</v>
      </c>
      <c r="B227" t="s">
        <v>991</v>
      </c>
      <c r="C227" t="s">
        <v>6</v>
      </c>
      <c r="L227">
        <v>5</v>
      </c>
      <c r="X227">
        <v>7</v>
      </c>
      <c r="AB227">
        <v>5</v>
      </c>
      <c r="AE227">
        <v>10</v>
      </c>
      <c r="AH227" t="s">
        <v>992</v>
      </c>
      <c r="AI227" t="s">
        <v>993</v>
      </c>
      <c r="AL227">
        <v>3</v>
      </c>
      <c r="AM227" t="s">
        <v>994</v>
      </c>
      <c r="AN227" t="s">
        <v>743</v>
      </c>
      <c r="AO227" t="s">
        <v>995</v>
      </c>
      <c r="AP227" t="s">
        <v>160</v>
      </c>
      <c r="AQ227" t="s">
        <v>288</v>
      </c>
    </row>
    <row r="228" spans="1:43" hidden="1" x14ac:dyDescent="0.3">
      <c r="A228">
        <v>224</v>
      </c>
      <c r="B228" t="s">
        <v>991</v>
      </c>
      <c r="C228" t="s">
        <v>6</v>
      </c>
      <c r="L228">
        <v>7</v>
      </c>
      <c r="X228">
        <v>7</v>
      </c>
      <c r="AB228">
        <v>5</v>
      </c>
      <c r="AE228">
        <v>10</v>
      </c>
      <c r="AH228" t="s">
        <v>992</v>
      </c>
      <c r="AI228" t="s">
        <v>993</v>
      </c>
      <c r="AL228">
        <v>4</v>
      </c>
      <c r="AM228" t="s">
        <v>994</v>
      </c>
      <c r="AN228" t="s">
        <v>743</v>
      </c>
      <c r="AO228" t="s">
        <v>995</v>
      </c>
      <c r="AP228" t="s">
        <v>160</v>
      </c>
      <c r="AQ228" t="s">
        <v>288</v>
      </c>
    </row>
    <row r="229" spans="1:43" hidden="1" x14ac:dyDescent="0.3">
      <c r="A229">
        <v>225</v>
      </c>
      <c r="B229" t="s">
        <v>991</v>
      </c>
      <c r="C229" t="s">
        <v>6</v>
      </c>
      <c r="L229">
        <v>6</v>
      </c>
      <c r="X229">
        <v>7.5</v>
      </c>
      <c r="AB229">
        <v>5</v>
      </c>
      <c r="AE229">
        <v>10</v>
      </c>
      <c r="AH229" t="s">
        <v>992</v>
      </c>
      <c r="AI229" t="s">
        <v>993</v>
      </c>
      <c r="AL229">
        <v>1</v>
      </c>
      <c r="AM229" t="s">
        <v>994</v>
      </c>
      <c r="AN229" t="s">
        <v>743</v>
      </c>
      <c r="AO229" t="s">
        <v>995</v>
      </c>
      <c r="AP229" t="s">
        <v>160</v>
      </c>
      <c r="AQ229" t="s">
        <v>288</v>
      </c>
    </row>
    <row r="230" spans="1:43" hidden="1" x14ac:dyDescent="0.3">
      <c r="A230">
        <v>226</v>
      </c>
      <c r="B230" t="s">
        <v>991</v>
      </c>
      <c r="C230" t="s">
        <v>6</v>
      </c>
      <c r="L230">
        <v>9</v>
      </c>
      <c r="X230">
        <v>7.5</v>
      </c>
      <c r="AB230">
        <v>5</v>
      </c>
      <c r="AE230">
        <v>10</v>
      </c>
      <c r="AH230" t="s">
        <v>992</v>
      </c>
      <c r="AI230" t="s">
        <v>993</v>
      </c>
      <c r="AL230">
        <v>2</v>
      </c>
      <c r="AM230" t="s">
        <v>994</v>
      </c>
      <c r="AN230" t="s">
        <v>743</v>
      </c>
      <c r="AO230" t="s">
        <v>995</v>
      </c>
      <c r="AP230" t="s">
        <v>160</v>
      </c>
      <c r="AQ230" t="s">
        <v>288</v>
      </c>
    </row>
    <row r="231" spans="1:43" hidden="1" x14ac:dyDescent="0.3">
      <c r="A231">
        <v>227</v>
      </c>
      <c r="B231" t="s">
        <v>991</v>
      </c>
      <c r="C231" t="s">
        <v>6</v>
      </c>
      <c r="L231">
        <v>12</v>
      </c>
      <c r="X231">
        <v>7.5</v>
      </c>
      <c r="AB231">
        <v>5</v>
      </c>
      <c r="AE231">
        <v>10</v>
      </c>
      <c r="AH231" t="s">
        <v>992</v>
      </c>
      <c r="AI231" t="s">
        <v>993</v>
      </c>
      <c r="AL231">
        <v>3</v>
      </c>
      <c r="AM231" t="s">
        <v>994</v>
      </c>
      <c r="AN231" t="s">
        <v>743</v>
      </c>
      <c r="AO231" t="s">
        <v>995</v>
      </c>
      <c r="AP231" t="s">
        <v>160</v>
      </c>
      <c r="AQ231" t="s">
        <v>288</v>
      </c>
    </row>
    <row r="232" spans="1:43" hidden="1" x14ac:dyDescent="0.3">
      <c r="A232">
        <v>228</v>
      </c>
      <c r="B232" t="s">
        <v>991</v>
      </c>
      <c r="C232" t="s">
        <v>6</v>
      </c>
      <c r="L232">
        <v>15</v>
      </c>
      <c r="X232">
        <v>7.5</v>
      </c>
      <c r="AB232">
        <v>5</v>
      </c>
      <c r="AE232">
        <v>10</v>
      </c>
      <c r="AH232" t="s">
        <v>992</v>
      </c>
      <c r="AI232" t="s">
        <v>993</v>
      </c>
      <c r="AL232">
        <v>4</v>
      </c>
      <c r="AM232" t="s">
        <v>994</v>
      </c>
      <c r="AN232" t="s">
        <v>743</v>
      </c>
      <c r="AO232" t="s">
        <v>995</v>
      </c>
      <c r="AP232" t="s">
        <v>160</v>
      </c>
      <c r="AQ232" t="s">
        <v>288</v>
      </c>
    </row>
    <row r="233" spans="1:43" hidden="1" x14ac:dyDescent="0.3">
      <c r="A233">
        <v>229</v>
      </c>
      <c r="B233" t="s">
        <v>991</v>
      </c>
      <c r="C233" t="s">
        <v>6</v>
      </c>
      <c r="L233">
        <v>9</v>
      </c>
      <c r="X233">
        <v>8</v>
      </c>
      <c r="AB233">
        <v>5</v>
      </c>
      <c r="AE233">
        <v>10</v>
      </c>
      <c r="AH233" t="s">
        <v>992</v>
      </c>
      <c r="AI233" t="s">
        <v>993</v>
      </c>
      <c r="AL233">
        <v>1</v>
      </c>
      <c r="AM233" t="s">
        <v>994</v>
      </c>
      <c r="AN233" t="s">
        <v>743</v>
      </c>
      <c r="AO233" t="s">
        <v>995</v>
      </c>
      <c r="AP233" t="s">
        <v>160</v>
      </c>
      <c r="AQ233" t="s">
        <v>288</v>
      </c>
    </row>
    <row r="234" spans="1:43" hidden="1" x14ac:dyDescent="0.3">
      <c r="A234">
        <v>230</v>
      </c>
      <c r="B234" t="s">
        <v>991</v>
      </c>
      <c r="C234" t="s">
        <v>6</v>
      </c>
      <c r="L234">
        <v>13</v>
      </c>
      <c r="X234">
        <v>8</v>
      </c>
      <c r="AB234">
        <v>5</v>
      </c>
      <c r="AE234">
        <v>10</v>
      </c>
      <c r="AH234" t="s">
        <v>992</v>
      </c>
      <c r="AI234" t="s">
        <v>993</v>
      </c>
      <c r="AL234">
        <v>2</v>
      </c>
      <c r="AM234" t="s">
        <v>994</v>
      </c>
      <c r="AN234" t="s">
        <v>743</v>
      </c>
      <c r="AO234" t="s">
        <v>995</v>
      </c>
      <c r="AP234" t="s">
        <v>160</v>
      </c>
      <c r="AQ234" t="s">
        <v>288</v>
      </c>
    </row>
    <row r="235" spans="1:43" hidden="1" x14ac:dyDescent="0.3">
      <c r="A235">
        <v>231</v>
      </c>
      <c r="B235" t="s">
        <v>991</v>
      </c>
      <c r="C235" t="s">
        <v>6</v>
      </c>
      <c r="L235">
        <v>18</v>
      </c>
      <c r="X235">
        <v>8</v>
      </c>
      <c r="AB235">
        <v>5</v>
      </c>
      <c r="AE235">
        <v>10</v>
      </c>
      <c r="AH235" t="s">
        <v>992</v>
      </c>
      <c r="AI235" t="s">
        <v>993</v>
      </c>
      <c r="AL235">
        <v>3</v>
      </c>
      <c r="AM235" t="s">
        <v>994</v>
      </c>
      <c r="AN235" t="s">
        <v>743</v>
      </c>
      <c r="AO235" t="s">
        <v>995</v>
      </c>
      <c r="AP235" t="s">
        <v>160</v>
      </c>
      <c r="AQ235" t="s">
        <v>288</v>
      </c>
    </row>
    <row r="236" spans="1:43" hidden="1" x14ac:dyDescent="0.3">
      <c r="A236">
        <v>232</v>
      </c>
      <c r="B236" t="s">
        <v>991</v>
      </c>
      <c r="C236" t="s">
        <v>6</v>
      </c>
      <c r="L236">
        <v>23</v>
      </c>
      <c r="X236">
        <v>8</v>
      </c>
      <c r="AB236">
        <v>5</v>
      </c>
      <c r="AE236">
        <v>10</v>
      </c>
      <c r="AH236" t="s">
        <v>992</v>
      </c>
      <c r="AI236" t="s">
        <v>993</v>
      </c>
      <c r="AL236">
        <v>4</v>
      </c>
      <c r="AM236" t="s">
        <v>994</v>
      </c>
      <c r="AN236" t="s">
        <v>743</v>
      </c>
      <c r="AO236" t="s">
        <v>995</v>
      </c>
      <c r="AP236" t="s">
        <v>160</v>
      </c>
      <c r="AQ236" t="s">
        <v>288</v>
      </c>
    </row>
    <row r="237" spans="1:43" hidden="1" x14ac:dyDescent="0.3">
      <c r="A237">
        <v>233</v>
      </c>
      <c r="B237" t="s">
        <v>991</v>
      </c>
      <c r="C237" t="s">
        <v>6</v>
      </c>
      <c r="L237">
        <v>10</v>
      </c>
      <c r="X237">
        <v>8.5</v>
      </c>
      <c r="AB237">
        <v>5</v>
      </c>
      <c r="AE237">
        <v>10</v>
      </c>
      <c r="AH237" t="s">
        <v>992</v>
      </c>
      <c r="AI237" t="s">
        <v>993</v>
      </c>
      <c r="AL237">
        <v>1</v>
      </c>
      <c r="AM237" t="s">
        <v>994</v>
      </c>
      <c r="AN237" t="s">
        <v>743</v>
      </c>
      <c r="AO237" t="s">
        <v>995</v>
      </c>
      <c r="AP237" t="s">
        <v>160</v>
      </c>
      <c r="AQ237" t="s">
        <v>288</v>
      </c>
    </row>
    <row r="238" spans="1:43" hidden="1" x14ac:dyDescent="0.3">
      <c r="A238">
        <v>234</v>
      </c>
      <c r="B238" t="s">
        <v>991</v>
      </c>
      <c r="C238" t="s">
        <v>6</v>
      </c>
      <c r="L238">
        <v>15</v>
      </c>
      <c r="X238">
        <v>8.5</v>
      </c>
      <c r="AB238">
        <v>5</v>
      </c>
      <c r="AE238">
        <v>10</v>
      </c>
      <c r="AH238" t="s">
        <v>992</v>
      </c>
      <c r="AI238" t="s">
        <v>993</v>
      </c>
      <c r="AL238">
        <v>2</v>
      </c>
      <c r="AM238" t="s">
        <v>994</v>
      </c>
      <c r="AN238" t="s">
        <v>743</v>
      </c>
      <c r="AO238" t="s">
        <v>995</v>
      </c>
      <c r="AP238" t="s">
        <v>160</v>
      </c>
      <c r="AQ238" t="s">
        <v>288</v>
      </c>
    </row>
    <row r="239" spans="1:43" hidden="1" x14ac:dyDescent="0.3">
      <c r="A239">
        <v>235</v>
      </c>
      <c r="B239" t="s">
        <v>991</v>
      </c>
      <c r="C239" t="s">
        <v>6</v>
      </c>
      <c r="L239">
        <v>21</v>
      </c>
      <c r="X239">
        <v>8.5</v>
      </c>
      <c r="AB239">
        <v>5</v>
      </c>
      <c r="AE239">
        <v>10</v>
      </c>
      <c r="AH239" t="s">
        <v>992</v>
      </c>
      <c r="AI239" t="s">
        <v>993</v>
      </c>
      <c r="AL239">
        <v>3</v>
      </c>
      <c r="AM239" t="s">
        <v>994</v>
      </c>
      <c r="AN239" t="s">
        <v>743</v>
      </c>
      <c r="AO239" t="s">
        <v>995</v>
      </c>
      <c r="AP239" t="s">
        <v>160</v>
      </c>
      <c r="AQ239" t="s">
        <v>288</v>
      </c>
    </row>
    <row r="240" spans="1:43" hidden="1" x14ac:dyDescent="0.3">
      <c r="A240">
        <v>236</v>
      </c>
      <c r="B240" t="s">
        <v>991</v>
      </c>
      <c r="C240" t="s">
        <v>6</v>
      </c>
      <c r="L240">
        <v>26</v>
      </c>
      <c r="X240">
        <v>8.5</v>
      </c>
      <c r="AB240">
        <v>5</v>
      </c>
      <c r="AE240">
        <v>10</v>
      </c>
      <c r="AH240" t="s">
        <v>992</v>
      </c>
      <c r="AI240" t="s">
        <v>993</v>
      </c>
      <c r="AL240">
        <v>4</v>
      </c>
      <c r="AM240" t="s">
        <v>994</v>
      </c>
      <c r="AN240" t="s">
        <v>743</v>
      </c>
      <c r="AO240" t="s">
        <v>995</v>
      </c>
      <c r="AP240" t="s">
        <v>160</v>
      </c>
      <c r="AQ240" t="s">
        <v>288</v>
      </c>
    </row>
    <row r="241" spans="1:43" hidden="1" x14ac:dyDescent="0.3">
      <c r="A241">
        <v>237</v>
      </c>
      <c r="B241" t="s">
        <v>991</v>
      </c>
      <c r="C241" t="s">
        <v>6</v>
      </c>
      <c r="L241">
        <v>10</v>
      </c>
      <c r="X241">
        <v>9</v>
      </c>
      <c r="AB241">
        <v>5</v>
      </c>
      <c r="AE241">
        <v>10</v>
      </c>
      <c r="AH241" t="s">
        <v>992</v>
      </c>
      <c r="AI241" t="s">
        <v>993</v>
      </c>
      <c r="AL241">
        <v>1</v>
      </c>
      <c r="AM241" t="s">
        <v>994</v>
      </c>
      <c r="AN241" t="s">
        <v>743</v>
      </c>
      <c r="AO241" t="s">
        <v>995</v>
      </c>
      <c r="AP241" t="s">
        <v>160</v>
      </c>
      <c r="AQ241" t="s">
        <v>288</v>
      </c>
    </row>
    <row r="242" spans="1:43" hidden="1" x14ac:dyDescent="0.3">
      <c r="A242">
        <v>238</v>
      </c>
      <c r="B242" t="s">
        <v>991</v>
      </c>
      <c r="C242" t="s">
        <v>6</v>
      </c>
      <c r="L242">
        <v>16</v>
      </c>
      <c r="X242">
        <v>9</v>
      </c>
      <c r="AB242">
        <v>5</v>
      </c>
      <c r="AE242">
        <v>10</v>
      </c>
      <c r="AH242" t="s">
        <v>992</v>
      </c>
      <c r="AI242" t="s">
        <v>993</v>
      </c>
      <c r="AL242">
        <v>2</v>
      </c>
      <c r="AM242" t="s">
        <v>994</v>
      </c>
      <c r="AN242" t="s">
        <v>743</v>
      </c>
      <c r="AO242" t="s">
        <v>995</v>
      </c>
      <c r="AP242" t="s">
        <v>160</v>
      </c>
      <c r="AQ242" t="s">
        <v>288</v>
      </c>
    </row>
    <row r="243" spans="1:43" hidden="1" x14ac:dyDescent="0.3">
      <c r="A243">
        <v>239</v>
      </c>
      <c r="B243" t="s">
        <v>991</v>
      </c>
      <c r="C243" t="s">
        <v>6</v>
      </c>
      <c r="L243">
        <v>23</v>
      </c>
      <c r="X243">
        <v>9</v>
      </c>
      <c r="AB243">
        <v>5</v>
      </c>
      <c r="AE243">
        <v>10</v>
      </c>
      <c r="AH243" t="s">
        <v>992</v>
      </c>
      <c r="AI243" t="s">
        <v>993</v>
      </c>
      <c r="AL243">
        <v>3</v>
      </c>
      <c r="AM243" t="s">
        <v>994</v>
      </c>
      <c r="AN243" t="s">
        <v>743</v>
      </c>
      <c r="AO243" t="s">
        <v>995</v>
      </c>
      <c r="AP243" t="s">
        <v>160</v>
      </c>
      <c r="AQ243" t="s">
        <v>288</v>
      </c>
    </row>
    <row r="244" spans="1:43" hidden="1" x14ac:dyDescent="0.3">
      <c r="A244">
        <v>240</v>
      </c>
      <c r="B244" t="s">
        <v>991</v>
      </c>
      <c r="C244" t="s">
        <v>6</v>
      </c>
      <c r="L244">
        <v>29</v>
      </c>
      <c r="X244">
        <v>9</v>
      </c>
      <c r="AB244">
        <v>5</v>
      </c>
      <c r="AE244">
        <v>10</v>
      </c>
      <c r="AH244" t="s">
        <v>992</v>
      </c>
      <c r="AI244" t="s">
        <v>993</v>
      </c>
      <c r="AL244">
        <v>4</v>
      </c>
      <c r="AM244" t="s">
        <v>994</v>
      </c>
      <c r="AN244" t="s">
        <v>743</v>
      </c>
      <c r="AO244" t="s">
        <v>995</v>
      </c>
      <c r="AP244" t="s">
        <v>160</v>
      </c>
      <c r="AQ244" t="s">
        <v>288</v>
      </c>
    </row>
    <row r="245" spans="1:43" hidden="1" x14ac:dyDescent="0.3">
      <c r="A245">
        <v>241</v>
      </c>
      <c r="B245" t="s">
        <v>991</v>
      </c>
      <c r="C245" t="s">
        <v>6</v>
      </c>
      <c r="L245">
        <v>2</v>
      </c>
      <c r="X245">
        <v>7</v>
      </c>
      <c r="AB245">
        <v>5</v>
      </c>
      <c r="AE245">
        <v>15</v>
      </c>
      <c r="AH245" t="s">
        <v>992</v>
      </c>
      <c r="AI245" t="s">
        <v>993</v>
      </c>
      <c r="AL245">
        <v>1</v>
      </c>
      <c r="AM245" t="s">
        <v>994</v>
      </c>
      <c r="AN245" t="s">
        <v>743</v>
      </c>
      <c r="AO245" t="s">
        <v>995</v>
      </c>
      <c r="AP245" t="s">
        <v>160</v>
      </c>
      <c r="AQ245" t="s">
        <v>288</v>
      </c>
    </row>
    <row r="246" spans="1:43" hidden="1" x14ac:dyDescent="0.3">
      <c r="A246">
        <v>242</v>
      </c>
      <c r="B246" t="s">
        <v>991</v>
      </c>
      <c r="C246" t="s">
        <v>6</v>
      </c>
      <c r="L246">
        <v>3</v>
      </c>
      <c r="X246">
        <v>7</v>
      </c>
      <c r="AB246">
        <v>5</v>
      </c>
      <c r="AE246">
        <v>15</v>
      </c>
      <c r="AH246" t="s">
        <v>992</v>
      </c>
      <c r="AI246" t="s">
        <v>993</v>
      </c>
      <c r="AL246">
        <v>2</v>
      </c>
      <c r="AM246" t="s">
        <v>994</v>
      </c>
      <c r="AN246" t="s">
        <v>743</v>
      </c>
      <c r="AO246" t="s">
        <v>995</v>
      </c>
      <c r="AP246" t="s">
        <v>160</v>
      </c>
      <c r="AQ246" t="s">
        <v>288</v>
      </c>
    </row>
    <row r="247" spans="1:43" hidden="1" x14ac:dyDescent="0.3">
      <c r="A247">
        <v>243</v>
      </c>
      <c r="B247" t="s">
        <v>991</v>
      </c>
      <c r="C247" t="s">
        <v>6</v>
      </c>
      <c r="L247">
        <v>4</v>
      </c>
      <c r="X247">
        <v>7</v>
      </c>
      <c r="AB247">
        <v>5</v>
      </c>
      <c r="AE247">
        <v>15</v>
      </c>
      <c r="AH247" t="s">
        <v>992</v>
      </c>
      <c r="AI247" t="s">
        <v>993</v>
      </c>
      <c r="AL247">
        <v>3</v>
      </c>
      <c r="AM247" t="s">
        <v>994</v>
      </c>
      <c r="AN247" t="s">
        <v>743</v>
      </c>
      <c r="AO247" t="s">
        <v>995</v>
      </c>
      <c r="AP247" t="s">
        <v>160</v>
      </c>
      <c r="AQ247" t="s">
        <v>288</v>
      </c>
    </row>
    <row r="248" spans="1:43" hidden="1" x14ac:dyDescent="0.3">
      <c r="A248">
        <v>244</v>
      </c>
      <c r="B248" t="s">
        <v>991</v>
      </c>
      <c r="C248" t="s">
        <v>6</v>
      </c>
      <c r="L248">
        <v>5</v>
      </c>
      <c r="X248">
        <v>7</v>
      </c>
      <c r="AB248">
        <v>5</v>
      </c>
      <c r="AE248">
        <v>15</v>
      </c>
      <c r="AH248" t="s">
        <v>992</v>
      </c>
      <c r="AI248" t="s">
        <v>993</v>
      </c>
      <c r="AL248">
        <v>4</v>
      </c>
      <c r="AM248" t="s">
        <v>994</v>
      </c>
      <c r="AN248" t="s">
        <v>743</v>
      </c>
      <c r="AO248" t="s">
        <v>995</v>
      </c>
      <c r="AP248" t="s">
        <v>160</v>
      </c>
      <c r="AQ248" t="s">
        <v>288</v>
      </c>
    </row>
    <row r="249" spans="1:43" hidden="1" x14ac:dyDescent="0.3">
      <c r="A249">
        <v>245</v>
      </c>
      <c r="B249" t="s">
        <v>991</v>
      </c>
      <c r="C249" t="s">
        <v>6</v>
      </c>
      <c r="L249">
        <v>4</v>
      </c>
      <c r="X249">
        <v>7.5</v>
      </c>
      <c r="AB249">
        <v>5</v>
      </c>
      <c r="AE249">
        <v>15</v>
      </c>
      <c r="AH249" t="s">
        <v>992</v>
      </c>
      <c r="AI249" t="s">
        <v>993</v>
      </c>
      <c r="AL249">
        <v>1</v>
      </c>
      <c r="AM249" t="s">
        <v>994</v>
      </c>
      <c r="AN249" t="s">
        <v>743</v>
      </c>
      <c r="AO249" t="s">
        <v>995</v>
      </c>
      <c r="AP249" t="s">
        <v>160</v>
      </c>
      <c r="AQ249" t="s">
        <v>288</v>
      </c>
    </row>
    <row r="250" spans="1:43" hidden="1" x14ac:dyDescent="0.3">
      <c r="A250">
        <v>246</v>
      </c>
      <c r="B250" t="s">
        <v>991</v>
      </c>
      <c r="C250" t="s">
        <v>6</v>
      </c>
      <c r="L250">
        <v>6</v>
      </c>
      <c r="X250">
        <v>7.5</v>
      </c>
      <c r="AB250">
        <v>5</v>
      </c>
      <c r="AE250">
        <v>15</v>
      </c>
      <c r="AH250" t="s">
        <v>992</v>
      </c>
      <c r="AI250" t="s">
        <v>993</v>
      </c>
      <c r="AL250">
        <v>2</v>
      </c>
      <c r="AM250" t="s">
        <v>994</v>
      </c>
      <c r="AN250" t="s">
        <v>743</v>
      </c>
      <c r="AO250" t="s">
        <v>995</v>
      </c>
      <c r="AP250" t="s">
        <v>160</v>
      </c>
      <c r="AQ250" t="s">
        <v>288</v>
      </c>
    </row>
    <row r="251" spans="1:43" hidden="1" x14ac:dyDescent="0.3">
      <c r="A251">
        <v>247</v>
      </c>
      <c r="B251" t="s">
        <v>991</v>
      </c>
      <c r="C251" t="s">
        <v>6</v>
      </c>
      <c r="L251">
        <v>9</v>
      </c>
      <c r="X251">
        <v>7.5</v>
      </c>
      <c r="AB251">
        <v>5</v>
      </c>
      <c r="AE251">
        <v>15</v>
      </c>
      <c r="AH251" t="s">
        <v>992</v>
      </c>
      <c r="AI251" t="s">
        <v>993</v>
      </c>
      <c r="AL251">
        <v>3</v>
      </c>
      <c r="AM251" t="s">
        <v>994</v>
      </c>
      <c r="AN251" t="s">
        <v>743</v>
      </c>
      <c r="AO251" t="s">
        <v>995</v>
      </c>
      <c r="AP251" t="s">
        <v>160</v>
      </c>
      <c r="AQ251" t="s">
        <v>288</v>
      </c>
    </row>
    <row r="252" spans="1:43" hidden="1" x14ac:dyDescent="0.3">
      <c r="A252">
        <v>248</v>
      </c>
      <c r="B252" t="s">
        <v>991</v>
      </c>
      <c r="C252" t="s">
        <v>6</v>
      </c>
      <c r="L252">
        <v>11</v>
      </c>
      <c r="X252">
        <v>7.5</v>
      </c>
      <c r="AB252">
        <v>5</v>
      </c>
      <c r="AE252">
        <v>15</v>
      </c>
      <c r="AH252" t="s">
        <v>992</v>
      </c>
      <c r="AI252" t="s">
        <v>993</v>
      </c>
      <c r="AL252">
        <v>4</v>
      </c>
      <c r="AM252" t="s">
        <v>994</v>
      </c>
      <c r="AN252" t="s">
        <v>743</v>
      </c>
      <c r="AO252" t="s">
        <v>995</v>
      </c>
      <c r="AP252" t="s">
        <v>160</v>
      </c>
      <c r="AQ252" t="s">
        <v>288</v>
      </c>
    </row>
    <row r="253" spans="1:43" hidden="1" x14ac:dyDescent="0.3">
      <c r="A253">
        <v>249</v>
      </c>
      <c r="B253" t="s">
        <v>991</v>
      </c>
      <c r="C253" t="s">
        <v>6</v>
      </c>
      <c r="L253">
        <v>6</v>
      </c>
      <c r="X253">
        <v>8</v>
      </c>
      <c r="AB253">
        <v>5</v>
      </c>
      <c r="AE253">
        <v>15</v>
      </c>
      <c r="AH253" t="s">
        <v>992</v>
      </c>
      <c r="AI253" t="s">
        <v>993</v>
      </c>
      <c r="AL253">
        <v>1</v>
      </c>
      <c r="AM253" t="s">
        <v>994</v>
      </c>
      <c r="AN253" t="s">
        <v>743</v>
      </c>
      <c r="AO253" t="s">
        <v>995</v>
      </c>
      <c r="AP253" t="s">
        <v>160</v>
      </c>
      <c r="AQ253" t="s">
        <v>288</v>
      </c>
    </row>
    <row r="254" spans="1:43" hidden="1" x14ac:dyDescent="0.3">
      <c r="A254">
        <v>250</v>
      </c>
      <c r="B254" t="s">
        <v>991</v>
      </c>
      <c r="C254" t="s">
        <v>6</v>
      </c>
      <c r="L254">
        <v>9</v>
      </c>
      <c r="X254">
        <v>8</v>
      </c>
      <c r="AB254">
        <v>5</v>
      </c>
      <c r="AE254">
        <v>15</v>
      </c>
      <c r="AH254" t="s">
        <v>992</v>
      </c>
      <c r="AI254" t="s">
        <v>993</v>
      </c>
      <c r="AL254">
        <v>2</v>
      </c>
      <c r="AM254" t="s">
        <v>994</v>
      </c>
      <c r="AN254" t="s">
        <v>743</v>
      </c>
      <c r="AO254" t="s">
        <v>995</v>
      </c>
      <c r="AP254" t="s">
        <v>160</v>
      </c>
      <c r="AQ254" t="s">
        <v>288</v>
      </c>
    </row>
    <row r="255" spans="1:43" hidden="1" x14ac:dyDescent="0.3">
      <c r="A255">
        <v>251</v>
      </c>
      <c r="B255" t="s">
        <v>991</v>
      </c>
      <c r="C255" t="s">
        <v>6</v>
      </c>
      <c r="L255">
        <v>13</v>
      </c>
      <c r="X255">
        <v>8</v>
      </c>
      <c r="AB255">
        <v>5</v>
      </c>
      <c r="AE255">
        <v>15</v>
      </c>
      <c r="AH255" t="s">
        <v>992</v>
      </c>
      <c r="AI255" t="s">
        <v>993</v>
      </c>
      <c r="AL255">
        <v>3</v>
      </c>
      <c r="AM255" t="s">
        <v>994</v>
      </c>
      <c r="AN255" t="s">
        <v>743</v>
      </c>
      <c r="AO255" t="s">
        <v>995</v>
      </c>
      <c r="AP255" t="s">
        <v>160</v>
      </c>
      <c r="AQ255" t="s">
        <v>288</v>
      </c>
    </row>
    <row r="256" spans="1:43" hidden="1" x14ac:dyDescent="0.3">
      <c r="A256">
        <v>252</v>
      </c>
      <c r="B256" t="s">
        <v>991</v>
      </c>
      <c r="C256" t="s">
        <v>6</v>
      </c>
      <c r="L256">
        <v>16</v>
      </c>
      <c r="X256">
        <v>8</v>
      </c>
      <c r="AB256">
        <v>5</v>
      </c>
      <c r="AE256">
        <v>15</v>
      </c>
      <c r="AH256" t="s">
        <v>992</v>
      </c>
      <c r="AI256" t="s">
        <v>993</v>
      </c>
      <c r="AL256">
        <v>4</v>
      </c>
      <c r="AM256" t="s">
        <v>994</v>
      </c>
      <c r="AN256" t="s">
        <v>743</v>
      </c>
      <c r="AO256" t="s">
        <v>995</v>
      </c>
      <c r="AP256" t="s">
        <v>160</v>
      </c>
      <c r="AQ256" t="s">
        <v>288</v>
      </c>
    </row>
    <row r="257" spans="1:43" hidden="1" x14ac:dyDescent="0.3">
      <c r="A257">
        <v>253</v>
      </c>
      <c r="B257" t="s">
        <v>991</v>
      </c>
      <c r="C257" t="s">
        <v>6</v>
      </c>
      <c r="L257">
        <v>7</v>
      </c>
      <c r="X257">
        <v>8.5</v>
      </c>
      <c r="AB257">
        <v>5</v>
      </c>
      <c r="AE257">
        <v>15</v>
      </c>
      <c r="AH257" t="s">
        <v>992</v>
      </c>
      <c r="AI257" t="s">
        <v>993</v>
      </c>
      <c r="AL257">
        <v>1</v>
      </c>
      <c r="AM257" t="s">
        <v>994</v>
      </c>
      <c r="AN257" t="s">
        <v>743</v>
      </c>
      <c r="AO257" t="s">
        <v>995</v>
      </c>
      <c r="AP257" t="s">
        <v>160</v>
      </c>
      <c r="AQ257" t="s">
        <v>288</v>
      </c>
    </row>
    <row r="258" spans="1:43" hidden="1" x14ac:dyDescent="0.3">
      <c r="A258">
        <v>254</v>
      </c>
      <c r="B258" t="s">
        <v>991</v>
      </c>
      <c r="C258" t="s">
        <v>6</v>
      </c>
      <c r="L258">
        <v>11</v>
      </c>
      <c r="X258">
        <v>8.5</v>
      </c>
      <c r="AB258">
        <v>5</v>
      </c>
      <c r="AE258">
        <v>15</v>
      </c>
      <c r="AH258" t="s">
        <v>992</v>
      </c>
      <c r="AI258" t="s">
        <v>993</v>
      </c>
      <c r="AL258">
        <v>2</v>
      </c>
      <c r="AM258" t="s">
        <v>994</v>
      </c>
      <c r="AN258" t="s">
        <v>743</v>
      </c>
      <c r="AO258" t="s">
        <v>995</v>
      </c>
      <c r="AP258" t="s">
        <v>160</v>
      </c>
      <c r="AQ258" t="s">
        <v>288</v>
      </c>
    </row>
    <row r="259" spans="1:43" hidden="1" x14ac:dyDescent="0.3">
      <c r="A259">
        <v>255</v>
      </c>
      <c r="B259" t="s">
        <v>991</v>
      </c>
      <c r="C259" t="s">
        <v>6</v>
      </c>
      <c r="L259">
        <v>15</v>
      </c>
      <c r="X259">
        <v>8.5</v>
      </c>
      <c r="AB259">
        <v>5</v>
      </c>
      <c r="AE259">
        <v>15</v>
      </c>
      <c r="AH259" t="s">
        <v>992</v>
      </c>
      <c r="AI259" t="s">
        <v>993</v>
      </c>
      <c r="AL259">
        <v>3</v>
      </c>
      <c r="AM259" t="s">
        <v>994</v>
      </c>
      <c r="AN259" t="s">
        <v>743</v>
      </c>
      <c r="AO259" t="s">
        <v>995</v>
      </c>
      <c r="AP259" t="s">
        <v>160</v>
      </c>
      <c r="AQ259" t="s">
        <v>288</v>
      </c>
    </row>
    <row r="260" spans="1:43" hidden="1" x14ac:dyDescent="0.3">
      <c r="A260">
        <v>256</v>
      </c>
      <c r="B260" t="s">
        <v>991</v>
      </c>
      <c r="C260" t="s">
        <v>6</v>
      </c>
      <c r="L260">
        <v>18</v>
      </c>
      <c r="X260">
        <v>8.5</v>
      </c>
      <c r="AB260">
        <v>5</v>
      </c>
      <c r="AE260">
        <v>15</v>
      </c>
      <c r="AH260" t="s">
        <v>992</v>
      </c>
      <c r="AI260" t="s">
        <v>993</v>
      </c>
      <c r="AL260">
        <v>4</v>
      </c>
      <c r="AM260" t="s">
        <v>994</v>
      </c>
      <c r="AN260" t="s">
        <v>743</v>
      </c>
      <c r="AO260" t="s">
        <v>995</v>
      </c>
      <c r="AP260" t="s">
        <v>160</v>
      </c>
      <c r="AQ260" t="s">
        <v>288</v>
      </c>
    </row>
    <row r="261" spans="1:43" hidden="1" x14ac:dyDescent="0.3">
      <c r="A261">
        <v>257</v>
      </c>
      <c r="B261" t="s">
        <v>991</v>
      </c>
      <c r="C261" t="s">
        <v>6</v>
      </c>
      <c r="L261">
        <v>7</v>
      </c>
      <c r="X261">
        <v>9</v>
      </c>
      <c r="AB261">
        <v>5</v>
      </c>
      <c r="AE261">
        <v>15</v>
      </c>
      <c r="AH261" t="s">
        <v>992</v>
      </c>
      <c r="AI261" t="s">
        <v>993</v>
      </c>
      <c r="AL261">
        <v>1</v>
      </c>
      <c r="AM261" t="s">
        <v>994</v>
      </c>
      <c r="AN261" t="s">
        <v>743</v>
      </c>
      <c r="AO261" t="s">
        <v>995</v>
      </c>
      <c r="AP261" t="s">
        <v>160</v>
      </c>
      <c r="AQ261" t="s">
        <v>288</v>
      </c>
    </row>
    <row r="262" spans="1:43" hidden="1" x14ac:dyDescent="0.3">
      <c r="A262">
        <v>258</v>
      </c>
      <c r="B262" t="s">
        <v>991</v>
      </c>
      <c r="C262" t="s">
        <v>6</v>
      </c>
      <c r="L262">
        <v>12</v>
      </c>
      <c r="X262">
        <v>9</v>
      </c>
      <c r="AB262">
        <v>5</v>
      </c>
      <c r="AE262">
        <v>15</v>
      </c>
      <c r="AH262" t="s">
        <v>992</v>
      </c>
      <c r="AI262" t="s">
        <v>993</v>
      </c>
      <c r="AL262">
        <v>2</v>
      </c>
      <c r="AM262" t="s">
        <v>994</v>
      </c>
      <c r="AN262" t="s">
        <v>743</v>
      </c>
      <c r="AO262" t="s">
        <v>995</v>
      </c>
      <c r="AP262" t="s">
        <v>160</v>
      </c>
      <c r="AQ262" t="s">
        <v>288</v>
      </c>
    </row>
    <row r="263" spans="1:43" hidden="1" x14ac:dyDescent="0.3">
      <c r="A263">
        <v>259</v>
      </c>
      <c r="B263" t="s">
        <v>991</v>
      </c>
      <c r="C263" t="s">
        <v>6</v>
      </c>
      <c r="L263">
        <v>16</v>
      </c>
      <c r="X263">
        <v>9</v>
      </c>
      <c r="AB263">
        <v>5</v>
      </c>
      <c r="AE263">
        <v>15</v>
      </c>
      <c r="AH263" t="s">
        <v>992</v>
      </c>
      <c r="AI263" t="s">
        <v>993</v>
      </c>
      <c r="AL263">
        <v>3</v>
      </c>
      <c r="AM263" t="s">
        <v>994</v>
      </c>
      <c r="AN263" t="s">
        <v>743</v>
      </c>
      <c r="AO263" t="s">
        <v>995</v>
      </c>
      <c r="AP263" t="s">
        <v>160</v>
      </c>
      <c r="AQ263" t="s">
        <v>288</v>
      </c>
    </row>
    <row r="264" spans="1:43" hidden="1" x14ac:dyDescent="0.3">
      <c r="A264">
        <v>260</v>
      </c>
      <c r="B264" t="s">
        <v>991</v>
      </c>
      <c r="C264" t="s">
        <v>6</v>
      </c>
      <c r="L264">
        <v>20</v>
      </c>
      <c r="X264">
        <v>9</v>
      </c>
      <c r="AB264">
        <v>5</v>
      </c>
      <c r="AE264">
        <v>15</v>
      </c>
      <c r="AH264" t="s">
        <v>992</v>
      </c>
      <c r="AI264" t="s">
        <v>993</v>
      </c>
      <c r="AL264">
        <v>4</v>
      </c>
      <c r="AM264" t="s">
        <v>994</v>
      </c>
      <c r="AN264" t="s">
        <v>743</v>
      </c>
      <c r="AO264" t="s">
        <v>995</v>
      </c>
      <c r="AP264" t="s">
        <v>160</v>
      </c>
      <c r="AQ264" t="s">
        <v>288</v>
      </c>
    </row>
    <row r="265" spans="1:43" hidden="1" x14ac:dyDescent="0.3">
      <c r="A265">
        <v>261</v>
      </c>
      <c r="B265" t="s">
        <v>991</v>
      </c>
      <c r="C265" t="s">
        <v>6</v>
      </c>
      <c r="L265">
        <v>2</v>
      </c>
      <c r="X265">
        <v>7</v>
      </c>
      <c r="AB265">
        <v>5</v>
      </c>
      <c r="AE265">
        <v>20</v>
      </c>
      <c r="AH265" t="s">
        <v>992</v>
      </c>
      <c r="AI265" t="s">
        <v>993</v>
      </c>
      <c r="AL265">
        <v>1</v>
      </c>
      <c r="AM265" t="s">
        <v>994</v>
      </c>
      <c r="AN265" t="s">
        <v>743</v>
      </c>
      <c r="AO265" t="s">
        <v>995</v>
      </c>
      <c r="AP265" t="s">
        <v>160</v>
      </c>
      <c r="AQ265" t="s">
        <v>288</v>
      </c>
    </row>
    <row r="266" spans="1:43" hidden="1" x14ac:dyDescent="0.3">
      <c r="A266">
        <v>262</v>
      </c>
      <c r="B266" t="s">
        <v>991</v>
      </c>
      <c r="C266" t="s">
        <v>6</v>
      </c>
      <c r="L266">
        <v>2</v>
      </c>
      <c r="X266">
        <v>7</v>
      </c>
      <c r="AB266">
        <v>5</v>
      </c>
      <c r="AE266">
        <v>20</v>
      </c>
      <c r="AH266" t="s">
        <v>992</v>
      </c>
      <c r="AI266" t="s">
        <v>993</v>
      </c>
      <c r="AL266">
        <v>2</v>
      </c>
      <c r="AM266" t="s">
        <v>994</v>
      </c>
      <c r="AN266" t="s">
        <v>743</v>
      </c>
      <c r="AO266" t="s">
        <v>995</v>
      </c>
      <c r="AP266" t="s">
        <v>160</v>
      </c>
      <c r="AQ266" t="s">
        <v>288</v>
      </c>
    </row>
    <row r="267" spans="1:43" hidden="1" x14ac:dyDescent="0.3">
      <c r="A267">
        <v>263</v>
      </c>
      <c r="B267" t="s">
        <v>991</v>
      </c>
      <c r="C267" t="s">
        <v>6</v>
      </c>
      <c r="L267">
        <v>3</v>
      </c>
      <c r="X267">
        <v>7</v>
      </c>
      <c r="AB267">
        <v>5</v>
      </c>
      <c r="AE267">
        <v>20</v>
      </c>
      <c r="AH267" t="s">
        <v>992</v>
      </c>
      <c r="AI267" t="s">
        <v>993</v>
      </c>
      <c r="AL267">
        <v>3</v>
      </c>
      <c r="AM267" t="s">
        <v>994</v>
      </c>
      <c r="AN267" t="s">
        <v>743</v>
      </c>
      <c r="AO267" t="s">
        <v>995</v>
      </c>
      <c r="AP267" t="s">
        <v>160</v>
      </c>
      <c r="AQ267" t="s">
        <v>288</v>
      </c>
    </row>
    <row r="268" spans="1:43" hidden="1" x14ac:dyDescent="0.3">
      <c r="A268">
        <v>264</v>
      </c>
      <c r="B268" t="s">
        <v>991</v>
      </c>
      <c r="C268" t="s">
        <v>6</v>
      </c>
      <c r="L268">
        <v>3</v>
      </c>
      <c r="X268">
        <v>7</v>
      </c>
      <c r="AB268">
        <v>5</v>
      </c>
      <c r="AE268">
        <v>20</v>
      </c>
      <c r="AH268" t="s">
        <v>992</v>
      </c>
      <c r="AI268" t="s">
        <v>993</v>
      </c>
      <c r="AL268">
        <v>4</v>
      </c>
      <c r="AM268" t="s">
        <v>994</v>
      </c>
      <c r="AN268" t="s">
        <v>743</v>
      </c>
      <c r="AO268" t="s">
        <v>995</v>
      </c>
      <c r="AP268" t="s">
        <v>160</v>
      </c>
      <c r="AQ268" t="s">
        <v>288</v>
      </c>
    </row>
    <row r="269" spans="1:43" hidden="1" x14ac:dyDescent="0.3">
      <c r="A269">
        <v>265</v>
      </c>
      <c r="B269" t="s">
        <v>991</v>
      </c>
      <c r="C269" t="s">
        <v>6</v>
      </c>
      <c r="L269">
        <v>3</v>
      </c>
      <c r="X269">
        <v>7.5</v>
      </c>
      <c r="AB269">
        <v>5</v>
      </c>
      <c r="AE269">
        <v>20</v>
      </c>
      <c r="AH269" t="s">
        <v>992</v>
      </c>
      <c r="AI269" t="s">
        <v>993</v>
      </c>
      <c r="AL269">
        <v>1</v>
      </c>
      <c r="AM269" t="s">
        <v>994</v>
      </c>
      <c r="AN269" t="s">
        <v>743</v>
      </c>
      <c r="AO269" t="s">
        <v>995</v>
      </c>
      <c r="AP269" t="s">
        <v>160</v>
      </c>
      <c r="AQ269" t="s">
        <v>288</v>
      </c>
    </row>
    <row r="270" spans="1:43" hidden="1" x14ac:dyDescent="0.3">
      <c r="A270">
        <v>266</v>
      </c>
      <c r="B270" t="s">
        <v>991</v>
      </c>
      <c r="C270" t="s">
        <v>6</v>
      </c>
      <c r="L270">
        <v>5</v>
      </c>
      <c r="X270">
        <v>7.5</v>
      </c>
      <c r="AB270">
        <v>5</v>
      </c>
      <c r="AE270">
        <v>20</v>
      </c>
      <c r="AH270" t="s">
        <v>992</v>
      </c>
      <c r="AI270" t="s">
        <v>993</v>
      </c>
      <c r="AL270">
        <v>2</v>
      </c>
      <c r="AM270" t="s">
        <v>994</v>
      </c>
      <c r="AN270" t="s">
        <v>743</v>
      </c>
      <c r="AO270" t="s">
        <v>995</v>
      </c>
      <c r="AP270" t="s">
        <v>160</v>
      </c>
      <c r="AQ270" t="s">
        <v>288</v>
      </c>
    </row>
    <row r="271" spans="1:43" hidden="1" x14ac:dyDescent="0.3">
      <c r="A271">
        <v>267</v>
      </c>
      <c r="B271" t="s">
        <v>991</v>
      </c>
      <c r="C271" t="s">
        <v>6</v>
      </c>
      <c r="L271">
        <v>6</v>
      </c>
      <c r="X271">
        <v>7.5</v>
      </c>
      <c r="AB271">
        <v>5</v>
      </c>
      <c r="AE271">
        <v>20</v>
      </c>
      <c r="AH271" t="s">
        <v>992</v>
      </c>
      <c r="AI271" t="s">
        <v>993</v>
      </c>
      <c r="AL271">
        <v>3</v>
      </c>
      <c r="AM271" t="s">
        <v>994</v>
      </c>
      <c r="AN271" t="s">
        <v>743</v>
      </c>
      <c r="AO271" t="s">
        <v>995</v>
      </c>
      <c r="AP271" t="s">
        <v>160</v>
      </c>
      <c r="AQ271" t="s">
        <v>288</v>
      </c>
    </row>
    <row r="272" spans="1:43" hidden="1" x14ac:dyDescent="0.3">
      <c r="A272">
        <v>268</v>
      </c>
      <c r="B272" t="s">
        <v>991</v>
      </c>
      <c r="C272" t="s">
        <v>6</v>
      </c>
      <c r="L272">
        <v>7</v>
      </c>
      <c r="X272">
        <v>7.5</v>
      </c>
      <c r="AB272">
        <v>5</v>
      </c>
      <c r="AE272">
        <v>20</v>
      </c>
      <c r="AH272" t="s">
        <v>992</v>
      </c>
      <c r="AI272" t="s">
        <v>993</v>
      </c>
      <c r="AL272">
        <v>4</v>
      </c>
      <c r="AM272" t="s">
        <v>994</v>
      </c>
      <c r="AN272" t="s">
        <v>743</v>
      </c>
      <c r="AO272" t="s">
        <v>995</v>
      </c>
      <c r="AP272" t="s">
        <v>160</v>
      </c>
      <c r="AQ272" t="s">
        <v>288</v>
      </c>
    </row>
    <row r="273" spans="1:43" hidden="1" x14ac:dyDescent="0.3">
      <c r="A273">
        <v>269</v>
      </c>
      <c r="B273" t="s">
        <v>991</v>
      </c>
      <c r="C273" t="s">
        <v>6</v>
      </c>
      <c r="L273">
        <v>4</v>
      </c>
      <c r="X273">
        <v>8</v>
      </c>
      <c r="AB273">
        <v>5</v>
      </c>
      <c r="AE273">
        <v>20</v>
      </c>
      <c r="AH273" t="s">
        <v>992</v>
      </c>
      <c r="AI273" t="s">
        <v>993</v>
      </c>
      <c r="AL273">
        <v>1</v>
      </c>
      <c r="AM273" t="s">
        <v>994</v>
      </c>
      <c r="AN273" t="s">
        <v>743</v>
      </c>
      <c r="AO273" t="s">
        <v>995</v>
      </c>
      <c r="AP273" t="s">
        <v>160</v>
      </c>
      <c r="AQ273" t="s">
        <v>288</v>
      </c>
    </row>
    <row r="274" spans="1:43" hidden="1" x14ac:dyDescent="0.3">
      <c r="A274">
        <v>270</v>
      </c>
      <c r="B274" t="s">
        <v>991</v>
      </c>
      <c r="C274" t="s">
        <v>6</v>
      </c>
      <c r="L274">
        <v>7</v>
      </c>
      <c r="X274">
        <v>8</v>
      </c>
      <c r="AB274">
        <v>5</v>
      </c>
      <c r="AE274">
        <v>20</v>
      </c>
      <c r="AH274" t="s">
        <v>992</v>
      </c>
      <c r="AI274" t="s">
        <v>993</v>
      </c>
      <c r="AL274">
        <v>2</v>
      </c>
      <c r="AM274" t="s">
        <v>994</v>
      </c>
      <c r="AN274" t="s">
        <v>743</v>
      </c>
      <c r="AO274" t="s">
        <v>995</v>
      </c>
      <c r="AP274" t="s">
        <v>160</v>
      </c>
      <c r="AQ274" t="s">
        <v>288</v>
      </c>
    </row>
    <row r="275" spans="1:43" hidden="1" x14ac:dyDescent="0.3">
      <c r="A275">
        <v>271</v>
      </c>
      <c r="B275" t="s">
        <v>991</v>
      </c>
      <c r="C275" t="s">
        <v>6</v>
      </c>
      <c r="L275">
        <v>9</v>
      </c>
      <c r="X275">
        <v>8</v>
      </c>
      <c r="AB275">
        <v>5</v>
      </c>
      <c r="AE275">
        <v>20</v>
      </c>
      <c r="AH275" t="s">
        <v>992</v>
      </c>
      <c r="AI275" t="s">
        <v>993</v>
      </c>
      <c r="AL275">
        <v>3</v>
      </c>
      <c r="AM275" t="s">
        <v>994</v>
      </c>
      <c r="AN275" t="s">
        <v>743</v>
      </c>
      <c r="AO275" t="s">
        <v>995</v>
      </c>
      <c r="AP275" t="s">
        <v>160</v>
      </c>
      <c r="AQ275" t="s">
        <v>288</v>
      </c>
    </row>
    <row r="276" spans="1:43" hidden="1" x14ac:dyDescent="0.3">
      <c r="A276">
        <v>272</v>
      </c>
      <c r="B276" t="s">
        <v>991</v>
      </c>
      <c r="C276" t="s">
        <v>6</v>
      </c>
      <c r="L276">
        <v>11</v>
      </c>
      <c r="X276">
        <v>8</v>
      </c>
      <c r="AB276">
        <v>5</v>
      </c>
      <c r="AE276">
        <v>20</v>
      </c>
      <c r="AH276" t="s">
        <v>992</v>
      </c>
      <c r="AI276" t="s">
        <v>993</v>
      </c>
      <c r="AL276">
        <v>4</v>
      </c>
      <c r="AM276" t="s">
        <v>994</v>
      </c>
      <c r="AN276" t="s">
        <v>743</v>
      </c>
      <c r="AO276" t="s">
        <v>995</v>
      </c>
      <c r="AP276" t="s">
        <v>160</v>
      </c>
      <c r="AQ276" t="s">
        <v>288</v>
      </c>
    </row>
    <row r="277" spans="1:43" hidden="1" x14ac:dyDescent="0.3">
      <c r="A277">
        <v>273</v>
      </c>
      <c r="B277" t="s">
        <v>991</v>
      </c>
      <c r="C277" t="s">
        <v>6</v>
      </c>
      <c r="L277">
        <v>5</v>
      </c>
      <c r="X277">
        <v>8.5</v>
      </c>
      <c r="AB277">
        <v>5</v>
      </c>
      <c r="AE277">
        <v>20</v>
      </c>
      <c r="AH277" t="s">
        <v>992</v>
      </c>
      <c r="AI277" t="s">
        <v>993</v>
      </c>
      <c r="AL277">
        <v>1</v>
      </c>
      <c r="AM277" t="s">
        <v>994</v>
      </c>
      <c r="AN277" t="s">
        <v>743</v>
      </c>
      <c r="AO277" t="s">
        <v>995</v>
      </c>
      <c r="AP277" t="s">
        <v>160</v>
      </c>
      <c r="AQ277" t="s">
        <v>288</v>
      </c>
    </row>
    <row r="278" spans="1:43" hidden="1" x14ac:dyDescent="0.3">
      <c r="A278">
        <v>274</v>
      </c>
      <c r="B278" t="s">
        <v>991</v>
      </c>
      <c r="C278" t="s">
        <v>6</v>
      </c>
      <c r="L278">
        <v>8</v>
      </c>
      <c r="X278">
        <v>8.5</v>
      </c>
      <c r="AB278">
        <v>5</v>
      </c>
      <c r="AE278">
        <v>20</v>
      </c>
      <c r="AH278" t="s">
        <v>992</v>
      </c>
      <c r="AI278" t="s">
        <v>993</v>
      </c>
      <c r="AL278">
        <v>2</v>
      </c>
      <c r="AM278" t="s">
        <v>994</v>
      </c>
      <c r="AN278" t="s">
        <v>743</v>
      </c>
      <c r="AO278" t="s">
        <v>995</v>
      </c>
      <c r="AP278" t="s">
        <v>160</v>
      </c>
      <c r="AQ278" t="s">
        <v>288</v>
      </c>
    </row>
    <row r="279" spans="1:43" hidden="1" x14ac:dyDescent="0.3">
      <c r="A279">
        <v>275</v>
      </c>
      <c r="B279" t="s">
        <v>991</v>
      </c>
      <c r="C279" t="s">
        <v>6</v>
      </c>
      <c r="L279">
        <v>10</v>
      </c>
      <c r="X279">
        <v>8.5</v>
      </c>
      <c r="AB279">
        <v>5</v>
      </c>
      <c r="AE279">
        <v>20</v>
      </c>
      <c r="AH279" t="s">
        <v>992</v>
      </c>
      <c r="AI279" t="s">
        <v>993</v>
      </c>
      <c r="AL279">
        <v>3</v>
      </c>
      <c r="AM279" t="s">
        <v>994</v>
      </c>
      <c r="AN279" t="s">
        <v>743</v>
      </c>
      <c r="AO279" t="s">
        <v>995</v>
      </c>
      <c r="AP279" t="s">
        <v>160</v>
      </c>
      <c r="AQ279" t="s">
        <v>288</v>
      </c>
    </row>
    <row r="280" spans="1:43" hidden="1" x14ac:dyDescent="0.3">
      <c r="A280">
        <v>276</v>
      </c>
      <c r="B280" t="s">
        <v>991</v>
      </c>
      <c r="C280" t="s">
        <v>6</v>
      </c>
      <c r="L280">
        <v>13</v>
      </c>
      <c r="X280">
        <v>8.5</v>
      </c>
      <c r="AB280">
        <v>5</v>
      </c>
      <c r="AE280">
        <v>20</v>
      </c>
      <c r="AH280" t="s">
        <v>992</v>
      </c>
      <c r="AI280" t="s">
        <v>993</v>
      </c>
      <c r="AL280">
        <v>4</v>
      </c>
      <c r="AM280" t="s">
        <v>994</v>
      </c>
      <c r="AN280" t="s">
        <v>743</v>
      </c>
      <c r="AO280" t="s">
        <v>995</v>
      </c>
      <c r="AP280" t="s">
        <v>160</v>
      </c>
      <c r="AQ280" t="s">
        <v>288</v>
      </c>
    </row>
    <row r="281" spans="1:43" hidden="1" x14ac:dyDescent="0.3">
      <c r="A281">
        <v>277</v>
      </c>
      <c r="B281" t="s">
        <v>991</v>
      </c>
      <c r="C281" t="s">
        <v>6</v>
      </c>
      <c r="L281">
        <v>5</v>
      </c>
      <c r="X281">
        <v>9</v>
      </c>
      <c r="AB281">
        <v>5</v>
      </c>
      <c r="AE281">
        <v>20</v>
      </c>
      <c r="AH281" t="s">
        <v>992</v>
      </c>
      <c r="AI281" t="s">
        <v>993</v>
      </c>
      <c r="AL281">
        <v>1</v>
      </c>
      <c r="AM281" t="s">
        <v>994</v>
      </c>
      <c r="AN281" t="s">
        <v>743</v>
      </c>
      <c r="AO281" t="s">
        <v>995</v>
      </c>
      <c r="AP281" t="s">
        <v>160</v>
      </c>
      <c r="AQ281" t="s">
        <v>288</v>
      </c>
    </row>
    <row r="282" spans="1:43" hidden="1" x14ac:dyDescent="0.3">
      <c r="A282">
        <v>278</v>
      </c>
      <c r="B282" t="s">
        <v>991</v>
      </c>
      <c r="C282" t="s">
        <v>6</v>
      </c>
      <c r="L282">
        <v>8</v>
      </c>
      <c r="X282">
        <v>9</v>
      </c>
      <c r="AB282">
        <v>5</v>
      </c>
      <c r="AE282">
        <v>20</v>
      </c>
      <c r="AH282" t="s">
        <v>992</v>
      </c>
      <c r="AI282" t="s">
        <v>993</v>
      </c>
      <c r="AL282">
        <v>2</v>
      </c>
      <c r="AM282" t="s">
        <v>994</v>
      </c>
      <c r="AN282" t="s">
        <v>743</v>
      </c>
      <c r="AO282" t="s">
        <v>995</v>
      </c>
      <c r="AP282" t="s">
        <v>160</v>
      </c>
      <c r="AQ282" t="s">
        <v>288</v>
      </c>
    </row>
    <row r="283" spans="1:43" hidden="1" x14ac:dyDescent="0.3">
      <c r="A283">
        <v>279</v>
      </c>
      <c r="B283" t="s">
        <v>991</v>
      </c>
      <c r="C283" t="s">
        <v>6</v>
      </c>
      <c r="L283">
        <v>11</v>
      </c>
      <c r="X283">
        <v>9</v>
      </c>
      <c r="AB283">
        <v>5</v>
      </c>
      <c r="AE283">
        <v>20</v>
      </c>
      <c r="AH283" t="s">
        <v>992</v>
      </c>
      <c r="AI283" t="s">
        <v>993</v>
      </c>
      <c r="AL283">
        <v>3</v>
      </c>
      <c r="AM283" t="s">
        <v>994</v>
      </c>
      <c r="AN283" t="s">
        <v>743</v>
      </c>
      <c r="AO283" t="s">
        <v>995</v>
      </c>
      <c r="AP283" t="s">
        <v>160</v>
      </c>
      <c r="AQ283" t="s">
        <v>288</v>
      </c>
    </row>
    <row r="284" spans="1:43" hidden="1" x14ac:dyDescent="0.3">
      <c r="A284">
        <v>280</v>
      </c>
      <c r="B284" t="s">
        <v>991</v>
      </c>
      <c r="C284" t="s">
        <v>6</v>
      </c>
      <c r="L284">
        <v>14</v>
      </c>
      <c r="X284">
        <v>9</v>
      </c>
      <c r="AB284">
        <v>5</v>
      </c>
      <c r="AE284">
        <v>20</v>
      </c>
      <c r="AH284" t="s">
        <v>992</v>
      </c>
      <c r="AI284" t="s">
        <v>993</v>
      </c>
      <c r="AL284">
        <v>4</v>
      </c>
      <c r="AM284" t="s">
        <v>994</v>
      </c>
      <c r="AN284" t="s">
        <v>743</v>
      </c>
      <c r="AO284" t="s">
        <v>995</v>
      </c>
      <c r="AP284" t="s">
        <v>160</v>
      </c>
      <c r="AQ284" t="s">
        <v>288</v>
      </c>
    </row>
    <row r="285" spans="1:43" hidden="1" x14ac:dyDescent="0.3">
      <c r="A285">
        <v>281</v>
      </c>
      <c r="B285" t="s">
        <v>991</v>
      </c>
      <c r="C285" t="s">
        <v>6</v>
      </c>
      <c r="L285">
        <v>1</v>
      </c>
      <c r="X285">
        <v>7</v>
      </c>
      <c r="AB285">
        <v>5</v>
      </c>
      <c r="AE285">
        <v>25</v>
      </c>
      <c r="AH285" t="s">
        <v>992</v>
      </c>
      <c r="AI285" t="s">
        <v>993</v>
      </c>
      <c r="AL285">
        <v>1</v>
      </c>
      <c r="AM285" t="s">
        <v>994</v>
      </c>
      <c r="AN285" t="s">
        <v>743</v>
      </c>
      <c r="AO285" t="s">
        <v>995</v>
      </c>
      <c r="AP285" t="s">
        <v>160</v>
      </c>
      <c r="AQ285" t="s">
        <v>288</v>
      </c>
    </row>
    <row r="286" spans="1:43" hidden="1" x14ac:dyDescent="0.3">
      <c r="A286">
        <v>282</v>
      </c>
      <c r="B286" t="s">
        <v>991</v>
      </c>
      <c r="C286" t="s">
        <v>6</v>
      </c>
      <c r="L286">
        <v>2</v>
      </c>
      <c r="X286">
        <v>7</v>
      </c>
      <c r="AB286">
        <v>5</v>
      </c>
      <c r="AE286">
        <v>25</v>
      </c>
      <c r="AH286" t="s">
        <v>992</v>
      </c>
      <c r="AI286" t="s">
        <v>993</v>
      </c>
      <c r="AL286">
        <v>2</v>
      </c>
      <c r="AM286" t="s">
        <v>994</v>
      </c>
      <c r="AN286" t="s">
        <v>743</v>
      </c>
      <c r="AO286" t="s">
        <v>995</v>
      </c>
      <c r="AP286" t="s">
        <v>160</v>
      </c>
      <c r="AQ286" t="s">
        <v>288</v>
      </c>
    </row>
    <row r="287" spans="1:43" hidden="1" x14ac:dyDescent="0.3">
      <c r="A287">
        <v>283</v>
      </c>
      <c r="B287" t="s">
        <v>991</v>
      </c>
      <c r="C287" t="s">
        <v>6</v>
      </c>
      <c r="L287">
        <v>2</v>
      </c>
      <c r="X287">
        <v>7</v>
      </c>
      <c r="AB287">
        <v>5</v>
      </c>
      <c r="AE287">
        <v>25</v>
      </c>
      <c r="AH287" t="s">
        <v>992</v>
      </c>
      <c r="AI287" t="s">
        <v>993</v>
      </c>
      <c r="AL287">
        <v>3</v>
      </c>
      <c r="AM287" t="s">
        <v>994</v>
      </c>
      <c r="AN287" t="s">
        <v>743</v>
      </c>
      <c r="AO287" t="s">
        <v>995</v>
      </c>
      <c r="AP287" t="s">
        <v>160</v>
      </c>
      <c r="AQ287" t="s">
        <v>288</v>
      </c>
    </row>
    <row r="288" spans="1:43" hidden="1" x14ac:dyDescent="0.3">
      <c r="A288">
        <v>284</v>
      </c>
      <c r="B288" t="s">
        <v>991</v>
      </c>
      <c r="C288" t="s">
        <v>6</v>
      </c>
      <c r="L288">
        <v>3</v>
      </c>
      <c r="X288">
        <v>7</v>
      </c>
      <c r="AB288">
        <v>5</v>
      </c>
      <c r="AE288">
        <v>25</v>
      </c>
      <c r="AH288" t="s">
        <v>992</v>
      </c>
      <c r="AI288" t="s">
        <v>993</v>
      </c>
      <c r="AL288">
        <v>4</v>
      </c>
      <c r="AM288" t="s">
        <v>994</v>
      </c>
      <c r="AN288" t="s">
        <v>743</v>
      </c>
      <c r="AO288" t="s">
        <v>995</v>
      </c>
      <c r="AP288" t="s">
        <v>160</v>
      </c>
      <c r="AQ288" t="s">
        <v>288</v>
      </c>
    </row>
    <row r="289" spans="1:43" hidden="1" x14ac:dyDescent="0.3">
      <c r="A289">
        <v>285</v>
      </c>
      <c r="B289" t="s">
        <v>991</v>
      </c>
      <c r="C289" t="s">
        <v>6</v>
      </c>
      <c r="L289">
        <v>2</v>
      </c>
      <c r="X289">
        <v>7.5</v>
      </c>
      <c r="AB289">
        <v>5</v>
      </c>
      <c r="AE289">
        <v>25</v>
      </c>
      <c r="AH289" t="s">
        <v>992</v>
      </c>
      <c r="AI289" t="s">
        <v>993</v>
      </c>
      <c r="AL289">
        <v>1</v>
      </c>
      <c r="AM289" t="s">
        <v>994</v>
      </c>
      <c r="AN289" t="s">
        <v>743</v>
      </c>
      <c r="AO289" t="s">
        <v>995</v>
      </c>
      <c r="AP289" t="s">
        <v>160</v>
      </c>
      <c r="AQ289" t="s">
        <v>288</v>
      </c>
    </row>
    <row r="290" spans="1:43" hidden="1" x14ac:dyDescent="0.3">
      <c r="A290">
        <v>286</v>
      </c>
      <c r="B290" t="s">
        <v>991</v>
      </c>
      <c r="C290" t="s">
        <v>6</v>
      </c>
      <c r="L290">
        <v>4</v>
      </c>
      <c r="X290">
        <v>7.5</v>
      </c>
      <c r="AB290">
        <v>5</v>
      </c>
      <c r="AE290">
        <v>25</v>
      </c>
      <c r="AH290" t="s">
        <v>992</v>
      </c>
      <c r="AI290" t="s">
        <v>993</v>
      </c>
      <c r="AL290">
        <v>2</v>
      </c>
      <c r="AM290" t="s">
        <v>994</v>
      </c>
      <c r="AN290" t="s">
        <v>743</v>
      </c>
      <c r="AO290" t="s">
        <v>995</v>
      </c>
      <c r="AP290" t="s">
        <v>160</v>
      </c>
      <c r="AQ290" t="s">
        <v>288</v>
      </c>
    </row>
    <row r="291" spans="1:43" hidden="1" x14ac:dyDescent="0.3">
      <c r="A291">
        <v>287</v>
      </c>
      <c r="B291" t="s">
        <v>991</v>
      </c>
      <c r="C291" t="s">
        <v>6</v>
      </c>
      <c r="L291">
        <v>5</v>
      </c>
      <c r="X291">
        <v>7.5</v>
      </c>
      <c r="AB291">
        <v>5</v>
      </c>
      <c r="AE291">
        <v>25</v>
      </c>
      <c r="AH291" t="s">
        <v>992</v>
      </c>
      <c r="AI291" t="s">
        <v>993</v>
      </c>
      <c r="AL291">
        <v>3</v>
      </c>
      <c r="AM291" t="s">
        <v>994</v>
      </c>
      <c r="AN291" t="s">
        <v>743</v>
      </c>
      <c r="AO291" t="s">
        <v>995</v>
      </c>
      <c r="AP291" t="s">
        <v>160</v>
      </c>
      <c r="AQ291" t="s">
        <v>288</v>
      </c>
    </row>
    <row r="292" spans="1:43" hidden="1" x14ac:dyDescent="0.3">
      <c r="A292">
        <v>288</v>
      </c>
      <c r="B292" t="s">
        <v>991</v>
      </c>
      <c r="C292" t="s">
        <v>6</v>
      </c>
      <c r="L292">
        <v>6</v>
      </c>
      <c r="X292">
        <v>7.5</v>
      </c>
      <c r="AB292">
        <v>5</v>
      </c>
      <c r="AE292">
        <v>25</v>
      </c>
      <c r="AH292" t="s">
        <v>992</v>
      </c>
      <c r="AI292" t="s">
        <v>993</v>
      </c>
      <c r="AL292">
        <v>4</v>
      </c>
      <c r="AM292" t="s">
        <v>994</v>
      </c>
      <c r="AN292" t="s">
        <v>743</v>
      </c>
      <c r="AO292" t="s">
        <v>995</v>
      </c>
      <c r="AP292" t="s">
        <v>160</v>
      </c>
      <c r="AQ292" t="s">
        <v>288</v>
      </c>
    </row>
    <row r="293" spans="1:43" hidden="1" x14ac:dyDescent="0.3">
      <c r="A293">
        <v>289</v>
      </c>
      <c r="B293" t="s">
        <v>991</v>
      </c>
      <c r="C293" t="s">
        <v>6</v>
      </c>
      <c r="L293">
        <v>3</v>
      </c>
      <c r="X293">
        <v>8</v>
      </c>
      <c r="AB293">
        <v>5</v>
      </c>
      <c r="AE293">
        <v>25</v>
      </c>
      <c r="AH293" t="s">
        <v>992</v>
      </c>
      <c r="AI293" t="s">
        <v>993</v>
      </c>
      <c r="AL293">
        <v>1</v>
      </c>
      <c r="AM293" t="s">
        <v>994</v>
      </c>
      <c r="AN293" t="s">
        <v>743</v>
      </c>
      <c r="AO293" t="s">
        <v>995</v>
      </c>
      <c r="AP293" t="s">
        <v>160</v>
      </c>
      <c r="AQ293" t="s">
        <v>288</v>
      </c>
    </row>
    <row r="294" spans="1:43" hidden="1" x14ac:dyDescent="0.3">
      <c r="A294">
        <v>290</v>
      </c>
      <c r="B294" t="s">
        <v>991</v>
      </c>
      <c r="C294" t="s">
        <v>6</v>
      </c>
      <c r="L294">
        <v>5</v>
      </c>
      <c r="X294">
        <v>8</v>
      </c>
      <c r="AB294">
        <v>5</v>
      </c>
      <c r="AE294">
        <v>25</v>
      </c>
      <c r="AH294" t="s">
        <v>992</v>
      </c>
      <c r="AI294" t="s">
        <v>993</v>
      </c>
      <c r="AL294">
        <v>2</v>
      </c>
      <c r="AM294" t="s">
        <v>994</v>
      </c>
      <c r="AN294" t="s">
        <v>743</v>
      </c>
      <c r="AO294" t="s">
        <v>995</v>
      </c>
      <c r="AP294" t="s">
        <v>160</v>
      </c>
      <c r="AQ294" t="s">
        <v>288</v>
      </c>
    </row>
    <row r="295" spans="1:43" hidden="1" x14ac:dyDescent="0.3">
      <c r="A295">
        <v>291</v>
      </c>
      <c r="B295" t="s">
        <v>991</v>
      </c>
      <c r="C295" t="s">
        <v>6</v>
      </c>
      <c r="L295">
        <v>7</v>
      </c>
      <c r="X295">
        <v>8</v>
      </c>
      <c r="AB295">
        <v>5</v>
      </c>
      <c r="AE295">
        <v>25</v>
      </c>
      <c r="AH295" t="s">
        <v>992</v>
      </c>
      <c r="AI295" t="s">
        <v>993</v>
      </c>
      <c r="AL295">
        <v>3</v>
      </c>
      <c r="AM295" t="s">
        <v>994</v>
      </c>
      <c r="AN295" t="s">
        <v>743</v>
      </c>
      <c r="AO295" t="s">
        <v>995</v>
      </c>
      <c r="AP295" t="s">
        <v>160</v>
      </c>
      <c r="AQ295" t="s">
        <v>288</v>
      </c>
    </row>
    <row r="296" spans="1:43" hidden="1" x14ac:dyDescent="0.3">
      <c r="A296">
        <v>292</v>
      </c>
      <c r="B296" t="s">
        <v>991</v>
      </c>
      <c r="C296" t="s">
        <v>6</v>
      </c>
      <c r="L296">
        <v>8</v>
      </c>
      <c r="X296">
        <v>8</v>
      </c>
      <c r="AB296">
        <v>5</v>
      </c>
      <c r="AE296">
        <v>25</v>
      </c>
      <c r="AH296" t="s">
        <v>992</v>
      </c>
      <c r="AI296" t="s">
        <v>993</v>
      </c>
      <c r="AL296">
        <v>4</v>
      </c>
      <c r="AM296" t="s">
        <v>994</v>
      </c>
      <c r="AN296" t="s">
        <v>743</v>
      </c>
      <c r="AO296" t="s">
        <v>995</v>
      </c>
      <c r="AP296" t="s">
        <v>160</v>
      </c>
      <c r="AQ296" t="s">
        <v>288</v>
      </c>
    </row>
    <row r="297" spans="1:43" hidden="1" x14ac:dyDescent="0.3">
      <c r="A297">
        <v>293</v>
      </c>
      <c r="B297" t="s">
        <v>991</v>
      </c>
      <c r="C297" t="s">
        <v>6</v>
      </c>
      <c r="L297">
        <v>4</v>
      </c>
      <c r="X297">
        <v>8.5</v>
      </c>
      <c r="AB297">
        <v>5</v>
      </c>
      <c r="AE297">
        <v>25</v>
      </c>
      <c r="AH297" t="s">
        <v>992</v>
      </c>
      <c r="AI297" t="s">
        <v>993</v>
      </c>
      <c r="AL297">
        <v>1</v>
      </c>
      <c r="AM297" t="s">
        <v>994</v>
      </c>
      <c r="AN297" t="s">
        <v>743</v>
      </c>
      <c r="AO297" t="s">
        <v>995</v>
      </c>
      <c r="AP297" t="s">
        <v>160</v>
      </c>
      <c r="AQ297" t="s">
        <v>288</v>
      </c>
    </row>
    <row r="298" spans="1:43" hidden="1" x14ac:dyDescent="0.3">
      <c r="A298">
        <v>294</v>
      </c>
      <c r="B298" t="s">
        <v>991</v>
      </c>
      <c r="C298" t="s">
        <v>6</v>
      </c>
      <c r="L298">
        <v>6</v>
      </c>
      <c r="X298">
        <v>8.5</v>
      </c>
      <c r="AB298">
        <v>5</v>
      </c>
      <c r="AE298">
        <v>25</v>
      </c>
      <c r="AH298" t="s">
        <v>992</v>
      </c>
      <c r="AI298" t="s">
        <v>993</v>
      </c>
      <c r="AL298">
        <v>2</v>
      </c>
      <c r="AM298" t="s">
        <v>994</v>
      </c>
      <c r="AN298" t="s">
        <v>743</v>
      </c>
      <c r="AO298" t="s">
        <v>995</v>
      </c>
      <c r="AP298" t="s">
        <v>160</v>
      </c>
      <c r="AQ298" t="s">
        <v>288</v>
      </c>
    </row>
    <row r="299" spans="1:43" hidden="1" x14ac:dyDescent="0.3">
      <c r="A299">
        <v>295</v>
      </c>
      <c r="B299" t="s">
        <v>991</v>
      </c>
      <c r="C299" t="s">
        <v>6</v>
      </c>
      <c r="L299">
        <v>8</v>
      </c>
      <c r="X299">
        <v>8.5</v>
      </c>
      <c r="AB299">
        <v>5</v>
      </c>
      <c r="AE299">
        <v>25</v>
      </c>
      <c r="AH299" t="s">
        <v>992</v>
      </c>
      <c r="AI299" t="s">
        <v>993</v>
      </c>
      <c r="AL299">
        <v>3</v>
      </c>
      <c r="AM299" t="s">
        <v>994</v>
      </c>
      <c r="AN299" t="s">
        <v>743</v>
      </c>
      <c r="AO299" t="s">
        <v>995</v>
      </c>
      <c r="AP299" t="s">
        <v>160</v>
      </c>
      <c r="AQ299" t="s">
        <v>288</v>
      </c>
    </row>
    <row r="300" spans="1:43" hidden="1" x14ac:dyDescent="0.3">
      <c r="A300">
        <v>296</v>
      </c>
      <c r="B300" t="s">
        <v>991</v>
      </c>
      <c r="C300" t="s">
        <v>6</v>
      </c>
      <c r="L300">
        <v>9</v>
      </c>
      <c r="X300">
        <v>8.5</v>
      </c>
      <c r="AB300">
        <v>5</v>
      </c>
      <c r="AE300">
        <v>25</v>
      </c>
      <c r="AH300" t="s">
        <v>992</v>
      </c>
      <c r="AI300" t="s">
        <v>993</v>
      </c>
      <c r="AL300">
        <v>4</v>
      </c>
      <c r="AM300" t="s">
        <v>994</v>
      </c>
      <c r="AN300" t="s">
        <v>743</v>
      </c>
      <c r="AO300" t="s">
        <v>995</v>
      </c>
      <c r="AP300" t="s">
        <v>160</v>
      </c>
      <c r="AQ300" t="s">
        <v>288</v>
      </c>
    </row>
    <row r="301" spans="1:43" hidden="1" x14ac:dyDescent="0.3">
      <c r="A301">
        <v>297</v>
      </c>
      <c r="B301" t="s">
        <v>991</v>
      </c>
      <c r="C301" t="s">
        <v>6</v>
      </c>
      <c r="L301">
        <v>4</v>
      </c>
      <c r="X301">
        <v>9</v>
      </c>
      <c r="AB301">
        <v>5</v>
      </c>
      <c r="AE301">
        <v>25</v>
      </c>
      <c r="AH301" t="s">
        <v>992</v>
      </c>
      <c r="AI301" t="s">
        <v>993</v>
      </c>
      <c r="AL301">
        <v>1</v>
      </c>
      <c r="AM301" t="s">
        <v>994</v>
      </c>
      <c r="AN301" t="s">
        <v>743</v>
      </c>
      <c r="AO301" t="s">
        <v>995</v>
      </c>
      <c r="AP301" t="s">
        <v>160</v>
      </c>
      <c r="AQ301" t="s">
        <v>288</v>
      </c>
    </row>
    <row r="302" spans="1:43" hidden="1" x14ac:dyDescent="0.3">
      <c r="A302">
        <v>298</v>
      </c>
      <c r="B302" t="s">
        <v>991</v>
      </c>
      <c r="C302" t="s">
        <v>6</v>
      </c>
      <c r="L302">
        <v>6</v>
      </c>
      <c r="X302">
        <v>9</v>
      </c>
      <c r="AB302">
        <v>5</v>
      </c>
      <c r="AE302">
        <v>25</v>
      </c>
      <c r="AH302" t="s">
        <v>992</v>
      </c>
      <c r="AI302" t="s">
        <v>993</v>
      </c>
      <c r="AL302">
        <v>2</v>
      </c>
      <c r="AM302" t="s">
        <v>994</v>
      </c>
      <c r="AN302" t="s">
        <v>743</v>
      </c>
      <c r="AO302" t="s">
        <v>995</v>
      </c>
      <c r="AP302" t="s">
        <v>160</v>
      </c>
      <c r="AQ302" t="s">
        <v>288</v>
      </c>
    </row>
    <row r="303" spans="1:43" hidden="1" x14ac:dyDescent="0.3">
      <c r="A303">
        <v>299</v>
      </c>
      <c r="B303" t="s">
        <v>991</v>
      </c>
      <c r="C303" t="s">
        <v>6</v>
      </c>
      <c r="L303">
        <v>8</v>
      </c>
      <c r="X303">
        <v>9</v>
      </c>
      <c r="AB303">
        <v>5</v>
      </c>
      <c r="AE303">
        <v>25</v>
      </c>
      <c r="AH303" t="s">
        <v>992</v>
      </c>
      <c r="AI303" t="s">
        <v>993</v>
      </c>
      <c r="AL303">
        <v>3</v>
      </c>
      <c r="AM303" t="s">
        <v>994</v>
      </c>
      <c r="AN303" t="s">
        <v>743</v>
      </c>
      <c r="AO303" t="s">
        <v>995</v>
      </c>
      <c r="AP303" t="s">
        <v>160</v>
      </c>
      <c r="AQ303" t="s">
        <v>288</v>
      </c>
    </row>
    <row r="304" spans="1:43" hidden="1" x14ac:dyDescent="0.3">
      <c r="A304">
        <v>300</v>
      </c>
      <c r="B304" t="s">
        <v>991</v>
      </c>
      <c r="C304" t="s">
        <v>6</v>
      </c>
      <c r="L304">
        <v>10</v>
      </c>
      <c r="X304">
        <v>9</v>
      </c>
      <c r="AB304">
        <v>5</v>
      </c>
      <c r="AE304">
        <v>25</v>
      </c>
      <c r="AH304" t="s">
        <v>992</v>
      </c>
      <c r="AI304" t="s">
        <v>993</v>
      </c>
      <c r="AL304">
        <v>4</v>
      </c>
      <c r="AM304" t="s">
        <v>994</v>
      </c>
      <c r="AN304" t="s">
        <v>743</v>
      </c>
      <c r="AO304" t="s">
        <v>995</v>
      </c>
      <c r="AP304" t="s">
        <v>160</v>
      </c>
      <c r="AQ304" t="s">
        <v>288</v>
      </c>
    </row>
    <row r="305" spans="1:43" hidden="1" x14ac:dyDescent="0.3">
      <c r="A305">
        <v>301</v>
      </c>
      <c r="B305" t="s">
        <v>991</v>
      </c>
      <c r="C305" t="s">
        <v>6</v>
      </c>
      <c r="L305">
        <v>4</v>
      </c>
      <c r="X305">
        <v>7</v>
      </c>
      <c r="AB305">
        <v>0.2</v>
      </c>
      <c r="AE305">
        <v>5</v>
      </c>
      <c r="AH305" t="s">
        <v>996</v>
      </c>
      <c r="AI305" t="s">
        <v>997</v>
      </c>
      <c r="AL305">
        <v>1</v>
      </c>
      <c r="AM305" t="s">
        <v>994</v>
      </c>
      <c r="AN305" t="s">
        <v>743</v>
      </c>
      <c r="AO305" t="s">
        <v>998</v>
      </c>
      <c r="AP305" t="s">
        <v>160</v>
      </c>
      <c r="AQ305" t="s">
        <v>288</v>
      </c>
    </row>
    <row r="306" spans="1:43" hidden="1" x14ac:dyDescent="0.3">
      <c r="A306">
        <v>302</v>
      </c>
      <c r="B306" t="s">
        <v>991</v>
      </c>
      <c r="C306" t="s">
        <v>6</v>
      </c>
      <c r="L306">
        <v>5</v>
      </c>
      <c r="X306">
        <v>7</v>
      </c>
      <c r="AB306">
        <v>0.2</v>
      </c>
      <c r="AE306">
        <v>5</v>
      </c>
      <c r="AH306" t="s">
        <v>996</v>
      </c>
      <c r="AI306" t="s">
        <v>997</v>
      </c>
      <c r="AL306">
        <v>2</v>
      </c>
      <c r="AM306" t="s">
        <v>994</v>
      </c>
      <c r="AN306" t="s">
        <v>743</v>
      </c>
      <c r="AO306" t="s">
        <v>998</v>
      </c>
      <c r="AP306" t="s">
        <v>160</v>
      </c>
      <c r="AQ306" t="s">
        <v>288</v>
      </c>
    </row>
    <row r="307" spans="1:43" hidden="1" x14ac:dyDescent="0.3">
      <c r="A307">
        <v>303</v>
      </c>
      <c r="B307" t="s">
        <v>991</v>
      </c>
      <c r="C307" t="s">
        <v>6</v>
      </c>
      <c r="L307">
        <v>7</v>
      </c>
      <c r="X307">
        <v>7</v>
      </c>
      <c r="AB307">
        <v>0.2</v>
      </c>
      <c r="AE307">
        <v>5</v>
      </c>
      <c r="AH307" t="s">
        <v>996</v>
      </c>
      <c r="AI307" t="s">
        <v>997</v>
      </c>
      <c r="AL307">
        <v>3</v>
      </c>
      <c r="AM307" t="s">
        <v>994</v>
      </c>
      <c r="AN307" t="s">
        <v>743</v>
      </c>
      <c r="AO307" t="s">
        <v>998</v>
      </c>
      <c r="AP307" t="s">
        <v>160</v>
      </c>
      <c r="AQ307" t="s">
        <v>288</v>
      </c>
    </row>
    <row r="308" spans="1:43" hidden="1" x14ac:dyDescent="0.3">
      <c r="A308">
        <v>304</v>
      </c>
      <c r="B308" t="s">
        <v>991</v>
      </c>
      <c r="C308" t="s">
        <v>6</v>
      </c>
      <c r="L308">
        <v>8</v>
      </c>
      <c r="X308">
        <v>7</v>
      </c>
      <c r="AB308">
        <v>0.2</v>
      </c>
      <c r="AE308">
        <v>5</v>
      </c>
      <c r="AH308" t="s">
        <v>996</v>
      </c>
      <c r="AI308" t="s">
        <v>997</v>
      </c>
      <c r="AL308">
        <v>4</v>
      </c>
      <c r="AM308" t="s">
        <v>994</v>
      </c>
      <c r="AN308" t="s">
        <v>743</v>
      </c>
      <c r="AO308" t="s">
        <v>998</v>
      </c>
      <c r="AP308" t="s">
        <v>160</v>
      </c>
      <c r="AQ308" t="s">
        <v>288</v>
      </c>
    </row>
    <row r="309" spans="1:43" hidden="1" x14ac:dyDescent="0.3">
      <c r="A309">
        <v>305</v>
      </c>
      <c r="B309" t="s">
        <v>991</v>
      </c>
      <c r="C309" t="s">
        <v>6</v>
      </c>
      <c r="L309">
        <v>7</v>
      </c>
      <c r="X309">
        <v>7.5</v>
      </c>
      <c r="AB309">
        <v>0.2</v>
      </c>
      <c r="AE309">
        <v>5</v>
      </c>
      <c r="AH309" t="s">
        <v>996</v>
      </c>
      <c r="AI309" t="s">
        <v>997</v>
      </c>
      <c r="AL309">
        <v>1</v>
      </c>
      <c r="AM309" t="s">
        <v>994</v>
      </c>
      <c r="AN309" t="s">
        <v>743</v>
      </c>
      <c r="AO309" t="s">
        <v>998</v>
      </c>
      <c r="AP309" t="s">
        <v>160</v>
      </c>
      <c r="AQ309" t="s">
        <v>288</v>
      </c>
    </row>
    <row r="310" spans="1:43" hidden="1" x14ac:dyDescent="0.3">
      <c r="A310">
        <v>306</v>
      </c>
      <c r="B310" t="s">
        <v>991</v>
      </c>
      <c r="C310" t="s">
        <v>6</v>
      </c>
      <c r="L310">
        <v>10</v>
      </c>
      <c r="X310">
        <v>7.5</v>
      </c>
      <c r="AB310">
        <v>0.2</v>
      </c>
      <c r="AE310">
        <v>5</v>
      </c>
      <c r="AH310" t="s">
        <v>996</v>
      </c>
      <c r="AI310" t="s">
        <v>997</v>
      </c>
      <c r="AL310">
        <v>2</v>
      </c>
      <c r="AM310" t="s">
        <v>994</v>
      </c>
      <c r="AN310" t="s">
        <v>743</v>
      </c>
      <c r="AO310" t="s">
        <v>998</v>
      </c>
      <c r="AP310" t="s">
        <v>160</v>
      </c>
      <c r="AQ310" t="s">
        <v>288</v>
      </c>
    </row>
    <row r="311" spans="1:43" hidden="1" x14ac:dyDescent="0.3">
      <c r="A311">
        <v>307</v>
      </c>
      <c r="B311" t="s">
        <v>991</v>
      </c>
      <c r="C311" t="s">
        <v>6</v>
      </c>
      <c r="L311">
        <v>13</v>
      </c>
      <c r="X311">
        <v>7.5</v>
      </c>
      <c r="AB311">
        <v>0.2</v>
      </c>
      <c r="AE311">
        <v>5</v>
      </c>
      <c r="AH311" t="s">
        <v>996</v>
      </c>
      <c r="AI311" t="s">
        <v>997</v>
      </c>
      <c r="AL311">
        <v>3</v>
      </c>
      <c r="AM311" t="s">
        <v>994</v>
      </c>
      <c r="AN311" t="s">
        <v>743</v>
      </c>
      <c r="AO311" t="s">
        <v>998</v>
      </c>
      <c r="AP311" t="s">
        <v>160</v>
      </c>
      <c r="AQ311" t="s">
        <v>288</v>
      </c>
    </row>
    <row r="312" spans="1:43" hidden="1" x14ac:dyDescent="0.3">
      <c r="A312">
        <v>308</v>
      </c>
      <c r="B312" t="s">
        <v>991</v>
      </c>
      <c r="C312" t="s">
        <v>6</v>
      </c>
      <c r="L312">
        <v>16</v>
      </c>
      <c r="X312">
        <v>7.5</v>
      </c>
      <c r="AB312">
        <v>0.2</v>
      </c>
      <c r="AE312">
        <v>5</v>
      </c>
      <c r="AH312" t="s">
        <v>996</v>
      </c>
      <c r="AI312" t="s">
        <v>997</v>
      </c>
      <c r="AL312">
        <v>4</v>
      </c>
      <c r="AM312" t="s">
        <v>994</v>
      </c>
      <c r="AN312" t="s">
        <v>743</v>
      </c>
      <c r="AO312" t="s">
        <v>998</v>
      </c>
      <c r="AP312" t="s">
        <v>160</v>
      </c>
      <c r="AQ312" t="s">
        <v>288</v>
      </c>
    </row>
    <row r="313" spans="1:43" hidden="1" x14ac:dyDescent="0.3">
      <c r="A313">
        <v>309</v>
      </c>
      <c r="B313" t="s">
        <v>991</v>
      </c>
      <c r="C313" t="s">
        <v>6</v>
      </c>
      <c r="L313">
        <v>9</v>
      </c>
      <c r="X313">
        <v>8</v>
      </c>
      <c r="AB313">
        <v>0.2</v>
      </c>
      <c r="AE313">
        <v>5</v>
      </c>
      <c r="AH313" t="s">
        <v>996</v>
      </c>
      <c r="AI313" t="s">
        <v>997</v>
      </c>
      <c r="AL313">
        <v>1</v>
      </c>
      <c r="AM313" t="s">
        <v>994</v>
      </c>
      <c r="AN313" t="s">
        <v>743</v>
      </c>
      <c r="AO313" t="s">
        <v>998</v>
      </c>
      <c r="AP313" t="s">
        <v>160</v>
      </c>
      <c r="AQ313" t="s">
        <v>288</v>
      </c>
    </row>
    <row r="314" spans="1:43" hidden="1" x14ac:dyDescent="0.3">
      <c r="A314">
        <v>310</v>
      </c>
      <c r="B314" t="s">
        <v>991</v>
      </c>
      <c r="C314" t="s">
        <v>6</v>
      </c>
      <c r="L314">
        <v>14</v>
      </c>
      <c r="X314">
        <v>8</v>
      </c>
      <c r="AB314">
        <v>0.2</v>
      </c>
      <c r="AE314">
        <v>5</v>
      </c>
      <c r="AH314" t="s">
        <v>996</v>
      </c>
      <c r="AI314" t="s">
        <v>997</v>
      </c>
      <c r="AL314">
        <v>2</v>
      </c>
      <c r="AM314" t="s">
        <v>994</v>
      </c>
      <c r="AN314" t="s">
        <v>743</v>
      </c>
      <c r="AO314" t="s">
        <v>998</v>
      </c>
      <c r="AP314" t="s">
        <v>160</v>
      </c>
      <c r="AQ314" t="s">
        <v>288</v>
      </c>
    </row>
    <row r="315" spans="1:43" hidden="1" x14ac:dyDescent="0.3">
      <c r="A315">
        <v>311</v>
      </c>
      <c r="B315" t="s">
        <v>991</v>
      </c>
      <c r="C315" t="s">
        <v>6</v>
      </c>
      <c r="L315">
        <v>18</v>
      </c>
      <c r="X315">
        <v>8</v>
      </c>
      <c r="AB315">
        <v>0.2</v>
      </c>
      <c r="AE315">
        <v>5</v>
      </c>
      <c r="AH315" t="s">
        <v>996</v>
      </c>
      <c r="AI315" t="s">
        <v>997</v>
      </c>
      <c r="AL315">
        <v>3</v>
      </c>
      <c r="AM315" t="s">
        <v>994</v>
      </c>
      <c r="AN315" t="s">
        <v>743</v>
      </c>
      <c r="AO315" t="s">
        <v>998</v>
      </c>
      <c r="AP315" t="s">
        <v>160</v>
      </c>
      <c r="AQ315" t="s">
        <v>288</v>
      </c>
    </row>
    <row r="316" spans="1:43" hidden="1" x14ac:dyDescent="0.3">
      <c r="A316">
        <v>312</v>
      </c>
      <c r="B316" t="s">
        <v>991</v>
      </c>
      <c r="C316" t="s">
        <v>6</v>
      </c>
      <c r="L316">
        <v>23</v>
      </c>
      <c r="X316">
        <v>8</v>
      </c>
      <c r="AB316">
        <v>0.2</v>
      </c>
      <c r="AE316">
        <v>5</v>
      </c>
      <c r="AH316" t="s">
        <v>996</v>
      </c>
      <c r="AI316" t="s">
        <v>997</v>
      </c>
      <c r="AL316">
        <v>4</v>
      </c>
      <c r="AM316" t="s">
        <v>994</v>
      </c>
      <c r="AN316" t="s">
        <v>743</v>
      </c>
      <c r="AO316" t="s">
        <v>998</v>
      </c>
      <c r="AP316" t="s">
        <v>160</v>
      </c>
      <c r="AQ316" t="s">
        <v>288</v>
      </c>
    </row>
    <row r="317" spans="1:43" hidden="1" x14ac:dyDescent="0.3">
      <c r="A317">
        <v>313</v>
      </c>
      <c r="B317" t="s">
        <v>991</v>
      </c>
      <c r="C317" t="s">
        <v>6</v>
      </c>
      <c r="L317">
        <v>11</v>
      </c>
      <c r="X317">
        <v>8.5</v>
      </c>
      <c r="AB317">
        <v>0.2</v>
      </c>
      <c r="AE317">
        <v>5</v>
      </c>
      <c r="AH317" t="s">
        <v>996</v>
      </c>
      <c r="AI317" t="s">
        <v>997</v>
      </c>
      <c r="AL317">
        <v>1</v>
      </c>
      <c r="AM317" t="s">
        <v>994</v>
      </c>
      <c r="AN317" t="s">
        <v>743</v>
      </c>
      <c r="AO317" t="s">
        <v>998</v>
      </c>
      <c r="AP317" t="s">
        <v>160</v>
      </c>
      <c r="AQ317" t="s">
        <v>288</v>
      </c>
    </row>
    <row r="318" spans="1:43" hidden="1" x14ac:dyDescent="0.3">
      <c r="A318">
        <v>314</v>
      </c>
      <c r="B318" t="s">
        <v>991</v>
      </c>
      <c r="C318" t="s">
        <v>6</v>
      </c>
      <c r="L318">
        <v>17</v>
      </c>
      <c r="X318">
        <v>8.5</v>
      </c>
      <c r="AB318">
        <v>0.2</v>
      </c>
      <c r="AE318">
        <v>5</v>
      </c>
      <c r="AH318" t="s">
        <v>996</v>
      </c>
      <c r="AI318" t="s">
        <v>997</v>
      </c>
      <c r="AL318">
        <v>2</v>
      </c>
      <c r="AM318" t="s">
        <v>994</v>
      </c>
      <c r="AN318" t="s">
        <v>743</v>
      </c>
      <c r="AO318" t="s">
        <v>998</v>
      </c>
      <c r="AP318" t="s">
        <v>160</v>
      </c>
      <c r="AQ318" t="s">
        <v>288</v>
      </c>
    </row>
    <row r="319" spans="1:43" hidden="1" x14ac:dyDescent="0.3">
      <c r="A319">
        <v>315</v>
      </c>
      <c r="B319" t="s">
        <v>991</v>
      </c>
      <c r="C319" t="s">
        <v>6</v>
      </c>
      <c r="L319">
        <v>23</v>
      </c>
      <c r="X319">
        <v>8.5</v>
      </c>
      <c r="AB319">
        <v>0.2</v>
      </c>
      <c r="AE319">
        <v>5</v>
      </c>
      <c r="AH319" t="s">
        <v>996</v>
      </c>
      <c r="AI319" t="s">
        <v>997</v>
      </c>
      <c r="AL319">
        <v>3</v>
      </c>
      <c r="AM319" t="s">
        <v>994</v>
      </c>
      <c r="AN319" t="s">
        <v>743</v>
      </c>
      <c r="AO319" t="s">
        <v>998</v>
      </c>
      <c r="AP319" t="s">
        <v>160</v>
      </c>
      <c r="AQ319" t="s">
        <v>288</v>
      </c>
    </row>
    <row r="320" spans="1:43" hidden="1" x14ac:dyDescent="0.3">
      <c r="A320">
        <v>316</v>
      </c>
      <c r="B320" t="s">
        <v>991</v>
      </c>
      <c r="C320" t="s">
        <v>6</v>
      </c>
      <c r="L320">
        <v>29</v>
      </c>
      <c r="X320">
        <v>8.5</v>
      </c>
      <c r="AB320">
        <v>0.2</v>
      </c>
      <c r="AE320">
        <v>5</v>
      </c>
      <c r="AH320" t="s">
        <v>996</v>
      </c>
      <c r="AI320" t="s">
        <v>997</v>
      </c>
      <c r="AL320">
        <v>4</v>
      </c>
      <c r="AM320" t="s">
        <v>994</v>
      </c>
      <c r="AN320" t="s">
        <v>743</v>
      </c>
      <c r="AO320" t="s">
        <v>998</v>
      </c>
      <c r="AP320" t="s">
        <v>160</v>
      </c>
      <c r="AQ320" t="s">
        <v>288</v>
      </c>
    </row>
    <row r="321" spans="1:43" hidden="1" x14ac:dyDescent="0.3">
      <c r="A321">
        <v>317</v>
      </c>
      <c r="B321" t="s">
        <v>991</v>
      </c>
      <c r="C321" t="s">
        <v>6</v>
      </c>
      <c r="L321">
        <v>13</v>
      </c>
      <c r="X321">
        <v>9</v>
      </c>
      <c r="AB321">
        <v>0.2</v>
      </c>
      <c r="AE321">
        <v>5</v>
      </c>
      <c r="AH321" t="s">
        <v>996</v>
      </c>
      <c r="AI321" t="s">
        <v>997</v>
      </c>
      <c r="AL321">
        <v>1</v>
      </c>
      <c r="AM321" t="s">
        <v>994</v>
      </c>
      <c r="AN321" t="s">
        <v>743</v>
      </c>
      <c r="AO321" t="s">
        <v>998</v>
      </c>
      <c r="AP321" t="s">
        <v>160</v>
      </c>
      <c r="AQ321" t="s">
        <v>288</v>
      </c>
    </row>
    <row r="322" spans="1:43" hidden="1" x14ac:dyDescent="0.3">
      <c r="A322">
        <v>318</v>
      </c>
      <c r="B322" t="s">
        <v>991</v>
      </c>
      <c r="C322" t="s">
        <v>6</v>
      </c>
      <c r="L322">
        <v>20</v>
      </c>
      <c r="X322">
        <v>9</v>
      </c>
      <c r="AB322">
        <v>0.2</v>
      </c>
      <c r="AE322">
        <v>5</v>
      </c>
      <c r="AH322" t="s">
        <v>996</v>
      </c>
      <c r="AI322" t="s">
        <v>997</v>
      </c>
      <c r="AL322">
        <v>2</v>
      </c>
      <c r="AM322" t="s">
        <v>994</v>
      </c>
      <c r="AN322" t="s">
        <v>743</v>
      </c>
      <c r="AO322" t="s">
        <v>998</v>
      </c>
      <c r="AP322" t="s">
        <v>160</v>
      </c>
      <c r="AQ322" t="s">
        <v>288</v>
      </c>
    </row>
    <row r="323" spans="1:43" hidden="1" x14ac:dyDescent="0.3">
      <c r="A323">
        <v>319</v>
      </c>
      <c r="B323" t="s">
        <v>991</v>
      </c>
      <c r="C323" t="s">
        <v>6</v>
      </c>
      <c r="L323">
        <v>28</v>
      </c>
      <c r="X323">
        <v>9</v>
      </c>
      <c r="AB323">
        <v>0.2</v>
      </c>
      <c r="AE323">
        <v>5</v>
      </c>
      <c r="AH323" t="s">
        <v>996</v>
      </c>
      <c r="AI323" t="s">
        <v>997</v>
      </c>
      <c r="AL323">
        <v>3</v>
      </c>
      <c r="AM323" t="s">
        <v>994</v>
      </c>
      <c r="AN323" t="s">
        <v>743</v>
      </c>
      <c r="AO323" t="s">
        <v>998</v>
      </c>
      <c r="AP323" t="s">
        <v>160</v>
      </c>
      <c r="AQ323" t="s">
        <v>288</v>
      </c>
    </row>
    <row r="324" spans="1:43" hidden="1" x14ac:dyDescent="0.3">
      <c r="A324">
        <v>320</v>
      </c>
      <c r="B324" t="s">
        <v>991</v>
      </c>
      <c r="C324" t="s">
        <v>6</v>
      </c>
      <c r="L324">
        <v>35</v>
      </c>
      <c r="X324">
        <v>9</v>
      </c>
      <c r="AB324">
        <v>0.2</v>
      </c>
      <c r="AE324">
        <v>5</v>
      </c>
      <c r="AH324" t="s">
        <v>996</v>
      </c>
      <c r="AI324" t="s">
        <v>997</v>
      </c>
      <c r="AL324">
        <v>4</v>
      </c>
      <c r="AM324" t="s">
        <v>994</v>
      </c>
      <c r="AN324" t="s">
        <v>743</v>
      </c>
      <c r="AO324" t="s">
        <v>998</v>
      </c>
      <c r="AP324" t="s">
        <v>160</v>
      </c>
      <c r="AQ324" t="s">
        <v>288</v>
      </c>
    </row>
    <row r="325" spans="1:43" hidden="1" x14ac:dyDescent="0.3">
      <c r="A325">
        <v>321</v>
      </c>
      <c r="B325" t="s">
        <v>991</v>
      </c>
      <c r="C325" t="s">
        <v>6</v>
      </c>
      <c r="L325">
        <v>3</v>
      </c>
      <c r="X325">
        <v>7</v>
      </c>
      <c r="AB325">
        <v>0.2</v>
      </c>
      <c r="AE325">
        <v>10</v>
      </c>
      <c r="AH325" t="s">
        <v>996</v>
      </c>
      <c r="AI325" t="s">
        <v>997</v>
      </c>
      <c r="AL325">
        <v>1</v>
      </c>
      <c r="AM325" t="s">
        <v>994</v>
      </c>
      <c r="AN325" t="s">
        <v>743</v>
      </c>
      <c r="AO325" t="s">
        <v>998</v>
      </c>
      <c r="AP325" t="s">
        <v>160</v>
      </c>
      <c r="AQ325" t="s">
        <v>288</v>
      </c>
    </row>
    <row r="326" spans="1:43" hidden="1" x14ac:dyDescent="0.3">
      <c r="A326">
        <v>322</v>
      </c>
      <c r="B326" t="s">
        <v>991</v>
      </c>
      <c r="C326" t="s">
        <v>6</v>
      </c>
      <c r="L326">
        <v>4</v>
      </c>
      <c r="X326">
        <v>7</v>
      </c>
      <c r="AB326">
        <v>0.2</v>
      </c>
      <c r="AE326">
        <v>10</v>
      </c>
      <c r="AH326" t="s">
        <v>996</v>
      </c>
      <c r="AI326" t="s">
        <v>997</v>
      </c>
      <c r="AL326">
        <v>2</v>
      </c>
      <c r="AM326" t="s">
        <v>994</v>
      </c>
      <c r="AN326" t="s">
        <v>743</v>
      </c>
      <c r="AO326" t="s">
        <v>998</v>
      </c>
      <c r="AP326" t="s">
        <v>160</v>
      </c>
      <c r="AQ326" t="s">
        <v>288</v>
      </c>
    </row>
    <row r="327" spans="1:43" hidden="1" x14ac:dyDescent="0.3">
      <c r="A327">
        <v>323</v>
      </c>
      <c r="B327" t="s">
        <v>991</v>
      </c>
      <c r="C327" t="s">
        <v>6</v>
      </c>
      <c r="L327">
        <v>5</v>
      </c>
      <c r="X327">
        <v>7</v>
      </c>
      <c r="AB327">
        <v>0.2</v>
      </c>
      <c r="AE327">
        <v>10</v>
      </c>
      <c r="AH327" t="s">
        <v>996</v>
      </c>
      <c r="AI327" t="s">
        <v>997</v>
      </c>
      <c r="AL327">
        <v>3</v>
      </c>
      <c r="AM327" t="s">
        <v>994</v>
      </c>
      <c r="AN327" t="s">
        <v>743</v>
      </c>
      <c r="AO327" t="s">
        <v>998</v>
      </c>
      <c r="AP327" t="s">
        <v>160</v>
      </c>
      <c r="AQ327" t="s">
        <v>288</v>
      </c>
    </row>
    <row r="328" spans="1:43" hidden="1" x14ac:dyDescent="0.3">
      <c r="A328">
        <v>324</v>
      </c>
      <c r="B328" t="s">
        <v>991</v>
      </c>
      <c r="C328" t="s">
        <v>6</v>
      </c>
      <c r="L328">
        <v>6</v>
      </c>
      <c r="X328">
        <v>7</v>
      </c>
      <c r="AB328">
        <v>0.2</v>
      </c>
      <c r="AE328">
        <v>10</v>
      </c>
      <c r="AH328" t="s">
        <v>996</v>
      </c>
      <c r="AI328" t="s">
        <v>997</v>
      </c>
      <c r="AL328">
        <v>4</v>
      </c>
      <c r="AM328" t="s">
        <v>994</v>
      </c>
      <c r="AN328" t="s">
        <v>743</v>
      </c>
      <c r="AO328" t="s">
        <v>998</v>
      </c>
      <c r="AP328" t="s">
        <v>160</v>
      </c>
      <c r="AQ328" t="s">
        <v>288</v>
      </c>
    </row>
    <row r="329" spans="1:43" hidden="1" x14ac:dyDescent="0.3">
      <c r="A329">
        <v>325</v>
      </c>
      <c r="B329" t="s">
        <v>991</v>
      </c>
      <c r="C329" t="s">
        <v>6</v>
      </c>
      <c r="L329">
        <v>5</v>
      </c>
      <c r="X329">
        <v>7.5</v>
      </c>
      <c r="AB329">
        <v>0.2</v>
      </c>
      <c r="AE329">
        <v>10</v>
      </c>
      <c r="AH329" t="s">
        <v>996</v>
      </c>
      <c r="AI329" t="s">
        <v>997</v>
      </c>
      <c r="AL329">
        <v>1</v>
      </c>
      <c r="AM329" t="s">
        <v>994</v>
      </c>
      <c r="AN329" t="s">
        <v>743</v>
      </c>
      <c r="AO329" t="s">
        <v>998</v>
      </c>
      <c r="AP329" t="s">
        <v>160</v>
      </c>
      <c r="AQ329" t="s">
        <v>288</v>
      </c>
    </row>
    <row r="330" spans="1:43" hidden="1" x14ac:dyDescent="0.3">
      <c r="A330">
        <v>326</v>
      </c>
      <c r="B330" t="s">
        <v>991</v>
      </c>
      <c r="C330" t="s">
        <v>6</v>
      </c>
      <c r="L330">
        <v>7</v>
      </c>
      <c r="X330">
        <v>7.5</v>
      </c>
      <c r="AB330">
        <v>0.2</v>
      </c>
      <c r="AE330">
        <v>10</v>
      </c>
      <c r="AH330" t="s">
        <v>996</v>
      </c>
      <c r="AI330" t="s">
        <v>997</v>
      </c>
      <c r="AL330">
        <v>2</v>
      </c>
      <c r="AM330" t="s">
        <v>994</v>
      </c>
      <c r="AN330" t="s">
        <v>743</v>
      </c>
      <c r="AO330" t="s">
        <v>998</v>
      </c>
      <c r="AP330" t="s">
        <v>160</v>
      </c>
      <c r="AQ330" t="s">
        <v>288</v>
      </c>
    </row>
    <row r="331" spans="1:43" hidden="1" x14ac:dyDescent="0.3">
      <c r="A331">
        <v>327</v>
      </c>
      <c r="B331" t="s">
        <v>991</v>
      </c>
      <c r="C331" t="s">
        <v>6</v>
      </c>
      <c r="L331">
        <v>9</v>
      </c>
      <c r="X331">
        <v>7.5</v>
      </c>
      <c r="AB331">
        <v>0.2</v>
      </c>
      <c r="AE331">
        <v>10</v>
      </c>
      <c r="AH331" t="s">
        <v>996</v>
      </c>
      <c r="AI331" t="s">
        <v>997</v>
      </c>
      <c r="AL331">
        <v>3</v>
      </c>
      <c r="AM331" t="s">
        <v>994</v>
      </c>
      <c r="AN331" t="s">
        <v>743</v>
      </c>
      <c r="AO331" t="s">
        <v>998</v>
      </c>
      <c r="AP331" t="s">
        <v>160</v>
      </c>
      <c r="AQ331" t="s">
        <v>288</v>
      </c>
    </row>
    <row r="332" spans="1:43" hidden="1" x14ac:dyDescent="0.3">
      <c r="A332">
        <v>328</v>
      </c>
      <c r="B332" t="s">
        <v>991</v>
      </c>
      <c r="C332" t="s">
        <v>6</v>
      </c>
      <c r="L332">
        <v>11</v>
      </c>
      <c r="X332">
        <v>7.5</v>
      </c>
      <c r="AB332">
        <v>0.2</v>
      </c>
      <c r="AE332">
        <v>10</v>
      </c>
      <c r="AH332" t="s">
        <v>996</v>
      </c>
      <c r="AI332" t="s">
        <v>997</v>
      </c>
      <c r="AL332">
        <v>4</v>
      </c>
      <c r="AM332" t="s">
        <v>994</v>
      </c>
      <c r="AN332" t="s">
        <v>743</v>
      </c>
      <c r="AO332" t="s">
        <v>998</v>
      </c>
      <c r="AP332" t="s">
        <v>160</v>
      </c>
      <c r="AQ332" t="s">
        <v>288</v>
      </c>
    </row>
    <row r="333" spans="1:43" hidden="1" x14ac:dyDescent="0.3">
      <c r="A333">
        <v>329</v>
      </c>
      <c r="B333" t="s">
        <v>991</v>
      </c>
      <c r="C333" t="s">
        <v>6</v>
      </c>
      <c r="L333">
        <v>7</v>
      </c>
      <c r="X333">
        <v>8</v>
      </c>
      <c r="AB333">
        <v>0.2</v>
      </c>
      <c r="AE333">
        <v>10</v>
      </c>
      <c r="AH333" t="s">
        <v>996</v>
      </c>
      <c r="AI333" t="s">
        <v>997</v>
      </c>
      <c r="AL333">
        <v>1</v>
      </c>
      <c r="AM333" t="s">
        <v>994</v>
      </c>
      <c r="AN333" t="s">
        <v>743</v>
      </c>
      <c r="AO333" t="s">
        <v>998</v>
      </c>
      <c r="AP333" t="s">
        <v>160</v>
      </c>
      <c r="AQ333" t="s">
        <v>288</v>
      </c>
    </row>
    <row r="334" spans="1:43" hidden="1" x14ac:dyDescent="0.3">
      <c r="A334">
        <v>330</v>
      </c>
      <c r="B334" t="s">
        <v>991</v>
      </c>
      <c r="C334" t="s">
        <v>6</v>
      </c>
      <c r="L334">
        <v>10</v>
      </c>
      <c r="X334">
        <v>8</v>
      </c>
      <c r="AB334">
        <v>0.2</v>
      </c>
      <c r="AE334">
        <v>10</v>
      </c>
      <c r="AH334" t="s">
        <v>996</v>
      </c>
      <c r="AI334" t="s">
        <v>997</v>
      </c>
      <c r="AL334">
        <v>2</v>
      </c>
      <c r="AM334" t="s">
        <v>994</v>
      </c>
      <c r="AN334" t="s">
        <v>743</v>
      </c>
      <c r="AO334" t="s">
        <v>998</v>
      </c>
      <c r="AP334" t="s">
        <v>160</v>
      </c>
      <c r="AQ334" t="s">
        <v>288</v>
      </c>
    </row>
    <row r="335" spans="1:43" hidden="1" x14ac:dyDescent="0.3">
      <c r="A335">
        <v>331</v>
      </c>
      <c r="B335" t="s">
        <v>991</v>
      </c>
      <c r="C335" t="s">
        <v>6</v>
      </c>
      <c r="L335">
        <v>13</v>
      </c>
      <c r="X335">
        <v>8</v>
      </c>
      <c r="AB335">
        <v>0.2</v>
      </c>
      <c r="AE335">
        <v>10</v>
      </c>
      <c r="AH335" t="s">
        <v>996</v>
      </c>
      <c r="AI335" t="s">
        <v>997</v>
      </c>
      <c r="AL335">
        <v>3</v>
      </c>
      <c r="AM335" t="s">
        <v>994</v>
      </c>
      <c r="AN335" t="s">
        <v>743</v>
      </c>
      <c r="AO335" t="s">
        <v>998</v>
      </c>
      <c r="AP335" t="s">
        <v>160</v>
      </c>
      <c r="AQ335" t="s">
        <v>288</v>
      </c>
    </row>
    <row r="336" spans="1:43" hidden="1" x14ac:dyDescent="0.3">
      <c r="A336">
        <v>332</v>
      </c>
      <c r="B336" t="s">
        <v>991</v>
      </c>
      <c r="C336" t="s">
        <v>6</v>
      </c>
      <c r="L336">
        <v>16</v>
      </c>
      <c r="X336">
        <v>8</v>
      </c>
      <c r="AB336">
        <v>0.2</v>
      </c>
      <c r="AE336">
        <v>10</v>
      </c>
      <c r="AH336" t="s">
        <v>996</v>
      </c>
      <c r="AI336" t="s">
        <v>997</v>
      </c>
      <c r="AL336">
        <v>4</v>
      </c>
      <c r="AM336" t="s">
        <v>994</v>
      </c>
      <c r="AN336" t="s">
        <v>743</v>
      </c>
      <c r="AO336" t="s">
        <v>998</v>
      </c>
      <c r="AP336" t="s">
        <v>160</v>
      </c>
      <c r="AQ336" t="s">
        <v>288</v>
      </c>
    </row>
    <row r="337" spans="1:43" hidden="1" x14ac:dyDescent="0.3">
      <c r="A337">
        <v>333</v>
      </c>
      <c r="B337" t="s">
        <v>991</v>
      </c>
      <c r="C337" t="s">
        <v>6</v>
      </c>
      <c r="L337">
        <v>8</v>
      </c>
      <c r="X337">
        <v>8.5</v>
      </c>
      <c r="AB337">
        <v>0.2</v>
      </c>
      <c r="AE337">
        <v>10</v>
      </c>
      <c r="AH337" t="s">
        <v>996</v>
      </c>
      <c r="AI337" t="s">
        <v>997</v>
      </c>
      <c r="AL337">
        <v>1</v>
      </c>
      <c r="AM337" t="s">
        <v>994</v>
      </c>
      <c r="AN337" t="s">
        <v>743</v>
      </c>
      <c r="AO337" t="s">
        <v>998</v>
      </c>
      <c r="AP337" t="s">
        <v>160</v>
      </c>
      <c r="AQ337" t="s">
        <v>288</v>
      </c>
    </row>
    <row r="338" spans="1:43" hidden="1" x14ac:dyDescent="0.3">
      <c r="A338">
        <v>334</v>
      </c>
      <c r="B338" t="s">
        <v>991</v>
      </c>
      <c r="C338" t="s">
        <v>6</v>
      </c>
      <c r="L338">
        <v>12</v>
      </c>
      <c r="X338">
        <v>8.5</v>
      </c>
      <c r="AB338">
        <v>0.2</v>
      </c>
      <c r="AE338">
        <v>10</v>
      </c>
      <c r="AH338" t="s">
        <v>996</v>
      </c>
      <c r="AI338" t="s">
        <v>997</v>
      </c>
      <c r="AL338">
        <v>2</v>
      </c>
      <c r="AM338" t="s">
        <v>994</v>
      </c>
      <c r="AN338" t="s">
        <v>743</v>
      </c>
      <c r="AO338" t="s">
        <v>998</v>
      </c>
      <c r="AP338" t="s">
        <v>160</v>
      </c>
      <c r="AQ338" t="s">
        <v>288</v>
      </c>
    </row>
    <row r="339" spans="1:43" hidden="1" x14ac:dyDescent="0.3">
      <c r="A339">
        <v>335</v>
      </c>
      <c r="B339" t="s">
        <v>991</v>
      </c>
      <c r="C339" t="s">
        <v>6</v>
      </c>
      <c r="L339">
        <v>16</v>
      </c>
      <c r="X339">
        <v>8.5</v>
      </c>
      <c r="AB339">
        <v>0.2</v>
      </c>
      <c r="AE339">
        <v>10</v>
      </c>
      <c r="AH339" t="s">
        <v>996</v>
      </c>
      <c r="AI339" t="s">
        <v>997</v>
      </c>
      <c r="AL339">
        <v>3</v>
      </c>
      <c r="AM339" t="s">
        <v>994</v>
      </c>
      <c r="AN339" t="s">
        <v>743</v>
      </c>
      <c r="AO339" t="s">
        <v>998</v>
      </c>
      <c r="AP339" t="s">
        <v>160</v>
      </c>
      <c r="AQ339" t="s">
        <v>288</v>
      </c>
    </row>
    <row r="340" spans="1:43" hidden="1" x14ac:dyDescent="0.3">
      <c r="A340">
        <v>336</v>
      </c>
      <c r="B340" t="s">
        <v>991</v>
      </c>
      <c r="C340" t="s">
        <v>6</v>
      </c>
      <c r="L340">
        <v>21</v>
      </c>
      <c r="X340">
        <v>8.5</v>
      </c>
      <c r="AB340">
        <v>0.2</v>
      </c>
      <c r="AE340">
        <v>10</v>
      </c>
      <c r="AH340" t="s">
        <v>996</v>
      </c>
      <c r="AI340" t="s">
        <v>997</v>
      </c>
      <c r="AL340">
        <v>4</v>
      </c>
      <c r="AM340" t="s">
        <v>994</v>
      </c>
      <c r="AN340" t="s">
        <v>743</v>
      </c>
      <c r="AO340" t="s">
        <v>998</v>
      </c>
      <c r="AP340" t="s">
        <v>160</v>
      </c>
      <c r="AQ340" t="s">
        <v>288</v>
      </c>
    </row>
    <row r="341" spans="1:43" hidden="1" x14ac:dyDescent="0.3">
      <c r="A341">
        <v>337</v>
      </c>
      <c r="B341" t="s">
        <v>991</v>
      </c>
      <c r="C341" t="s">
        <v>6</v>
      </c>
      <c r="L341">
        <v>9</v>
      </c>
      <c r="X341">
        <v>9</v>
      </c>
      <c r="AB341">
        <v>0.2</v>
      </c>
      <c r="AE341">
        <v>10</v>
      </c>
      <c r="AH341" t="s">
        <v>996</v>
      </c>
      <c r="AI341" t="s">
        <v>997</v>
      </c>
      <c r="AL341">
        <v>1</v>
      </c>
      <c r="AM341" t="s">
        <v>994</v>
      </c>
      <c r="AN341" t="s">
        <v>743</v>
      </c>
      <c r="AO341" t="s">
        <v>998</v>
      </c>
      <c r="AP341" t="s">
        <v>160</v>
      </c>
      <c r="AQ341" t="s">
        <v>288</v>
      </c>
    </row>
    <row r="342" spans="1:43" hidden="1" x14ac:dyDescent="0.3">
      <c r="A342">
        <v>338</v>
      </c>
      <c r="B342" t="s">
        <v>991</v>
      </c>
      <c r="C342" t="s">
        <v>6</v>
      </c>
      <c r="L342">
        <v>14</v>
      </c>
      <c r="X342">
        <v>9</v>
      </c>
      <c r="AB342">
        <v>0.2</v>
      </c>
      <c r="AE342">
        <v>10</v>
      </c>
      <c r="AH342" t="s">
        <v>996</v>
      </c>
      <c r="AI342" t="s">
        <v>997</v>
      </c>
      <c r="AL342">
        <v>2</v>
      </c>
      <c r="AM342" t="s">
        <v>994</v>
      </c>
      <c r="AN342" t="s">
        <v>743</v>
      </c>
      <c r="AO342" t="s">
        <v>998</v>
      </c>
      <c r="AP342" t="s">
        <v>160</v>
      </c>
      <c r="AQ342" t="s">
        <v>288</v>
      </c>
    </row>
    <row r="343" spans="1:43" hidden="1" x14ac:dyDescent="0.3">
      <c r="A343">
        <v>339</v>
      </c>
      <c r="B343" t="s">
        <v>991</v>
      </c>
      <c r="C343" t="s">
        <v>6</v>
      </c>
      <c r="L343">
        <v>19</v>
      </c>
      <c r="X343">
        <v>9</v>
      </c>
      <c r="AB343">
        <v>0.2</v>
      </c>
      <c r="AE343">
        <v>10</v>
      </c>
      <c r="AH343" t="s">
        <v>996</v>
      </c>
      <c r="AI343" t="s">
        <v>997</v>
      </c>
      <c r="AL343">
        <v>3</v>
      </c>
      <c r="AM343" t="s">
        <v>994</v>
      </c>
      <c r="AN343" t="s">
        <v>743</v>
      </c>
      <c r="AO343" t="s">
        <v>998</v>
      </c>
      <c r="AP343" t="s">
        <v>160</v>
      </c>
      <c r="AQ343" t="s">
        <v>288</v>
      </c>
    </row>
    <row r="344" spans="1:43" hidden="1" x14ac:dyDescent="0.3">
      <c r="A344">
        <v>340</v>
      </c>
      <c r="B344" t="s">
        <v>991</v>
      </c>
      <c r="C344" t="s">
        <v>6</v>
      </c>
      <c r="L344">
        <v>25</v>
      </c>
      <c r="X344">
        <v>9</v>
      </c>
      <c r="AB344">
        <v>0.2</v>
      </c>
      <c r="AE344">
        <v>10</v>
      </c>
      <c r="AH344" t="s">
        <v>996</v>
      </c>
      <c r="AI344" t="s">
        <v>997</v>
      </c>
      <c r="AL344">
        <v>4</v>
      </c>
      <c r="AM344" t="s">
        <v>994</v>
      </c>
      <c r="AN344" t="s">
        <v>743</v>
      </c>
      <c r="AO344" t="s">
        <v>998</v>
      </c>
      <c r="AP344" t="s">
        <v>160</v>
      </c>
      <c r="AQ344" t="s">
        <v>288</v>
      </c>
    </row>
    <row r="345" spans="1:43" hidden="1" x14ac:dyDescent="0.3">
      <c r="A345">
        <v>341</v>
      </c>
      <c r="B345" t="s">
        <v>991</v>
      </c>
      <c r="C345" t="s">
        <v>6</v>
      </c>
      <c r="L345">
        <v>2</v>
      </c>
      <c r="X345">
        <v>7</v>
      </c>
      <c r="AB345">
        <v>0.2</v>
      </c>
      <c r="AE345">
        <v>15</v>
      </c>
      <c r="AH345" t="s">
        <v>996</v>
      </c>
      <c r="AI345" t="s">
        <v>997</v>
      </c>
      <c r="AL345">
        <v>1</v>
      </c>
      <c r="AM345" t="s">
        <v>994</v>
      </c>
      <c r="AN345" t="s">
        <v>743</v>
      </c>
      <c r="AO345" t="s">
        <v>998</v>
      </c>
      <c r="AP345" t="s">
        <v>160</v>
      </c>
      <c r="AQ345" t="s">
        <v>288</v>
      </c>
    </row>
    <row r="346" spans="1:43" hidden="1" x14ac:dyDescent="0.3">
      <c r="A346">
        <v>342</v>
      </c>
      <c r="B346" t="s">
        <v>991</v>
      </c>
      <c r="C346" t="s">
        <v>6</v>
      </c>
      <c r="L346">
        <v>3</v>
      </c>
      <c r="X346">
        <v>7</v>
      </c>
      <c r="AB346">
        <v>0.2</v>
      </c>
      <c r="AE346">
        <v>15</v>
      </c>
      <c r="AH346" t="s">
        <v>996</v>
      </c>
      <c r="AI346" t="s">
        <v>997</v>
      </c>
      <c r="AL346">
        <v>2</v>
      </c>
      <c r="AM346" t="s">
        <v>994</v>
      </c>
      <c r="AN346" t="s">
        <v>743</v>
      </c>
      <c r="AO346" t="s">
        <v>998</v>
      </c>
      <c r="AP346" t="s">
        <v>160</v>
      </c>
      <c r="AQ346" t="s">
        <v>288</v>
      </c>
    </row>
    <row r="347" spans="1:43" hidden="1" x14ac:dyDescent="0.3">
      <c r="A347">
        <v>343</v>
      </c>
      <c r="B347" t="s">
        <v>991</v>
      </c>
      <c r="C347" t="s">
        <v>6</v>
      </c>
      <c r="L347">
        <v>4</v>
      </c>
      <c r="X347">
        <v>7</v>
      </c>
      <c r="AB347">
        <v>0.2</v>
      </c>
      <c r="AE347">
        <v>15</v>
      </c>
      <c r="AH347" t="s">
        <v>996</v>
      </c>
      <c r="AI347" t="s">
        <v>997</v>
      </c>
      <c r="AL347">
        <v>3</v>
      </c>
      <c r="AM347" t="s">
        <v>994</v>
      </c>
      <c r="AN347" t="s">
        <v>743</v>
      </c>
      <c r="AO347" t="s">
        <v>998</v>
      </c>
      <c r="AP347" t="s">
        <v>160</v>
      </c>
      <c r="AQ347" t="s">
        <v>288</v>
      </c>
    </row>
    <row r="348" spans="1:43" hidden="1" x14ac:dyDescent="0.3">
      <c r="A348">
        <v>344</v>
      </c>
      <c r="B348" t="s">
        <v>991</v>
      </c>
      <c r="C348" t="s">
        <v>6</v>
      </c>
      <c r="L348">
        <v>4</v>
      </c>
      <c r="X348">
        <v>7</v>
      </c>
      <c r="AB348">
        <v>0.2</v>
      </c>
      <c r="AE348">
        <v>15</v>
      </c>
      <c r="AH348" t="s">
        <v>996</v>
      </c>
      <c r="AI348" t="s">
        <v>997</v>
      </c>
      <c r="AL348">
        <v>4</v>
      </c>
      <c r="AM348" t="s">
        <v>994</v>
      </c>
      <c r="AN348" t="s">
        <v>743</v>
      </c>
      <c r="AO348" t="s">
        <v>998</v>
      </c>
      <c r="AP348" t="s">
        <v>160</v>
      </c>
      <c r="AQ348" t="s">
        <v>288</v>
      </c>
    </row>
    <row r="349" spans="1:43" hidden="1" x14ac:dyDescent="0.3">
      <c r="A349">
        <v>345</v>
      </c>
      <c r="B349" t="s">
        <v>991</v>
      </c>
      <c r="C349" t="s">
        <v>6</v>
      </c>
      <c r="L349">
        <v>4</v>
      </c>
      <c r="X349">
        <v>7.5</v>
      </c>
      <c r="AB349">
        <v>0.2</v>
      </c>
      <c r="AE349">
        <v>15</v>
      </c>
      <c r="AH349" t="s">
        <v>996</v>
      </c>
      <c r="AI349" t="s">
        <v>997</v>
      </c>
      <c r="AL349">
        <v>1</v>
      </c>
      <c r="AM349" t="s">
        <v>994</v>
      </c>
      <c r="AN349" t="s">
        <v>743</v>
      </c>
      <c r="AO349" t="s">
        <v>998</v>
      </c>
      <c r="AP349" t="s">
        <v>160</v>
      </c>
      <c r="AQ349" t="s">
        <v>288</v>
      </c>
    </row>
    <row r="350" spans="1:43" hidden="1" x14ac:dyDescent="0.3">
      <c r="A350">
        <v>346</v>
      </c>
      <c r="B350" t="s">
        <v>991</v>
      </c>
      <c r="C350" t="s">
        <v>6</v>
      </c>
      <c r="L350">
        <v>5</v>
      </c>
      <c r="X350">
        <v>7.5</v>
      </c>
      <c r="AB350">
        <v>0.2</v>
      </c>
      <c r="AE350">
        <v>15</v>
      </c>
      <c r="AH350" t="s">
        <v>996</v>
      </c>
      <c r="AI350" t="s">
        <v>997</v>
      </c>
      <c r="AL350">
        <v>2</v>
      </c>
      <c r="AM350" t="s">
        <v>994</v>
      </c>
      <c r="AN350" t="s">
        <v>743</v>
      </c>
      <c r="AO350" t="s">
        <v>998</v>
      </c>
      <c r="AP350" t="s">
        <v>160</v>
      </c>
      <c r="AQ350" t="s">
        <v>288</v>
      </c>
    </row>
    <row r="351" spans="1:43" hidden="1" x14ac:dyDescent="0.3">
      <c r="A351">
        <v>347</v>
      </c>
      <c r="B351" t="s">
        <v>991</v>
      </c>
      <c r="C351" t="s">
        <v>6</v>
      </c>
      <c r="L351">
        <v>7</v>
      </c>
      <c r="X351">
        <v>7.5</v>
      </c>
      <c r="AB351">
        <v>0.2</v>
      </c>
      <c r="AE351">
        <v>15</v>
      </c>
      <c r="AH351" t="s">
        <v>996</v>
      </c>
      <c r="AI351" t="s">
        <v>997</v>
      </c>
      <c r="AL351">
        <v>3</v>
      </c>
      <c r="AM351" t="s">
        <v>994</v>
      </c>
      <c r="AN351" t="s">
        <v>743</v>
      </c>
      <c r="AO351" t="s">
        <v>998</v>
      </c>
      <c r="AP351" t="s">
        <v>160</v>
      </c>
      <c r="AQ351" t="s">
        <v>288</v>
      </c>
    </row>
    <row r="352" spans="1:43" hidden="1" x14ac:dyDescent="0.3">
      <c r="A352">
        <v>348</v>
      </c>
      <c r="B352" t="s">
        <v>991</v>
      </c>
      <c r="C352" t="s">
        <v>6</v>
      </c>
      <c r="L352">
        <v>8</v>
      </c>
      <c r="X352">
        <v>7.5</v>
      </c>
      <c r="AB352">
        <v>0.2</v>
      </c>
      <c r="AE352">
        <v>15</v>
      </c>
      <c r="AH352" t="s">
        <v>996</v>
      </c>
      <c r="AI352" t="s">
        <v>997</v>
      </c>
      <c r="AL352">
        <v>4</v>
      </c>
      <c r="AM352" t="s">
        <v>994</v>
      </c>
      <c r="AN352" t="s">
        <v>743</v>
      </c>
      <c r="AO352" t="s">
        <v>998</v>
      </c>
      <c r="AP352" t="s">
        <v>160</v>
      </c>
      <c r="AQ352" t="s">
        <v>288</v>
      </c>
    </row>
    <row r="353" spans="1:43" hidden="1" x14ac:dyDescent="0.3">
      <c r="A353">
        <v>349</v>
      </c>
      <c r="B353" t="s">
        <v>991</v>
      </c>
      <c r="C353" t="s">
        <v>6</v>
      </c>
      <c r="L353">
        <v>5</v>
      </c>
      <c r="X353">
        <v>8</v>
      </c>
      <c r="AB353">
        <v>0.2</v>
      </c>
      <c r="AE353">
        <v>15</v>
      </c>
      <c r="AH353" t="s">
        <v>996</v>
      </c>
      <c r="AI353" t="s">
        <v>997</v>
      </c>
      <c r="AL353">
        <v>1</v>
      </c>
      <c r="AM353" t="s">
        <v>994</v>
      </c>
      <c r="AN353" t="s">
        <v>743</v>
      </c>
      <c r="AO353" t="s">
        <v>998</v>
      </c>
      <c r="AP353" t="s">
        <v>160</v>
      </c>
      <c r="AQ353" t="s">
        <v>288</v>
      </c>
    </row>
    <row r="354" spans="1:43" hidden="1" x14ac:dyDescent="0.3">
      <c r="A354">
        <v>350</v>
      </c>
      <c r="B354" t="s">
        <v>991</v>
      </c>
      <c r="C354" t="s">
        <v>6</v>
      </c>
      <c r="L354">
        <v>7</v>
      </c>
      <c r="X354">
        <v>8</v>
      </c>
      <c r="AB354">
        <v>0.2</v>
      </c>
      <c r="AE354">
        <v>15</v>
      </c>
      <c r="AH354" t="s">
        <v>996</v>
      </c>
      <c r="AI354" t="s">
        <v>997</v>
      </c>
      <c r="AL354">
        <v>2</v>
      </c>
      <c r="AM354" t="s">
        <v>994</v>
      </c>
      <c r="AN354" t="s">
        <v>743</v>
      </c>
      <c r="AO354" t="s">
        <v>998</v>
      </c>
      <c r="AP354" t="s">
        <v>160</v>
      </c>
      <c r="AQ354" t="s">
        <v>288</v>
      </c>
    </row>
    <row r="355" spans="1:43" hidden="1" x14ac:dyDescent="0.3">
      <c r="A355">
        <v>351</v>
      </c>
      <c r="B355" t="s">
        <v>991</v>
      </c>
      <c r="C355" t="s">
        <v>6</v>
      </c>
      <c r="L355">
        <v>9</v>
      </c>
      <c r="X355">
        <v>8</v>
      </c>
      <c r="AB355">
        <v>0.2</v>
      </c>
      <c r="AE355">
        <v>15</v>
      </c>
      <c r="AH355" t="s">
        <v>996</v>
      </c>
      <c r="AI355" t="s">
        <v>997</v>
      </c>
      <c r="AL355">
        <v>3</v>
      </c>
      <c r="AM355" t="s">
        <v>994</v>
      </c>
      <c r="AN355" t="s">
        <v>743</v>
      </c>
      <c r="AO355" t="s">
        <v>998</v>
      </c>
      <c r="AP355" t="s">
        <v>160</v>
      </c>
      <c r="AQ355" t="s">
        <v>288</v>
      </c>
    </row>
    <row r="356" spans="1:43" hidden="1" x14ac:dyDescent="0.3">
      <c r="A356">
        <v>352</v>
      </c>
      <c r="B356" t="s">
        <v>991</v>
      </c>
      <c r="C356" t="s">
        <v>6</v>
      </c>
      <c r="L356">
        <v>12</v>
      </c>
      <c r="X356">
        <v>8</v>
      </c>
      <c r="AB356">
        <v>0.2</v>
      </c>
      <c r="AE356">
        <v>15</v>
      </c>
      <c r="AH356" t="s">
        <v>996</v>
      </c>
      <c r="AI356" t="s">
        <v>997</v>
      </c>
      <c r="AL356">
        <v>4</v>
      </c>
      <c r="AM356" t="s">
        <v>994</v>
      </c>
      <c r="AN356" t="s">
        <v>743</v>
      </c>
      <c r="AO356" t="s">
        <v>998</v>
      </c>
      <c r="AP356" t="s">
        <v>160</v>
      </c>
      <c r="AQ356" t="s">
        <v>288</v>
      </c>
    </row>
    <row r="357" spans="1:43" hidden="1" x14ac:dyDescent="0.3">
      <c r="A357">
        <v>353</v>
      </c>
      <c r="B357" t="s">
        <v>991</v>
      </c>
      <c r="C357" t="s">
        <v>6</v>
      </c>
      <c r="L357">
        <v>6</v>
      </c>
      <c r="X357">
        <v>8.5</v>
      </c>
      <c r="AB357">
        <v>0.2</v>
      </c>
      <c r="AE357">
        <v>15</v>
      </c>
      <c r="AH357" t="s">
        <v>996</v>
      </c>
      <c r="AI357" t="s">
        <v>997</v>
      </c>
      <c r="AL357">
        <v>1</v>
      </c>
      <c r="AM357" t="s">
        <v>994</v>
      </c>
      <c r="AN357" t="s">
        <v>743</v>
      </c>
      <c r="AO357" t="s">
        <v>998</v>
      </c>
      <c r="AP357" t="s">
        <v>160</v>
      </c>
      <c r="AQ357" t="s">
        <v>288</v>
      </c>
    </row>
    <row r="358" spans="1:43" hidden="1" x14ac:dyDescent="0.3">
      <c r="A358">
        <v>354</v>
      </c>
      <c r="B358" t="s">
        <v>991</v>
      </c>
      <c r="C358" t="s">
        <v>6</v>
      </c>
      <c r="L358">
        <v>9</v>
      </c>
      <c r="X358">
        <v>8.5</v>
      </c>
      <c r="AB358">
        <v>0.2</v>
      </c>
      <c r="AE358">
        <v>15</v>
      </c>
      <c r="AH358" t="s">
        <v>996</v>
      </c>
      <c r="AI358" t="s">
        <v>997</v>
      </c>
      <c r="AL358">
        <v>2</v>
      </c>
      <c r="AM358" t="s">
        <v>994</v>
      </c>
      <c r="AN358" t="s">
        <v>743</v>
      </c>
      <c r="AO358" t="s">
        <v>998</v>
      </c>
      <c r="AP358" t="s">
        <v>160</v>
      </c>
      <c r="AQ358" t="s">
        <v>288</v>
      </c>
    </row>
    <row r="359" spans="1:43" hidden="1" x14ac:dyDescent="0.3">
      <c r="A359">
        <v>355</v>
      </c>
      <c r="B359" t="s">
        <v>991</v>
      </c>
      <c r="C359" t="s">
        <v>6</v>
      </c>
      <c r="L359">
        <v>12</v>
      </c>
      <c r="X359">
        <v>8.5</v>
      </c>
      <c r="AB359">
        <v>0.2</v>
      </c>
      <c r="AE359">
        <v>15</v>
      </c>
      <c r="AH359" t="s">
        <v>996</v>
      </c>
      <c r="AI359" t="s">
        <v>997</v>
      </c>
      <c r="AL359">
        <v>3</v>
      </c>
      <c r="AM359" t="s">
        <v>994</v>
      </c>
      <c r="AN359" t="s">
        <v>743</v>
      </c>
      <c r="AO359" t="s">
        <v>998</v>
      </c>
      <c r="AP359" t="s">
        <v>160</v>
      </c>
      <c r="AQ359" t="s">
        <v>288</v>
      </c>
    </row>
    <row r="360" spans="1:43" hidden="1" x14ac:dyDescent="0.3">
      <c r="A360">
        <v>356</v>
      </c>
      <c r="B360" t="s">
        <v>991</v>
      </c>
      <c r="C360" t="s">
        <v>6</v>
      </c>
      <c r="L360">
        <v>15</v>
      </c>
      <c r="X360">
        <v>8.5</v>
      </c>
      <c r="AB360">
        <v>0.2</v>
      </c>
      <c r="AE360">
        <v>15</v>
      </c>
      <c r="AH360" t="s">
        <v>996</v>
      </c>
      <c r="AI360" t="s">
        <v>997</v>
      </c>
      <c r="AL360">
        <v>4</v>
      </c>
      <c r="AM360" t="s">
        <v>994</v>
      </c>
      <c r="AN360" t="s">
        <v>743</v>
      </c>
      <c r="AO360" t="s">
        <v>998</v>
      </c>
      <c r="AP360" t="s">
        <v>160</v>
      </c>
      <c r="AQ360" t="s">
        <v>288</v>
      </c>
    </row>
    <row r="361" spans="1:43" hidden="1" x14ac:dyDescent="0.3">
      <c r="A361">
        <v>357</v>
      </c>
      <c r="B361" t="s">
        <v>991</v>
      </c>
      <c r="C361" t="s">
        <v>6</v>
      </c>
      <c r="L361">
        <v>6</v>
      </c>
      <c r="X361">
        <v>9</v>
      </c>
      <c r="AB361">
        <v>0.2</v>
      </c>
      <c r="AE361">
        <v>15</v>
      </c>
      <c r="AH361" t="s">
        <v>996</v>
      </c>
      <c r="AI361" t="s">
        <v>997</v>
      </c>
      <c r="AL361">
        <v>1</v>
      </c>
      <c r="AM361" t="s">
        <v>994</v>
      </c>
      <c r="AN361" t="s">
        <v>743</v>
      </c>
      <c r="AO361" t="s">
        <v>998</v>
      </c>
      <c r="AP361" t="s">
        <v>160</v>
      </c>
      <c r="AQ361" t="s">
        <v>288</v>
      </c>
    </row>
    <row r="362" spans="1:43" hidden="1" x14ac:dyDescent="0.3">
      <c r="A362">
        <v>358</v>
      </c>
      <c r="B362" t="s">
        <v>991</v>
      </c>
      <c r="C362" t="s">
        <v>6</v>
      </c>
      <c r="L362">
        <v>10</v>
      </c>
      <c r="X362">
        <v>9</v>
      </c>
      <c r="AB362">
        <v>0.2</v>
      </c>
      <c r="AE362">
        <v>15</v>
      </c>
      <c r="AH362" t="s">
        <v>996</v>
      </c>
      <c r="AI362" t="s">
        <v>997</v>
      </c>
      <c r="AL362">
        <v>2</v>
      </c>
      <c r="AM362" t="s">
        <v>994</v>
      </c>
      <c r="AN362" t="s">
        <v>743</v>
      </c>
      <c r="AO362" t="s">
        <v>998</v>
      </c>
      <c r="AP362" t="s">
        <v>160</v>
      </c>
      <c r="AQ362" t="s">
        <v>288</v>
      </c>
    </row>
    <row r="363" spans="1:43" hidden="1" x14ac:dyDescent="0.3">
      <c r="A363">
        <v>359</v>
      </c>
      <c r="B363" t="s">
        <v>991</v>
      </c>
      <c r="C363" t="s">
        <v>6</v>
      </c>
      <c r="L363">
        <v>14</v>
      </c>
      <c r="X363">
        <v>9</v>
      </c>
      <c r="AB363">
        <v>0.2</v>
      </c>
      <c r="AE363">
        <v>15</v>
      </c>
      <c r="AH363" t="s">
        <v>996</v>
      </c>
      <c r="AI363" t="s">
        <v>997</v>
      </c>
      <c r="AL363">
        <v>3</v>
      </c>
      <c r="AM363" t="s">
        <v>994</v>
      </c>
      <c r="AN363" t="s">
        <v>743</v>
      </c>
      <c r="AO363" t="s">
        <v>998</v>
      </c>
      <c r="AP363" t="s">
        <v>160</v>
      </c>
      <c r="AQ363" t="s">
        <v>288</v>
      </c>
    </row>
    <row r="364" spans="1:43" hidden="1" x14ac:dyDescent="0.3">
      <c r="A364">
        <v>360</v>
      </c>
      <c r="B364" t="s">
        <v>991</v>
      </c>
      <c r="C364" t="s">
        <v>6</v>
      </c>
      <c r="L364">
        <v>17</v>
      </c>
      <c r="X364">
        <v>9</v>
      </c>
      <c r="AB364">
        <v>0.2</v>
      </c>
      <c r="AE364">
        <v>15</v>
      </c>
      <c r="AH364" t="s">
        <v>996</v>
      </c>
      <c r="AI364" t="s">
        <v>997</v>
      </c>
      <c r="AL364">
        <v>4</v>
      </c>
      <c r="AM364" t="s">
        <v>994</v>
      </c>
      <c r="AN364" t="s">
        <v>743</v>
      </c>
      <c r="AO364" t="s">
        <v>998</v>
      </c>
      <c r="AP364" t="s">
        <v>160</v>
      </c>
      <c r="AQ364" t="s">
        <v>288</v>
      </c>
    </row>
    <row r="365" spans="1:43" hidden="1" x14ac:dyDescent="0.3">
      <c r="A365">
        <v>361</v>
      </c>
      <c r="B365" t="s">
        <v>991</v>
      </c>
      <c r="C365" t="s">
        <v>6</v>
      </c>
      <c r="L365">
        <v>2</v>
      </c>
      <c r="X365">
        <v>7</v>
      </c>
      <c r="AB365">
        <v>0.2</v>
      </c>
      <c r="AE365">
        <v>20</v>
      </c>
      <c r="AH365" t="s">
        <v>996</v>
      </c>
      <c r="AI365" t="s">
        <v>997</v>
      </c>
      <c r="AL365">
        <v>1</v>
      </c>
      <c r="AM365" t="s">
        <v>994</v>
      </c>
      <c r="AN365" t="s">
        <v>743</v>
      </c>
      <c r="AO365" t="s">
        <v>998</v>
      </c>
      <c r="AP365" t="s">
        <v>160</v>
      </c>
      <c r="AQ365" t="s">
        <v>288</v>
      </c>
    </row>
    <row r="366" spans="1:43" hidden="1" x14ac:dyDescent="0.3">
      <c r="A366">
        <v>362</v>
      </c>
      <c r="B366" t="s">
        <v>991</v>
      </c>
      <c r="C366" t="s">
        <v>6</v>
      </c>
      <c r="L366">
        <v>2</v>
      </c>
      <c r="X366">
        <v>7</v>
      </c>
      <c r="AB366">
        <v>0.2</v>
      </c>
      <c r="AE366">
        <v>20</v>
      </c>
      <c r="AH366" t="s">
        <v>996</v>
      </c>
      <c r="AI366" t="s">
        <v>997</v>
      </c>
      <c r="AL366">
        <v>2</v>
      </c>
      <c r="AM366" t="s">
        <v>994</v>
      </c>
      <c r="AN366" t="s">
        <v>743</v>
      </c>
      <c r="AO366" t="s">
        <v>998</v>
      </c>
      <c r="AP366" t="s">
        <v>160</v>
      </c>
      <c r="AQ366" t="s">
        <v>288</v>
      </c>
    </row>
    <row r="367" spans="1:43" hidden="1" x14ac:dyDescent="0.3">
      <c r="A367">
        <v>363</v>
      </c>
      <c r="B367" t="s">
        <v>991</v>
      </c>
      <c r="C367" t="s">
        <v>6</v>
      </c>
      <c r="L367">
        <v>3</v>
      </c>
      <c r="X367">
        <v>7</v>
      </c>
      <c r="AB367">
        <v>0.2</v>
      </c>
      <c r="AE367">
        <v>20</v>
      </c>
      <c r="AH367" t="s">
        <v>996</v>
      </c>
      <c r="AI367" t="s">
        <v>997</v>
      </c>
      <c r="AL367">
        <v>3</v>
      </c>
      <c r="AM367" t="s">
        <v>994</v>
      </c>
      <c r="AN367" t="s">
        <v>743</v>
      </c>
      <c r="AO367" t="s">
        <v>998</v>
      </c>
      <c r="AP367" t="s">
        <v>160</v>
      </c>
      <c r="AQ367" t="s">
        <v>288</v>
      </c>
    </row>
    <row r="368" spans="1:43" hidden="1" x14ac:dyDescent="0.3">
      <c r="A368">
        <v>364</v>
      </c>
      <c r="B368" t="s">
        <v>991</v>
      </c>
      <c r="C368" t="s">
        <v>6</v>
      </c>
      <c r="L368">
        <v>3</v>
      </c>
      <c r="X368">
        <v>7</v>
      </c>
      <c r="AB368">
        <v>0.2</v>
      </c>
      <c r="AE368">
        <v>20</v>
      </c>
      <c r="AH368" t="s">
        <v>996</v>
      </c>
      <c r="AI368" t="s">
        <v>997</v>
      </c>
      <c r="AL368">
        <v>4</v>
      </c>
      <c r="AM368" t="s">
        <v>994</v>
      </c>
      <c r="AN368" t="s">
        <v>743</v>
      </c>
      <c r="AO368" t="s">
        <v>998</v>
      </c>
      <c r="AP368" t="s">
        <v>160</v>
      </c>
      <c r="AQ368" t="s">
        <v>288</v>
      </c>
    </row>
    <row r="369" spans="1:43" hidden="1" x14ac:dyDescent="0.3">
      <c r="A369">
        <v>365</v>
      </c>
      <c r="B369" t="s">
        <v>991</v>
      </c>
      <c r="C369" t="s">
        <v>6</v>
      </c>
      <c r="L369">
        <v>3</v>
      </c>
      <c r="X369">
        <v>7.5</v>
      </c>
      <c r="AB369">
        <v>0.2</v>
      </c>
      <c r="AE369">
        <v>20</v>
      </c>
      <c r="AH369" t="s">
        <v>996</v>
      </c>
      <c r="AI369" t="s">
        <v>997</v>
      </c>
      <c r="AL369">
        <v>1</v>
      </c>
      <c r="AM369" t="s">
        <v>994</v>
      </c>
      <c r="AN369" t="s">
        <v>743</v>
      </c>
      <c r="AO369" t="s">
        <v>998</v>
      </c>
      <c r="AP369" t="s">
        <v>160</v>
      </c>
      <c r="AQ369" t="s">
        <v>288</v>
      </c>
    </row>
    <row r="370" spans="1:43" hidden="1" x14ac:dyDescent="0.3">
      <c r="A370">
        <v>366</v>
      </c>
      <c r="B370" t="s">
        <v>991</v>
      </c>
      <c r="C370" t="s">
        <v>6</v>
      </c>
      <c r="L370">
        <v>4</v>
      </c>
      <c r="X370">
        <v>7.5</v>
      </c>
      <c r="AB370">
        <v>0.2</v>
      </c>
      <c r="AE370">
        <v>20</v>
      </c>
      <c r="AH370" t="s">
        <v>996</v>
      </c>
      <c r="AI370" t="s">
        <v>997</v>
      </c>
      <c r="AL370">
        <v>2</v>
      </c>
      <c r="AM370" t="s">
        <v>994</v>
      </c>
      <c r="AN370" t="s">
        <v>743</v>
      </c>
      <c r="AO370" t="s">
        <v>998</v>
      </c>
      <c r="AP370" t="s">
        <v>160</v>
      </c>
      <c r="AQ370" t="s">
        <v>288</v>
      </c>
    </row>
    <row r="371" spans="1:43" hidden="1" x14ac:dyDescent="0.3">
      <c r="A371">
        <v>367</v>
      </c>
      <c r="B371" t="s">
        <v>991</v>
      </c>
      <c r="C371" t="s">
        <v>6</v>
      </c>
      <c r="L371">
        <v>5</v>
      </c>
      <c r="X371">
        <v>7.5</v>
      </c>
      <c r="AB371">
        <v>0.2</v>
      </c>
      <c r="AE371">
        <v>20</v>
      </c>
      <c r="AH371" t="s">
        <v>996</v>
      </c>
      <c r="AI371" t="s">
        <v>997</v>
      </c>
      <c r="AL371">
        <v>3</v>
      </c>
      <c r="AM371" t="s">
        <v>994</v>
      </c>
      <c r="AN371" t="s">
        <v>743</v>
      </c>
      <c r="AO371" t="s">
        <v>998</v>
      </c>
      <c r="AP371" t="s">
        <v>160</v>
      </c>
      <c r="AQ371" t="s">
        <v>288</v>
      </c>
    </row>
    <row r="372" spans="1:43" hidden="1" x14ac:dyDescent="0.3">
      <c r="A372">
        <v>368</v>
      </c>
      <c r="B372" t="s">
        <v>991</v>
      </c>
      <c r="C372" t="s">
        <v>6</v>
      </c>
      <c r="L372">
        <v>6</v>
      </c>
      <c r="X372">
        <v>7.5</v>
      </c>
      <c r="AB372">
        <v>0.2</v>
      </c>
      <c r="AE372">
        <v>20</v>
      </c>
      <c r="AH372" t="s">
        <v>996</v>
      </c>
      <c r="AI372" t="s">
        <v>997</v>
      </c>
      <c r="AL372">
        <v>4</v>
      </c>
      <c r="AM372" t="s">
        <v>994</v>
      </c>
      <c r="AN372" t="s">
        <v>743</v>
      </c>
      <c r="AO372" t="s">
        <v>998</v>
      </c>
      <c r="AP372" t="s">
        <v>160</v>
      </c>
      <c r="AQ372" t="s">
        <v>288</v>
      </c>
    </row>
    <row r="373" spans="1:43" hidden="1" x14ac:dyDescent="0.3">
      <c r="A373">
        <v>369</v>
      </c>
      <c r="B373" t="s">
        <v>991</v>
      </c>
      <c r="C373" t="s">
        <v>6</v>
      </c>
      <c r="L373">
        <v>3</v>
      </c>
      <c r="X373">
        <v>8</v>
      </c>
      <c r="AB373">
        <v>0.2</v>
      </c>
      <c r="AE373">
        <v>20</v>
      </c>
      <c r="AH373" t="s">
        <v>996</v>
      </c>
      <c r="AI373" t="s">
        <v>997</v>
      </c>
      <c r="AL373">
        <v>1</v>
      </c>
      <c r="AM373" t="s">
        <v>994</v>
      </c>
      <c r="AN373" t="s">
        <v>743</v>
      </c>
      <c r="AO373" t="s">
        <v>998</v>
      </c>
      <c r="AP373" t="s">
        <v>160</v>
      </c>
      <c r="AQ373" t="s">
        <v>288</v>
      </c>
    </row>
    <row r="374" spans="1:43" hidden="1" x14ac:dyDescent="0.3">
      <c r="A374">
        <v>370</v>
      </c>
      <c r="B374" t="s">
        <v>991</v>
      </c>
      <c r="C374" t="s">
        <v>6</v>
      </c>
      <c r="L374">
        <v>5</v>
      </c>
      <c r="X374">
        <v>8</v>
      </c>
      <c r="AB374">
        <v>0.2</v>
      </c>
      <c r="AE374">
        <v>20</v>
      </c>
      <c r="AH374" t="s">
        <v>996</v>
      </c>
      <c r="AI374" t="s">
        <v>997</v>
      </c>
      <c r="AL374">
        <v>2</v>
      </c>
      <c r="AM374" t="s">
        <v>994</v>
      </c>
      <c r="AN374" t="s">
        <v>743</v>
      </c>
      <c r="AO374" t="s">
        <v>998</v>
      </c>
      <c r="AP374" t="s">
        <v>160</v>
      </c>
      <c r="AQ374" t="s">
        <v>288</v>
      </c>
    </row>
    <row r="375" spans="1:43" hidden="1" x14ac:dyDescent="0.3">
      <c r="A375">
        <v>371</v>
      </c>
      <c r="B375" t="s">
        <v>991</v>
      </c>
      <c r="C375" t="s">
        <v>6</v>
      </c>
      <c r="L375">
        <v>7</v>
      </c>
      <c r="X375">
        <v>8</v>
      </c>
      <c r="AB375">
        <v>0.2</v>
      </c>
      <c r="AE375">
        <v>20</v>
      </c>
      <c r="AH375" t="s">
        <v>996</v>
      </c>
      <c r="AI375" t="s">
        <v>997</v>
      </c>
      <c r="AL375">
        <v>3</v>
      </c>
      <c r="AM375" t="s">
        <v>994</v>
      </c>
      <c r="AN375" t="s">
        <v>743</v>
      </c>
      <c r="AO375" t="s">
        <v>998</v>
      </c>
      <c r="AP375" t="s">
        <v>160</v>
      </c>
      <c r="AQ375" t="s">
        <v>288</v>
      </c>
    </row>
    <row r="376" spans="1:43" hidden="1" x14ac:dyDescent="0.3">
      <c r="A376">
        <v>372</v>
      </c>
      <c r="B376" t="s">
        <v>991</v>
      </c>
      <c r="C376" t="s">
        <v>6</v>
      </c>
      <c r="L376">
        <v>8</v>
      </c>
      <c r="X376">
        <v>8</v>
      </c>
      <c r="AB376">
        <v>0.2</v>
      </c>
      <c r="AE376">
        <v>20</v>
      </c>
      <c r="AH376" t="s">
        <v>996</v>
      </c>
      <c r="AI376" t="s">
        <v>997</v>
      </c>
      <c r="AL376">
        <v>4</v>
      </c>
      <c r="AM376" t="s">
        <v>994</v>
      </c>
      <c r="AN376" t="s">
        <v>743</v>
      </c>
      <c r="AO376" t="s">
        <v>998</v>
      </c>
      <c r="AP376" t="s">
        <v>160</v>
      </c>
      <c r="AQ376" t="s">
        <v>288</v>
      </c>
    </row>
    <row r="377" spans="1:43" hidden="1" x14ac:dyDescent="0.3">
      <c r="A377">
        <v>373</v>
      </c>
      <c r="B377" t="s">
        <v>991</v>
      </c>
      <c r="C377" t="s">
        <v>6</v>
      </c>
      <c r="L377">
        <v>4</v>
      </c>
      <c r="X377">
        <v>8.5</v>
      </c>
      <c r="AB377">
        <v>0.2</v>
      </c>
      <c r="AE377">
        <v>20</v>
      </c>
      <c r="AH377" t="s">
        <v>996</v>
      </c>
      <c r="AI377" t="s">
        <v>997</v>
      </c>
      <c r="AL377">
        <v>1</v>
      </c>
      <c r="AM377" t="s">
        <v>994</v>
      </c>
      <c r="AN377" t="s">
        <v>743</v>
      </c>
      <c r="AO377" t="s">
        <v>998</v>
      </c>
      <c r="AP377" t="s">
        <v>160</v>
      </c>
      <c r="AQ377" t="s">
        <v>288</v>
      </c>
    </row>
    <row r="378" spans="1:43" hidden="1" x14ac:dyDescent="0.3">
      <c r="A378">
        <v>374</v>
      </c>
      <c r="B378" t="s">
        <v>991</v>
      </c>
      <c r="C378" t="s">
        <v>6</v>
      </c>
      <c r="L378">
        <v>6</v>
      </c>
      <c r="X378">
        <v>8.5</v>
      </c>
      <c r="AB378">
        <v>0.2</v>
      </c>
      <c r="AE378">
        <v>20</v>
      </c>
      <c r="AH378" t="s">
        <v>996</v>
      </c>
      <c r="AI378" t="s">
        <v>997</v>
      </c>
      <c r="AL378">
        <v>2</v>
      </c>
      <c r="AM378" t="s">
        <v>994</v>
      </c>
      <c r="AN378" t="s">
        <v>743</v>
      </c>
      <c r="AO378" t="s">
        <v>998</v>
      </c>
      <c r="AP378" t="s">
        <v>160</v>
      </c>
      <c r="AQ378" t="s">
        <v>288</v>
      </c>
    </row>
    <row r="379" spans="1:43" hidden="1" x14ac:dyDescent="0.3">
      <c r="A379">
        <v>375</v>
      </c>
      <c r="B379" t="s">
        <v>991</v>
      </c>
      <c r="C379" t="s">
        <v>6</v>
      </c>
      <c r="L379">
        <v>9</v>
      </c>
      <c r="X379">
        <v>8.5</v>
      </c>
      <c r="AB379">
        <v>0.2</v>
      </c>
      <c r="AE379">
        <v>20</v>
      </c>
      <c r="AH379" t="s">
        <v>996</v>
      </c>
      <c r="AI379" t="s">
        <v>997</v>
      </c>
      <c r="AL379">
        <v>3</v>
      </c>
      <c r="AM379" t="s">
        <v>994</v>
      </c>
      <c r="AN379" t="s">
        <v>743</v>
      </c>
      <c r="AO379" t="s">
        <v>998</v>
      </c>
      <c r="AP379" t="s">
        <v>160</v>
      </c>
      <c r="AQ379" t="s">
        <v>288</v>
      </c>
    </row>
    <row r="380" spans="1:43" hidden="1" x14ac:dyDescent="0.3">
      <c r="A380">
        <v>376</v>
      </c>
      <c r="B380" t="s">
        <v>991</v>
      </c>
      <c r="C380" t="s">
        <v>6</v>
      </c>
      <c r="L380">
        <v>10</v>
      </c>
      <c r="X380">
        <v>8.5</v>
      </c>
      <c r="AB380">
        <v>0.2</v>
      </c>
      <c r="AE380">
        <v>20</v>
      </c>
      <c r="AH380" t="s">
        <v>996</v>
      </c>
      <c r="AI380" t="s">
        <v>997</v>
      </c>
      <c r="AL380">
        <v>4</v>
      </c>
      <c r="AM380" t="s">
        <v>994</v>
      </c>
      <c r="AN380" t="s">
        <v>743</v>
      </c>
      <c r="AO380" t="s">
        <v>998</v>
      </c>
      <c r="AP380" t="s">
        <v>160</v>
      </c>
      <c r="AQ380" t="s">
        <v>288</v>
      </c>
    </row>
    <row r="381" spans="1:43" hidden="1" x14ac:dyDescent="0.3">
      <c r="A381">
        <v>377</v>
      </c>
      <c r="B381" t="s">
        <v>991</v>
      </c>
      <c r="C381" t="s">
        <v>6</v>
      </c>
      <c r="L381">
        <v>5</v>
      </c>
      <c r="X381">
        <v>9</v>
      </c>
      <c r="AB381">
        <v>0.2</v>
      </c>
      <c r="AE381">
        <v>20</v>
      </c>
      <c r="AH381" t="s">
        <v>996</v>
      </c>
      <c r="AI381" t="s">
        <v>997</v>
      </c>
      <c r="AL381">
        <v>1</v>
      </c>
      <c r="AM381" t="s">
        <v>994</v>
      </c>
      <c r="AN381" t="s">
        <v>743</v>
      </c>
      <c r="AO381" t="s">
        <v>998</v>
      </c>
      <c r="AP381" t="s">
        <v>160</v>
      </c>
      <c r="AQ381" t="s">
        <v>288</v>
      </c>
    </row>
    <row r="382" spans="1:43" hidden="1" x14ac:dyDescent="0.3">
      <c r="A382">
        <v>378</v>
      </c>
      <c r="B382" t="s">
        <v>991</v>
      </c>
      <c r="C382" t="s">
        <v>6</v>
      </c>
      <c r="L382">
        <v>7</v>
      </c>
      <c r="X382">
        <v>9</v>
      </c>
      <c r="AB382">
        <v>0.2</v>
      </c>
      <c r="AE382">
        <v>20</v>
      </c>
      <c r="AH382" t="s">
        <v>996</v>
      </c>
      <c r="AI382" t="s">
        <v>997</v>
      </c>
      <c r="AL382">
        <v>2</v>
      </c>
      <c r="AM382" t="s">
        <v>994</v>
      </c>
      <c r="AN382" t="s">
        <v>743</v>
      </c>
      <c r="AO382" t="s">
        <v>998</v>
      </c>
      <c r="AP382" t="s">
        <v>160</v>
      </c>
      <c r="AQ382" t="s">
        <v>288</v>
      </c>
    </row>
    <row r="383" spans="1:43" hidden="1" x14ac:dyDescent="0.3">
      <c r="A383">
        <v>379</v>
      </c>
      <c r="B383" t="s">
        <v>991</v>
      </c>
      <c r="C383" t="s">
        <v>6</v>
      </c>
      <c r="L383">
        <v>10</v>
      </c>
      <c r="X383">
        <v>9</v>
      </c>
      <c r="AB383">
        <v>0.2</v>
      </c>
      <c r="AE383">
        <v>20</v>
      </c>
      <c r="AH383" t="s">
        <v>996</v>
      </c>
      <c r="AI383" t="s">
        <v>997</v>
      </c>
      <c r="AL383">
        <v>3</v>
      </c>
      <c r="AM383" t="s">
        <v>994</v>
      </c>
      <c r="AN383" t="s">
        <v>743</v>
      </c>
      <c r="AO383" t="s">
        <v>998</v>
      </c>
      <c r="AP383" t="s">
        <v>160</v>
      </c>
      <c r="AQ383" t="s">
        <v>288</v>
      </c>
    </row>
    <row r="384" spans="1:43" hidden="1" x14ac:dyDescent="0.3">
      <c r="A384">
        <v>380</v>
      </c>
      <c r="B384" t="s">
        <v>991</v>
      </c>
      <c r="C384" t="s">
        <v>6</v>
      </c>
      <c r="L384">
        <v>12</v>
      </c>
      <c r="X384">
        <v>9</v>
      </c>
      <c r="AB384">
        <v>0.2</v>
      </c>
      <c r="AE384">
        <v>20</v>
      </c>
      <c r="AH384" t="s">
        <v>996</v>
      </c>
      <c r="AI384" t="s">
        <v>997</v>
      </c>
      <c r="AL384">
        <v>4</v>
      </c>
      <c r="AM384" t="s">
        <v>994</v>
      </c>
      <c r="AN384" t="s">
        <v>743</v>
      </c>
      <c r="AO384" t="s">
        <v>998</v>
      </c>
      <c r="AP384" t="s">
        <v>160</v>
      </c>
      <c r="AQ384" t="s">
        <v>288</v>
      </c>
    </row>
    <row r="385" spans="1:43" hidden="1" x14ac:dyDescent="0.3">
      <c r="A385">
        <v>381</v>
      </c>
      <c r="B385" t="s">
        <v>991</v>
      </c>
      <c r="C385" t="s">
        <v>6</v>
      </c>
      <c r="L385">
        <v>1</v>
      </c>
      <c r="X385">
        <v>7</v>
      </c>
      <c r="AB385">
        <v>0.2</v>
      </c>
      <c r="AE385">
        <v>25</v>
      </c>
      <c r="AH385" t="s">
        <v>996</v>
      </c>
      <c r="AI385" t="s">
        <v>997</v>
      </c>
      <c r="AL385">
        <v>1</v>
      </c>
      <c r="AM385" t="s">
        <v>994</v>
      </c>
      <c r="AN385" t="s">
        <v>743</v>
      </c>
      <c r="AO385" t="s">
        <v>998</v>
      </c>
      <c r="AP385" t="s">
        <v>160</v>
      </c>
      <c r="AQ385" t="s">
        <v>288</v>
      </c>
    </row>
    <row r="386" spans="1:43" hidden="1" x14ac:dyDescent="0.3">
      <c r="A386">
        <v>382</v>
      </c>
      <c r="B386" t="s">
        <v>991</v>
      </c>
      <c r="C386" t="s">
        <v>6</v>
      </c>
      <c r="L386">
        <v>2</v>
      </c>
      <c r="X386">
        <v>7</v>
      </c>
      <c r="AB386">
        <v>0.2</v>
      </c>
      <c r="AE386">
        <v>25</v>
      </c>
      <c r="AH386" t="s">
        <v>996</v>
      </c>
      <c r="AI386" t="s">
        <v>997</v>
      </c>
      <c r="AL386">
        <v>2</v>
      </c>
      <c r="AM386" t="s">
        <v>994</v>
      </c>
      <c r="AN386" t="s">
        <v>743</v>
      </c>
      <c r="AO386" t="s">
        <v>998</v>
      </c>
      <c r="AP386" t="s">
        <v>160</v>
      </c>
      <c r="AQ386" t="s">
        <v>288</v>
      </c>
    </row>
    <row r="387" spans="1:43" hidden="1" x14ac:dyDescent="0.3">
      <c r="A387">
        <v>383</v>
      </c>
      <c r="B387" t="s">
        <v>991</v>
      </c>
      <c r="C387" t="s">
        <v>6</v>
      </c>
      <c r="L387">
        <v>2</v>
      </c>
      <c r="X387">
        <v>7</v>
      </c>
      <c r="AB387">
        <v>0.2</v>
      </c>
      <c r="AE387">
        <v>25</v>
      </c>
      <c r="AH387" t="s">
        <v>996</v>
      </c>
      <c r="AI387" t="s">
        <v>997</v>
      </c>
      <c r="AL387">
        <v>3</v>
      </c>
      <c r="AM387" t="s">
        <v>994</v>
      </c>
      <c r="AN387" t="s">
        <v>743</v>
      </c>
      <c r="AO387" t="s">
        <v>998</v>
      </c>
      <c r="AP387" t="s">
        <v>160</v>
      </c>
      <c r="AQ387" t="s">
        <v>288</v>
      </c>
    </row>
    <row r="388" spans="1:43" hidden="1" x14ac:dyDescent="0.3">
      <c r="A388">
        <v>384</v>
      </c>
      <c r="B388" t="s">
        <v>991</v>
      </c>
      <c r="C388" t="s">
        <v>6</v>
      </c>
      <c r="L388">
        <v>2</v>
      </c>
      <c r="X388">
        <v>7</v>
      </c>
      <c r="AB388">
        <v>0.2</v>
      </c>
      <c r="AE388">
        <v>25</v>
      </c>
      <c r="AH388" t="s">
        <v>996</v>
      </c>
      <c r="AI388" t="s">
        <v>997</v>
      </c>
      <c r="AL388">
        <v>4</v>
      </c>
      <c r="AM388" t="s">
        <v>994</v>
      </c>
      <c r="AN388" t="s">
        <v>743</v>
      </c>
      <c r="AO388" t="s">
        <v>998</v>
      </c>
      <c r="AP388" t="s">
        <v>160</v>
      </c>
      <c r="AQ388" t="s">
        <v>288</v>
      </c>
    </row>
    <row r="389" spans="1:43" hidden="1" x14ac:dyDescent="0.3">
      <c r="A389">
        <v>385</v>
      </c>
      <c r="B389" t="s">
        <v>991</v>
      </c>
      <c r="C389" t="s">
        <v>6</v>
      </c>
      <c r="L389">
        <v>2</v>
      </c>
      <c r="X389">
        <v>7.5</v>
      </c>
      <c r="AB389">
        <v>0.2</v>
      </c>
      <c r="AE389">
        <v>25</v>
      </c>
      <c r="AH389" t="s">
        <v>996</v>
      </c>
      <c r="AI389" t="s">
        <v>997</v>
      </c>
      <c r="AL389">
        <v>1</v>
      </c>
      <c r="AM389" t="s">
        <v>994</v>
      </c>
      <c r="AN389" t="s">
        <v>743</v>
      </c>
      <c r="AO389" t="s">
        <v>998</v>
      </c>
      <c r="AP389" t="s">
        <v>160</v>
      </c>
      <c r="AQ389" t="s">
        <v>288</v>
      </c>
    </row>
    <row r="390" spans="1:43" hidden="1" x14ac:dyDescent="0.3">
      <c r="A390">
        <v>386</v>
      </c>
      <c r="B390" t="s">
        <v>991</v>
      </c>
      <c r="C390" t="s">
        <v>6</v>
      </c>
      <c r="L390">
        <v>3</v>
      </c>
      <c r="X390">
        <v>7.5</v>
      </c>
      <c r="AB390">
        <v>0.2</v>
      </c>
      <c r="AE390">
        <v>25</v>
      </c>
      <c r="AH390" t="s">
        <v>996</v>
      </c>
      <c r="AI390" t="s">
        <v>997</v>
      </c>
      <c r="AL390">
        <v>2</v>
      </c>
      <c r="AM390" t="s">
        <v>994</v>
      </c>
      <c r="AN390" t="s">
        <v>743</v>
      </c>
      <c r="AO390" t="s">
        <v>998</v>
      </c>
      <c r="AP390" t="s">
        <v>160</v>
      </c>
      <c r="AQ390" t="s">
        <v>288</v>
      </c>
    </row>
    <row r="391" spans="1:43" hidden="1" x14ac:dyDescent="0.3">
      <c r="A391">
        <v>387</v>
      </c>
      <c r="B391" t="s">
        <v>991</v>
      </c>
      <c r="C391" t="s">
        <v>6</v>
      </c>
      <c r="L391">
        <v>4</v>
      </c>
      <c r="X391">
        <v>7.5</v>
      </c>
      <c r="AB391">
        <v>0.2</v>
      </c>
      <c r="AE391">
        <v>25</v>
      </c>
      <c r="AH391" t="s">
        <v>996</v>
      </c>
      <c r="AI391" t="s">
        <v>997</v>
      </c>
      <c r="AL391">
        <v>3</v>
      </c>
      <c r="AM391" t="s">
        <v>994</v>
      </c>
      <c r="AN391" t="s">
        <v>743</v>
      </c>
      <c r="AO391" t="s">
        <v>998</v>
      </c>
      <c r="AP391" t="s">
        <v>160</v>
      </c>
      <c r="AQ391" t="s">
        <v>288</v>
      </c>
    </row>
    <row r="392" spans="1:43" hidden="1" x14ac:dyDescent="0.3">
      <c r="A392">
        <v>388</v>
      </c>
      <c r="B392" t="s">
        <v>991</v>
      </c>
      <c r="C392" t="s">
        <v>6</v>
      </c>
      <c r="L392">
        <v>4</v>
      </c>
      <c r="X392">
        <v>7.5</v>
      </c>
      <c r="AB392">
        <v>0.2</v>
      </c>
      <c r="AE392">
        <v>25</v>
      </c>
      <c r="AH392" t="s">
        <v>996</v>
      </c>
      <c r="AI392" t="s">
        <v>997</v>
      </c>
      <c r="AL392">
        <v>4</v>
      </c>
      <c r="AM392" t="s">
        <v>994</v>
      </c>
      <c r="AN392" t="s">
        <v>743</v>
      </c>
      <c r="AO392" t="s">
        <v>998</v>
      </c>
      <c r="AP392" t="s">
        <v>160</v>
      </c>
      <c r="AQ392" t="s">
        <v>288</v>
      </c>
    </row>
    <row r="393" spans="1:43" hidden="1" x14ac:dyDescent="0.3">
      <c r="A393">
        <v>389</v>
      </c>
      <c r="B393" t="s">
        <v>991</v>
      </c>
      <c r="C393" t="s">
        <v>6</v>
      </c>
      <c r="L393">
        <v>3</v>
      </c>
      <c r="X393">
        <v>8</v>
      </c>
      <c r="AB393">
        <v>0.2</v>
      </c>
      <c r="AE393">
        <v>25</v>
      </c>
      <c r="AH393" t="s">
        <v>996</v>
      </c>
      <c r="AI393" t="s">
        <v>997</v>
      </c>
      <c r="AL393">
        <v>1</v>
      </c>
      <c r="AM393" t="s">
        <v>994</v>
      </c>
      <c r="AN393" t="s">
        <v>743</v>
      </c>
      <c r="AO393" t="s">
        <v>998</v>
      </c>
      <c r="AP393" t="s">
        <v>160</v>
      </c>
      <c r="AQ393" t="s">
        <v>288</v>
      </c>
    </row>
    <row r="394" spans="1:43" hidden="1" x14ac:dyDescent="0.3">
      <c r="A394">
        <v>390</v>
      </c>
      <c r="B394" t="s">
        <v>991</v>
      </c>
      <c r="C394" t="s">
        <v>6</v>
      </c>
      <c r="L394">
        <v>4</v>
      </c>
      <c r="X394">
        <v>8</v>
      </c>
      <c r="AB394">
        <v>0.2</v>
      </c>
      <c r="AE394">
        <v>25</v>
      </c>
      <c r="AH394" t="s">
        <v>996</v>
      </c>
      <c r="AI394" t="s">
        <v>997</v>
      </c>
      <c r="AL394">
        <v>2</v>
      </c>
      <c r="AM394" t="s">
        <v>994</v>
      </c>
      <c r="AN394" t="s">
        <v>743</v>
      </c>
      <c r="AO394" t="s">
        <v>998</v>
      </c>
      <c r="AP394" t="s">
        <v>160</v>
      </c>
      <c r="AQ394" t="s">
        <v>288</v>
      </c>
    </row>
    <row r="395" spans="1:43" hidden="1" x14ac:dyDescent="0.3">
      <c r="A395">
        <v>391</v>
      </c>
      <c r="B395" t="s">
        <v>991</v>
      </c>
      <c r="C395" t="s">
        <v>6</v>
      </c>
      <c r="L395">
        <v>5</v>
      </c>
      <c r="X395">
        <v>8</v>
      </c>
      <c r="AB395">
        <v>0.2</v>
      </c>
      <c r="AE395">
        <v>25</v>
      </c>
      <c r="AH395" t="s">
        <v>996</v>
      </c>
      <c r="AI395" t="s">
        <v>997</v>
      </c>
      <c r="AL395">
        <v>3</v>
      </c>
      <c r="AM395" t="s">
        <v>994</v>
      </c>
      <c r="AN395" t="s">
        <v>743</v>
      </c>
      <c r="AO395" t="s">
        <v>998</v>
      </c>
      <c r="AP395" t="s">
        <v>160</v>
      </c>
      <c r="AQ395" t="s">
        <v>288</v>
      </c>
    </row>
    <row r="396" spans="1:43" hidden="1" x14ac:dyDescent="0.3">
      <c r="A396">
        <v>392</v>
      </c>
      <c r="B396" t="s">
        <v>991</v>
      </c>
      <c r="C396" t="s">
        <v>6</v>
      </c>
      <c r="L396">
        <v>6</v>
      </c>
      <c r="X396">
        <v>8</v>
      </c>
      <c r="AB396">
        <v>0.2</v>
      </c>
      <c r="AE396">
        <v>25</v>
      </c>
      <c r="AH396" t="s">
        <v>996</v>
      </c>
      <c r="AI396" t="s">
        <v>997</v>
      </c>
      <c r="AL396">
        <v>4</v>
      </c>
      <c r="AM396" t="s">
        <v>994</v>
      </c>
      <c r="AN396" t="s">
        <v>743</v>
      </c>
      <c r="AO396" t="s">
        <v>998</v>
      </c>
      <c r="AP396" t="s">
        <v>160</v>
      </c>
      <c r="AQ396" t="s">
        <v>288</v>
      </c>
    </row>
    <row r="397" spans="1:43" hidden="1" x14ac:dyDescent="0.3">
      <c r="A397">
        <v>393</v>
      </c>
      <c r="B397" t="s">
        <v>991</v>
      </c>
      <c r="C397" t="s">
        <v>6</v>
      </c>
      <c r="L397">
        <v>3</v>
      </c>
      <c r="X397">
        <v>8.5</v>
      </c>
      <c r="AB397">
        <v>0.2</v>
      </c>
      <c r="AE397">
        <v>25</v>
      </c>
      <c r="AH397" t="s">
        <v>996</v>
      </c>
      <c r="AI397" t="s">
        <v>997</v>
      </c>
      <c r="AL397">
        <v>1</v>
      </c>
      <c r="AM397" t="s">
        <v>994</v>
      </c>
      <c r="AN397" t="s">
        <v>743</v>
      </c>
      <c r="AO397" t="s">
        <v>998</v>
      </c>
      <c r="AP397" t="s">
        <v>160</v>
      </c>
      <c r="AQ397" t="s">
        <v>288</v>
      </c>
    </row>
    <row r="398" spans="1:43" hidden="1" x14ac:dyDescent="0.3">
      <c r="A398">
        <v>394</v>
      </c>
      <c r="B398" t="s">
        <v>991</v>
      </c>
      <c r="C398" t="s">
        <v>6</v>
      </c>
      <c r="L398">
        <v>5</v>
      </c>
      <c r="X398">
        <v>8.5</v>
      </c>
      <c r="AB398">
        <v>0.2</v>
      </c>
      <c r="AE398">
        <v>25</v>
      </c>
      <c r="AH398" t="s">
        <v>996</v>
      </c>
      <c r="AI398" t="s">
        <v>997</v>
      </c>
      <c r="AL398">
        <v>2</v>
      </c>
      <c r="AM398" t="s">
        <v>994</v>
      </c>
      <c r="AN398" t="s">
        <v>743</v>
      </c>
      <c r="AO398" t="s">
        <v>998</v>
      </c>
      <c r="AP398" t="s">
        <v>160</v>
      </c>
      <c r="AQ398" t="s">
        <v>288</v>
      </c>
    </row>
    <row r="399" spans="1:43" hidden="1" x14ac:dyDescent="0.3">
      <c r="A399">
        <v>395</v>
      </c>
      <c r="B399" t="s">
        <v>991</v>
      </c>
      <c r="C399" t="s">
        <v>6</v>
      </c>
      <c r="L399">
        <v>6</v>
      </c>
      <c r="X399">
        <v>8.5</v>
      </c>
      <c r="AB399">
        <v>0.2</v>
      </c>
      <c r="AE399">
        <v>25</v>
      </c>
      <c r="AH399" t="s">
        <v>996</v>
      </c>
      <c r="AI399" t="s">
        <v>997</v>
      </c>
      <c r="AL399">
        <v>3</v>
      </c>
      <c r="AM399" t="s">
        <v>994</v>
      </c>
      <c r="AN399" t="s">
        <v>743</v>
      </c>
      <c r="AO399" t="s">
        <v>998</v>
      </c>
      <c r="AP399" t="s">
        <v>160</v>
      </c>
      <c r="AQ399" t="s">
        <v>288</v>
      </c>
    </row>
    <row r="400" spans="1:43" hidden="1" x14ac:dyDescent="0.3">
      <c r="A400">
        <v>396</v>
      </c>
      <c r="B400" t="s">
        <v>991</v>
      </c>
      <c r="C400" t="s">
        <v>6</v>
      </c>
      <c r="L400">
        <v>8</v>
      </c>
      <c r="X400">
        <v>8.5</v>
      </c>
      <c r="AB400">
        <v>0.2</v>
      </c>
      <c r="AE400">
        <v>25</v>
      </c>
      <c r="AH400" t="s">
        <v>996</v>
      </c>
      <c r="AI400" t="s">
        <v>997</v>
      </c>
      <c r="AL400">
        <v>4</v>
      </c>
      <c r="AM400" t="s">
        <v>994</v>
      </c>
      <c r="AN400" t="s">
        <v>743</v>
      </c>
      <c r="AO400" t="s">
        <v>998</v>
      </c>
      <c r="AP400" t="s">
        <v>160</v>
      </c>
      <c r="AQ400" t="s">
        <v>288</v>
      </c>
    </row>
    <row r="401" spans="1:43" hidden="1" x14ac:dyDescent="0.3">
      <c r="A401">
        <v>397</v>
      </c>
      <c r="B401" t="s">
        <v>991</v>
      </c>
      <c r="C401" t="s">
        <v>6</v>
      </c>
      <c r="L401">
        <v>3</v>
      </c>
      <c r="X401">
        <v>9</v>
      </c>
      <c r="AB401">
        <v>0.2</v>
      </c>
      <c r="AE401">
        <v>25</v>
      </c>
      <c r="AH401" t="s">
        <v>996</v>
      </c>
      <c r="AI401" t="s">
        <v>997</v>
      </c>
      <c r="AL401">
        <v>1</v>
      </c>
      <c r="AM401" t="s">
        <v>994</v>
      </c>
      <c r="AN401" t="s">
        <v>743</v>
      </c>
      <c r="AO401" t="s">
        <v>998</v>
      </c>
      <c r="AP401" t="s">
        <v>160</v>
      </c>
      <c r="AQ401" t="s">
        <v>288</v>
      </c>
    </row>
    <row r="402" spans="1:43" hidden="1" x14ac:dyDescent="0.3">
      <c r="A402">
        <v>398</v>
      </c>
      <c r="B402" t="s">
        <v>991</v>
      </c>
      <c r="C402" t="s">
        <v>6</v>
      </c>
      <c r="L402">
        <v>5</v>
      </c>
      <c r="X402">
        <v>9</v>
      </c>
      <c r="AB402">
        <v>0.2</v>
      </c>
      <c r="AE402">
        <v>25</v>
      </c>
      <c r="AH402" t="s">
        <v>996</v>
      </c>
      <c r="AI402" t="s">
        <v>997</v>
      </c>
      <c r="AL402">
        <v>2</v>
      </c>
      <c r="AM402" t="s">
        <v>994</v>
      </c>
      <c r="AN402" t="s">
        <v>743</v>
      </c>
      <c r="AO402" t="s">
        <v>998</v>
      </c>
      <c r="AP402" t="s">
        <v>160</v>
      </c>
      <c r="AQ402" t="s">
        <v>288</v>
      </c>
    </row>
    <row r="403" spans="1:43" hidden="1" x14ac:dyDescent="0.3">
      <c r="A403">
        <v>399</v>
      </c>
      <c r="B403" t="s">
        <v>991</v>
      </c>
      <c r="C403" t="s">
        <v>6</v>
      </c>
      <c r="L403">
        <v>7</v>
      </c>
      <c r="X403">
        <v>9</v>
      </c>
      <c r="AB403">
        <v>0.2</v>
      </c>
      <c r="AE403">
        <v>25</v>
      </c>
      <c r="AH403" t="s">
        <v>996</v>
      </c>
      <c r="AI403" t="s">
        <v>997</v>
      </c>
      <c r="AL403">
        <v>3</v>
      </c>
      <c r="AM403" t="s">
        <v>994</v>
      </c>
      <c r="AN403" t="s">
        <v>743</v>
      </c>
      <c r="AO403" t="s">
        <v>998</v>
      </c>
      <c r="AP403" t="s">
        <v>160</v>
      </c>
      <c r="AQ403" t="s">
        <v>288</v>
      </c>
    </row>
    <row r="404" spans="1:43" hidden="1" x14ac:dyDescent="0.3">
      <c r="A404">
        <v>400</v>
      </c>
      <c r="B404" t="s">
        <v>991</v>
      </c>
      <c r="C404" t="s">
        <v>6</v>
      </c>
      <c r="L404">
        <v>9</v>
      </c>
      <c r="X404">
        <v>9</v>
      </c>
      <c r="AB404">
        <v>0.2</v>
      </c>
      <c r="AE404">
        <v>25</v>
      </c>
      <c r="AH404" t="s">
        <v>996</v>
      </c>
      <c r="AI404" t="s">
        <v>997</v>
      </c>
      <c r="AL404">
        <v>4</v>
      </c>
      <c r="AM404" t="s">
        <v>994</v>
      </c>
      <c r="AN404" t="s">
        <v>743</v>
      </c>
      <c r="AO404" t="s">
        <v>998</v>
      </c>
      <c r="AP404" t="s">
        <v>160</v>
      </c>
      <c r="AQ404" t="s">
        <v>288</v>
      </c>
    </row>
    <row r="405" spans="1:43" hidden="1" x14ac:dyDescent="0.3">
      <c r="A405">
        <v>401</v>
      </c>
      <c r="B405" t="s">
        <v>991</v>
      </c>
      <c r="C405" t="s">
        <v>6</v>
      </c>
      <c r="L405">
        <v>4</v>
      </c>
      <c r="X405">
        <v>7</v>
      </c>
      <c r="AB405">
        <v>2</v>
      </c>
      <c r="AE405">
        <v>5</v>
      </c>
      <c r="AH405" t="s">
        <v>996</v>
      </c>
      <c r="AI405" t="s">
        <v>997</v>
      </c>
      <c r="AL405">
        <v>1</v>
      </c>
      <c r="AM405" t="s">
        <v>994</v>
      </c>
      <c r="AN405" t="s">
        <v>743</v>
      </c>
      <c r="AO405" t="s">
        <v>998</v>
      </c>
      <c r="AP405" t="s">
        <v>160</v>
      </c>
      <c r="AQ405" t="s">
        <v>288</v>
      </c>
    </row>
    <row r="406" spans="1:43" hidden="1" x14ac:dyDescent="0.3">
      <c r="A406">
        <v>402</v>
      </c>
      <c r="B406" t="s">
        <v>991</v>
      </c>
      <c r="C406" t="s">
        <v>6</v>
      </c>
      <c r="L406">
        <v>5</v>
      </c>
      <c r="X406">
        <v>7</v>
      </c>
      <c r="AB406">
        <v>2</v>
      </c>
      <c r="AE406">
        <v>5</v>
      </c>
      <c r="AH406" t="s">
        <v>996</v>
      </c>
      <c r="AI406" t="s">
        <v>997</v>
      </c>
      <c r="AL406">
        <v>2</v>
      </c>
      <c r="AM406" t="s">
        <v>994</v>
      </c>
      <c r="AN406" t="s">
        <v>743</v>
      </c>
      <c r="AO406" t="s">
        <v>998</v>
      </c>
      <c r="AP406" t="s">
        <v>160</v>
      </c>
      <c r="AQ406" t="s">
        <v>288</v>
      </c>
    </row>
    <row r="407" spans="1:43" hidden="1" x14ac:dyDescent="0.3">
      <c r="A407">
        <v>403</v>
      </c>
      <c r="B407" t="s">
        <v>991</v>
      </c>
      <c r="C407" t="s">
        <v>6</v>
      </c>
      <c r="L407">
        <v>7</v>
      </c>
      <c r="X407">
        <v>7</v>
      </c>
      <c r="AB407">
        <v>2</v>
      </c>
      <c r="AE407">
        <v>5</v>
      </c>
      <c r="AH407" t="s">
        <v>996</v>
      </c>
      <c r="AI407" t="s">
        <v>997</v>
      </c>
      <c r="AL407">
        <v>3</v>
      </c>
      <c r="AM407" t="s">
        <v>994</v>
      </c>
      <c r="AN407" t="s">
        <v>743</v>
      </c>
      <c r="AO407" t="s">
        <v>998</v>
      </c>
      <c r="AP407" t="s">
        <v>160</v>
      </c>
      <c r="AQ407" t="s">
        <v>288</v>
      </c>
    </row>
    <row r="408" spans="1:43" hidden="1" x14ac:dyDescent="0.3">
      <c r="A408">
        <v>404</v>
      </c>
      <c r="B408" t="s">
        <v>991</v>
      </c>
      <c r="C408" t="s">
        <v>6</v>
      </c>
      <c r="L408">
        <v>9</v>
      </c>
      <c r="X408">
        <v>7</v>
      </c>
      <c r="AB408">
        <v>2</v>
      </c>
      <c r="AE408">
        <v>5</v>
      </c>
      <c r="AH408" t="s">
        <v>996</v>
      </c>
      <c r="AI408" t="s">
        <v>997</v>
      </c>
      <c r="AL408">
        <v>4</v>
      </c>
      <c r="AM408" t="s">
        <v>994</v>
      </c>
      <c r="AN408" t="s">
        <v>743</v>
      </c>
      <c r="AO408" t="s">
        <v>998</v>
      </c>
      <c r="AP408" t="s">
        <v>160</v>
      </c>
      <c r="AQ408" t="s">
        <v>288</v>
      </c>
    </row>
    <row r="409" spans="1:43" hidden="1" x14ac:dyDescent="0.3">
      <c r="A409">
        <v>405</v>
      </c>
      <c r="B409" t="s">
        <v>991</v>
      </c>
      <c r="C409" t="s">
        <v>6</v>
      </c>
      <c r="L409">
        <v>7</v>
      </c>
      <c r="X409">
        <v>7.5</v>
      </c>
      <c r="AB409">
        <v>2</v>
      </c>
      <c r="AE409">
        <v>5</v>
      </c>
      <c r="AH409" t="s">
        <v>996</v>
      </c>
      <c r="AI409" t="s">
        <v>997</v>
      </c>
      <c r="AL409">
        <v>1</v>
      </c>
      <c r="AM409" t="s">
        <v>994</v>
      </c>
      <c r="AN409" t="s">
        <v>743</v>
      </c>
      <c r="AO409" t="s">
        <v>998</v>
      </c>
      <c r="AP409" t="s">
        <v>160</v>
      </c>
      <c r="AQ409" t="s">
        <v>288</v>
      </c>
    </row>
    <row r="410" spans="1:43" hidden="1" x14ac:dyDescent="0.3">
      <c r="A410">
        <v>406</v>
      </c>
      <c r="B410" t="s">
        <v>991</v>
      </c>
      <c r="C410" t="s">
        <v>6</v>
      </c>
      <c r="L410">
        <v>10</v>
      </c>
      <c r="X410">
        <v>7.5</v>
      </c>
      <c r="AB410">
        <v>2</v>
      </c>
      <c r="AE410">
        <v>5</v>
      </c>
      <c r="AH410" t="s">
        <v>996</v>
      </c>
      <c r="AI410" t="s">
        <v>997</v>
      </c>
      <c r="AL410">
        <v>2</v>
      </c>
      <c r="AM410" t="s">
        <v>994</v>
      </c>
      <c r="AN410" t="s">
        <v>743</v>
      </c>
      <c r="AO410" t="s">
        <v>998</v>
      </c>
      <c r="AP410" t="s">
        <v>160</v>
      </c>
      <c r="AQ410" t="s">
        <v>288</v>
      </c>
    </row>
    <row r="411" spans="1:43" hidden="1" x14ac:dyDescent="0.3">
      <c r="A411">
        <v>407</v>
      </c>
      <c r="B411" t="s">
        <v>991</v>
      </c>
      <c r="C411" t="s">
        <v>6</v>
      </c>
      <c r="L411">
        <v>13</v>
      </c>
      <c r="X411">
        <v>7.5</v>
      </c>
      <c r="AB411">
        <v>2</v>
      </c>
      <c r="AE411">
        <v>5</v>
      </c>
      <c r="AH411" t="s">
        <v>996</v>
      </c>
      <c r="AI411" t="s">
        <v>997</v>
      </c>
      <c r="AL411">
        <v>3</v>
      </c>
      <c r="AM411" t="s">
        <v>994</v>
      </c>
      <c r="AN411" t="s">
        <v>743</v>
      </c>
      <c r="AO411" t="s">
        <v>998</v>
      </c>
      <c r="AP411" t="s">
        <v>160</v>
      </c>
      <c r="AQ411" t="s">
        <v>288</v>
      </c>
    </row>
    <row r="412" spans="1:43" hidden="1" x14ac:dyDescent="0.3">
      <c r="A412">
        <v>408</v>
      </c>
      <c r="B412" t="s">
        <v>991</v>
      </c>
      <c r="C412" t="s">
        <v>6</v>
      </c>
      <c r="L412">
        <v>16</v>
      </c>
      <c r="X412">
        <v>7.5</v>
      </c>
      <c r="AB412">
        <v>2</v>
      </c>
      <c r="AE412">
        <v>5</v>
      </c>
      <c r="AH412" t="s">
        <v>996</v>
      </c>
      <c r="AI412" t="s">
        <v>997</v>
      </c>
      <c r="AL412">
        <v>4</v>
      </c>
      <c r="AM412" t="s">
        <v>994</v>
      </c>
      <c r="AN412" t="s">
        <v>743</v>
      </c>
      <c r="AO412" t="s">
        <v>998</v>
      </c>
      <c r="AP412" t="s">
        <v>160</v>
      </c>
      <c r="AQ412" t="s">
        <v>288</v>
      </c>
    </row>
    <row r="413" spans="1:43" hidden="1" x14ac:dyDescent="0.3">
      <c r="A413">
        <v>409</v>
      </c>
      <c r="B413" t="s">
        <v>991</v>
      </c>
      <c r="C413" t="s">
        <v>6</v>
      </c>
      <c r="L413">
        <v>10</v>
      </c>
      <c r="X413">
        <v>8</v>
      </c>
      <c r="AB413">
        <v>2</v>
      </c>
      <c r="AE413">
        <v>5</v>
      </c>
      <c r="AH413" t="s">
        <v>996</v>
      </c>
      <c r="AI413" t="s">
        <v>997</v>
      </c>
      <c r="AL413">
        <v>1</v>
      </c>
      <c r="AM413" t="s">
        <v>994</v>
      </c>
      <c r="AN413" t="s">
        <v>743</v>
      </c>
      <c r="AO413" t="s">
        <v>998</v>
      </c>
      <c r="AP413" t="s">
        <v>160</v>
      </c>
      <c r="AQ413" t="s">
        <v>288</v>
      </c>
    </row>
    <row r="414" spans="1:43" hidden="1" x14ac:dyDescent="0.3">
      <c r="A414">
        <v>410</v>
      </c>
      <c r="B414" t="s">
        <v>991</v>
      </c>
      <c r="C414" t="s">
        <v>6</v>
      </c>
      <c r="L414">
        <v>15</v>
      </c>
      <c r="X414">
        <v>8</v>
      </c>
      <c r="AB414">
        <v>2</v>
      </c>
      <c r="AE414">
        <v>5</v>
      </c>
      <c r="AH414" t="s">
        <v>996</v>
      </c>
      <c r="AI414" t="s">
        <v>997</v>
      </c>
      <c r="AL414">
        <v>2</v>
      </c>
      <c r="AM414" t="s">
        <v>994</v>
      </c>
      <c r="AN414" t="s">
        <v>743</v>
      </c>
      <c r="AO414" t="s">
        <v>998</v>
      </c>
      <c r="AP414" t="s">
        <v>160</v>
      </c>
      <c r="AQ414" t="s">
        <v>288</v>
      </c>
    </row>
    <row r="415" spans="1:43" hidden="1" x14ac:dyDescent="0.3">
      <c r="A415">
        <v>411</v>
      </c>
      <c r="B415" t="s">
        <v>991</v>
      </c>
      <c r="C415" t="s">
        <v>6</v>
      </c>
      <c r="L415">
        <v>19</v>
      </c>
      <c r="X415">
        <v>8</v>
      </c>
      <c r="AB415">
        <v>2</v>
      </c>
      <c r="AE415">
        <v>5</v>
      </c>
      <c r="AH415" t="s">
        <v>996</v>
      </c>
      <c r="AI415" t="s">
        <v>997</v>
      </c>
      <c r="AL415">
        <v>3</v>
      </c>
      <c r="AM415" t="s">
        <v>994</v>
      </c>
      <c r="AN415" t="s">
        <v>743</v>
      </c>
      <c r="AO415" t="s">
        <v>998</v>
      </c>
      <c r="AP415" t="s">
        <v>160</v>
      </c>
      <c r="AQ415" t="s">
        <v>288</v>
      </c>
    </row>
    <row r="416" spans="1:43" hidden="1" x14ac:dyDescent="0.3">
      <c r="A416">
        <v>412</v>
      </c>
      <c r="B416" t="s">
        <v>991</v>
      </c>
      <c r="C416" t="s">
        <v>6</v>
      </c>
      <c r="L416">
        <v>23</v>
      </c>
      <c r="X416">
        <v>8</v>
      </c>
      <c r="AB416">
        <v>2</v>
      </c>
      <c r="AE416">
        <v>5</v>
      </c>
      <c r="AH416" t="s">
        <v>996</v>
      </c>
      <c r="AI416" t="s">
        <v>997</v>
      </c>
      <c r="AL416">
        <v>4</v>
      </c>
      <c r="AM416" t="s">
        <v>994</v>
      </c>
      <c r="AN416" t="s">
        <v>743</v>
      </c>
      <c r="AO416" t="s">
        <v>998</v>
      </c>
      <c r="AP416" t="s">
        <v>160</v>
      </c>
      <c r="AQ416" t="s">
        <v>288</v>
      </c>
    </row>
    <row r="417" spans="1:43" hidden="1" x14ac:dyDescent="0.3">
      <c r="A417">
        <v>413</v>
      </c>
      <c r="B417" t="s">
        <v>991</v>
      </c>
      <c r="C417" t="s">
        <v>6</v>
      </c>
      <c r="L417">
        <v>12</v>
      </c>
      <c r="X417">
        <v>8.5</v>
      </c>
      <c r="AB417">
        <v>2</v>
      </c>
      <c r="AE417">
        <v>5</v>
      </c>
      <c r="AH417" t="s">
        <v>996</v>
      </c>
      <c r="AI417" t="s">
        <v>997</v>
      </c>
      <c r="AL417">
        <v>1</v>
      </c>
      <c r="AM417" t="s">
        <v>994</v>
      </c>
      <c r="AN417" t="s">
        <v>743</v>
      </c>
      <c r="AO417" t="s">
        <v>998</v>
      </c>
      <c r="AP417" t="s">
        <v>160</v>
      </c>
      <c r="AQ417" t="s">
        <v>288</v>
      </c>
    </row>
    <row r="418" spans="1:43" hidden="1" x14ac:dyDescent="0.3">
      <c r="A418">
        <v>414</v>
      </c>
      <c r="B418" t="s">
        <v>991</v>
      </c>
      <c r="C418" t="s">
        <v>6</v>
      </c>
      <c r="L418">
        <v>19</v>
      </c>
      <c r="X418">
        <v>8.5</v>
      </c>
      <c r="AB418">
        <v>2</v>
      </c>
      <c r="AE418">
        <v>5</v>
      </c>
      <c r="AH418" t="s">
        <v>996</v>
      </c>
      <c r="AI418" t="s">
        <v>997</v>
      </c>
      <c r="AL418">
        <v>2</v>
      </c>
      <c r="AM418" t="s">
        <v>994</v>
      </c>
      <c r="AN418" t="s">
        <v>743</v>
      </c>
      <c r="AO418" t="s">
        <v>998</v>
      </c>
      <c r="AP418" t="s">
        <v>160</v>
      </c>
      <c r="AQ418" t="s">
        <v>288</v>
      </c>
    </row>
    <row r="419" spans="1:43" hidden="1" x14ac:dyDescent="0.3">
      <c r="A419">
        <v>415</v>
      </c>
      <c r="B419" t="s">
        <v>991</v>
      </c>
      <c r="C419" t="s">
        <v>6</v>
      </c>
      <c r="L419">
        <v>25</v>
      </c>
      <c r="X419">
        <v>8.5</v>
      </c>
      <c r="AB419">
        <v>2</v>
      </c>
      <c r="AE419">
        <v>5</v>
      </c>
      <c r="AH419" t="s">
        <v>996</v>
      </c>
      <c r="AI419" t="s">
        <v>997</v>
      </c>
      <c r="AL419">
        <v>3</v>
      </c>
      <c r="AM419" t="s">
        <v>994</v>
      </c>
      <c r="AN419" t="s">
        <v>743</v>
      </c>
      <c r="AO419" t="s">
        <v>998</v>
      </c>
      <c r="AP419" t="s">
        <v>160</v>
      </c>
      <c r="AQ419" t="s">
        <v>288</v>
      </c>
    </row>
    <row r="420" spans="1:43" hidden="1" x14ac:dyDescent="0.3">
      <c r="A420">
        <v>416</v>
      </c>
      <c r="B420" t="s">
        <v>991</v>
      </c>
      <c r="C420" t="s">
        <v>6</v>
      </c>
      <c r="L420">
        <v>31</v>
      </c>
      <c r="X420">
        <v>8.5</v>
      </c>
      <c r="AB420">
        <v>2</v>
      </c>
      <c r="AE420">
        <v>5</v>
      </c>
      <c r="AH420" t="s">
        <v>996</v>
      </c>
      <c r="AI420" t="s">
        <v>997</v>
      </c>
      <c r="AL420">
        <v>4</v>
      </c>
      <c r="AM420" t="s">
        <v>994</v>
      </c>
      <c r="AN420" t="s">
        <v>743</v>
      </c>
      <c r="AO420" t="s">
        <v>998</v>
      </c>
      <c r="AP420" t="s">
        <v>160</v>
      </c>
      <c r="AQ420" t="s">
        <v>288</v>
      </c>
    </row>
    <row r="421" spans="1:43" hidden="1" x14ac:dyDescent="0.3">
      <c r="A421">
        <v>417</v>
      </c>
      <c r="B421" t="s">
        <v>991</v>
      </c>
      <c r="C421" t="s">
        <v>6</v>
      </c>
      <c r="L421">
        <v>14</v>
      </c>
      <c r="X421">
        <v>9</v>
      </c>
      <c r="AB421">
        <v>2</v>
      </c>
      <c r="AE421">
        <v>5</v>
      </c>
      <c r="AH421" t="s">
        <v>996</v>
      </c>
      <c r="AI421" t="s">
        <v>997</v>
      </c>
      <c r="AL421">
        <v>1</v>
      </c>
      <c r="AM421" t="s">
        <v>994</v>
      </c>
      <c r="AN421" t="s">
        <v>743</v>
      </c>
      <c r="AO421" t="s">
        <v>998</v>
      </c>
      <c r="AP421" t="s">
        <v>160</v>
      </c>
      <c r="AQ421" t="s">
        <v>288</v>
      </c>
    </row>
    <row r="422" spans="1:43" hidden="1" x14ac:dyDescent="0.3">
      <c r="A422">
        <v>418</v>
      </c>
      <c r="B422" t="s">
        <v>991</v>
      </c>
      <c r="C422" t="s">
        <v>6</v>
      </c>
      <c r="L422">
        <v>22</v>
      </c>
      <c r="X422">
        <v>9</v>
      </c>
      <c r="AB422">
        <v>2</v>
      </c>
      <c r="AE422">
        <v>5</v>
      </c>
      <c r="AH422" t="s">
        <v>996</v>
      </c>
      <c r="AI422" t="s">
        <v>997</v>
      </c>
      <c r="AL422">
        <v>2</v>
      </c>
      <c r="AM422" t="s">
        <v>994</v>
      </c>
      <c r="AN422" t="s">
        <v>743</v>
      </c>
      <c r="AO422" t="s">
        <v>998</v>
      </c>
      <c r="AP422" t="s">
        <v>160</v>
      </c>
      <c r="AQ422" t="s">
        <v>288</v>
      </c>
    </row>
    <row r="423" spans="1:43" hidden="1" x14ac:dyDescent="0.3">
      <c r="A423">
        <v>419</v>
      </c>
      <c r="B423" t="s">
        <v>991</v>
      </c>
      <c r="C423" t="s">
        <v>6</v>
      </c>
      <c r="L423">
        <v>30</v>
      </c>
      <c r="X423">
        <v>9</v>
      </c>
      <c r="AB423">
        <v>2</v>
      </c>
      <c r="AE423">
        <v>5</v>
      </c>
      <c r="AH423" t="s">
        <v>996</v>
      </c>
      <c r="AI423" t="s">
        <v>997</v>
      </c>
      <c r="AL423">
        <v>3</v>
      </c>
      <c r="AM423" t="s">
        <v>994</v>
      </c>
      <c r="AN423" t="s">
        <v>743</v>
      </c>
      <c r="AO423" t="s">
        <v>998</v>
      </c>
      <c r="AP423" t="s">
        <v>160</v>
      </c>
      <c r="AQ423" t="s">
        <v>288</v>
      </c>
    </row>
    <row r="424" spans="1:43" hidden="1" x14ac:dyDescent="0.3">
      <c r="A424">
        <v>420</v>
      </c>
      <c r="B424" t="s">
        <v>991</v>
      </c>
      <c r="C424" t="s">
        <v>6</v>
      </c>
      <c r="L424">
        <v>38</v>
      </c>
      <c r="X424">
        <v>9</v>
      </c>
      <c r="AB424">
        <v>2</v>
      </c>
      <c r="AE424">
        <v>5</v>
      </c>
      <c r="AH424" t="s">
        <v>996</v>
      </c>
      <c r="AI424" t="s">
        <v>997</v>
      </c>
      <c r="AL424">
        <v>4</v>
      </c>
      <c r="AM424" t="s">
        <v>994</v>
      </c>
      <c r="AN424" t="s">
        <v>743</v>
      </c>
      <c r="AO424" t="s">
        <v>998</v>
      </c>
      <c r="AP424" t="s">
        <v>160</v>
      </c>
      <c r="AQ424" t="s">
        <v>288</v>
      </c>
    </row>
    <row r="425" spans="1:43" hidden="1" x14ac:dyDescent="0.3">
      <c r="A425">
        <v>421</v>
      </c>
      <c r="B425" t="s">
        <v>991</v>
      </c>
      <c r="C425" t="s">
        <v>6</v>
      </c>
      <c r="L425">
        <v>3</v>
      </c>
      <c r="X425">
        <v>7</v>
      </c>
      <c r="AB425">
        <v>2</v>
      </c>
      <c r="AE425">
        <v>10</v>
      </c>
      <c r="AH425" t="s">
        <v>996</v>
      </c>
      <c r="AI425" t="s">
        <v>997</v>
      </c>
      <c r="AL425">
        <v>1</v>
      </c>
      <c r="AM425" t="s">
        <v>994</v>
      </c>
      <c r="AN425" t="s">
        <v>743</v>
      </c>
      <c r="AO425" t="s">
        <v>998</v>
      </c>
      <c r="AP425" t="s">
        <v>160</v>
      </c>
      <c r="AQ425" t="s">
        <v>288</v>
      </c>
    </row>
    <row r="426" spans="1:43" hidden="1" x14ac:dyDescent="0.3">
      <c r="A426">
        <v>422</v>
      </c>
      <c r="B426" t="s">
        <v>991</v>
      </c>
      <c r="C426" t="s">
        <v>6</v>
      </c>
      <c r="L426">
        <v>4</v>
      </c>
      <c r="X426">
        <v>7</v>
      </c>
      <c r="AB426">
        <v>2</v>
      </c>
      <c r="AE426">
        <v>10</v>
      </c>
      <c r="AH426" t="s">
        <v>996</v>
      </c>
      <c r="AI426" t="s">
        <v>997</v>
      </c>
      <c r="AL426">
        <v>2</v>
      </c>
      <c r="AM426" t="s">
        <v>994</v>
      </c>
      <c r="AN426" t="s">
        <v>743</v>
      </c>
      <c r="AO426" t="s">
        <v>998</v>
      </c>
      <c r="AP426" t="s">
        <v>160</v>
      </c>
      <c r="AQ426" t="s">
        <v>288</v>
      </c>
    </row>
    <row r="427" spans="1:43" hidden="1" x14ac:dyDescent="0.3">
      <c r="A427">
        <v>423</v>
      </c>
      <c r="B427" t="s">
        <v>991</v>
      </c>
      <c r="C427" t="s">
        <v>6</v>
      </c>
      <c r="L427">
        <v>5</v>
      </c>
      <c r="X427">
        <v>7</v>
      </c>
      <c r="AB427">
        <v>2</v>
      </c>
      <c r="AE427">
        <v>10</v>
      </c>
      <c r="AH427" t="s">
        <v>996</v>
      </c>
      <c r="AI427" t="s">
        <v>997</v>
      </c>
      <c r="AL427">
        <v>3</v>
      </c>
      <c r="AM427" t="s">
        <v>994</v>
      </c>
      <c r="AN427" t="s">
        <v>743</v>
      </c>
      <c r="AO427" t="s">
        <v>998</v>
      </c>
      <c r="AP427" t="s">
        <v>160</v>
      </c>
      <c r="AQ427" t="s">
        <v>288</v>
      </c>
    </row>
    <row r="428" spans="1:43" hidden="1" x14ac:dyDescent="0.3">
      <c r="A428">
        <v>424</v>
      </c>
      <c r="B428" t="s">
        <v>991</v>
      </c>
      <c r="C428" t="s">
        <v>6</v>
      </c>
      <c r="L428">
        <v>6</v>
      </c>
      <c r="X428">
        <v>7</v>
      </c>
      <c r="AB428">
        <v>2</v>
      </c>
      <c r="AE428">
        <v>10</v>
      </c>
      <c r="AH428" t="s">
        <v>996</v>
      </c>
      <c r="AI428" t="s">
        <v>997</v>
      </c>
      <c r="AL428">
        <v>4</v>
      </c>
      <c r="AM428" t="s">
        <v>994</v>
      </c>
      <c r="AN428" t="s">
        <v>743</v>
      </c>
      <c r="AO428" t="s">
        <v>998</v>
      </c>
      <c r="AP428" t="s">
        <v>160</v>
      </c>
      <c r="AQ428" t="s">
        <v>288</v>
      </c>
    </row>
    <row r="429" spans="1:43" hidden="1" x14ac:dyDescent="0.3">
      <c r="A429">
        <v>425</v>
      </c>
      <c r="B429" t="s">
        <v>991</v>
      </c>
      <c r="C429" t="s">
        <v>6</v>
      </c>
      <c r="L429">
        <v>5</v>
      </c>
      <c r="X429">
        <v>7.5</v>
      </c>
      <c r="AB429">
        <v>2</v>
      </c>
      <c r="AE429">
        <v>10</v>
      </c>
      <c r="AH429" t="s">
        <v>996</v>
      </c>
      <c r="AI429" t="s">
        <v>997</v>
      </c>
      <c r="AL429">
        <v>1</v>
      </c>
      <c r="AM429" t="s">
        <v>994</v>
      </c>
      <c r="AN429" t="s">
        <v>743</v>
      </c>
      <c r="AO429" t="s">
        <v>998</v>
      </c>
      <c r="AP429" t="s">
        <v>160</v>
      </c>
      <c r="AQ429" t="s">
        <v>288</v>
      </c>
    </row>
    <row r="430" spans="1:43" hidden="1" x14ac:dyDescent="0.3">
      <c r="A430">
        <v>426</v>
      </c>
      <c r="B430" t="s">
        <v>991</v>
      </c>
      <c r="C430" t="s">
        <v>6</v>
      </c>
      <c r="L430">
        <v>7</v>
      </c>
      <c r="X430">
        <v>7.5</v>
      </c>
      <c r="AB430">
        <v>2</v>
      </c>
      <c r="AE430">
        <v>10</v>
      </c>
      <c r="AH430" t="s">
        <v>996</v>
      </c>
      <c r="AI430" t="s">
        <v>997</v>
      </c>
      <c r="AL430">
        <v>2</v>
      </c>
      <c r="AM430" t="s">
        <v>994</v>
      </c>
      <c r="AN430" t="s">
        <v>743</v>
      </c>
      <c r="AO430" t="s">
        <v>998</v>
      </c>
      <c r="AP430" t="s">
        <v>160</v>
      </c>
      <c r="AQ430" t="s">
        <v>288</v>
      </c>
    </row>
    <row r="431" spans="1:43" hidden="1" x14ac:dyDescent="0.3">
      <c r="A431">
        <v>427</v>
      </c>
      <c r="B431" t="s">
        <v>991</v>
      </c>
      <c r="C431" t="s">
        <v>6</v>
      </c>
      <c r="L431">
        <v>9</v>
      </c>
      <c r="X431">
        <v>7.5</v>
      </c>
      <c r="AB431">
        <v>2</v>
      </c>
      <c r="AE431">
        <v>10</v>
      </c>
      <c r="AH431" t="s">
        <v>996</v>
      </c>
      <c r="AI431" t="s">
        <v>997</v>
      </c>
      <c r="AL431">
        <v>3</v>
      </c>
      <c r="AM431" t="s">
        <v>994</v>
      </c>
      <c r="AN431" t="s">
        <v>743</v>
      </c>
      <c r="AO431" t="s">
        <v>998</v>
      </c>
      <c r="AP431" t="s">
        <v>160</v>
      </c>
      <c r="AQ431" t="s">
        <v>288</v>
      </c>
    </row>
    <row r="432" spans="1:43" hidden="1" x14ac:dyDescent="0.3">
      <c r="A432">
        <v>428</v>
      </c>
      <c r="B432" t="s">
        <v>991</v>
      </c>
      <c r="C432" t="s">
        <v>6</v>
      </c>
      <c r="L432">
        <v>11</v>
      </c>
      <c r="X432">
        <v>7.5</v>
      </c>
      <c r="AB432">
        <v>2</v>
      </c>
      <c r="AE432">
        <v>10</v>
      </c>
      <c r="AH432" t="s">
        <v>996</v>
      </c>
      <c r="AI432" t="s">
        <v>997</v>
      </c>
      <c r="AL432">
        <v>4</v>
      </c>
      <c r="AM432" t="s">
        <v>994</v>
      </c>
      <c r="AN432" t="s">
        <v>743</v>
      </c>
      <c r="AO432" t="s">
        <v>998</v>
      </c>
      <c r="AP432" t="s">
        <v>160</v>
      </c>
      <c r="AQ432" t="s">
        <v>288</v>
      </c>
    </row>
    <row r="433" spans="1:43" hidden="1" x14ac:dyDescent="0.3">
      <c r="A433">
        <v>429</v>
      </c>
      <c r="B433" t="s">
        <v>991</v>
      </c>
      <c r="C433" t="s">
        <v>6</v>
      </c>
      <c r="L433">
        <v>7</v>
      </c>
      <c r="X433">
        <v>8</v>
      </c>
      <c r="AB433">
        <v>2</v>
      </c>
      <c r="AE433">
        <v>10</v>
      </c>
      <c r="AH433" t="s">
        <v>996</v>
      </c>
      <c r="AI433" t="s">
        <v>997</v>
      </c>
      <c r="AL433">
        <v>1</v>
      </c>
      <c r="AM433" t="s">
        <v>994</v>
      </c>
      <c r="AN433" t="s">
        <v>743</v>
      </c>
      <c r="AO433" t="s">
        <v>998</v>
      </c>
      <c r="AP433" t="s">
        <v>160</v>
      </c>
      <c r="AQ433" t="s">
        <v>288</v>
      </c>
    </row>
    <row r="434" spans="1:43" hidden="1" x14ac:dyDescent="0.3">
      <c r="A434">
        <v>430</v>
      </c>
      <c r="B434" t="s">
        <v>991</v>
      </c>
      <c r="C434" t="s">
        <v>6</v>
      </c>
      <c r="L434">
        <v>10</v>
      </c>
      <c r="X434">
        <v>8</v>
      </c>
      <c r="AB434">
        <v>2</v>
      </c>
      <c r="AE434">
        <v>10</v>
      </c>
      <c r="AH434" t="s">
        <v>996</v>
      </c>
      <c r="AI434" t="s">
        <v>997</v>
      </c>
      <c r="AL434">
        <v>2</v>
      </c>
      <c r="AM434" t="s">
        <v>994</v>
      </c>
      <c r="AN434" t="s">
        <v>743</v>
      </c>
      <c r="AO434" t="s">
        <v>998</v>
      </c>
      <c r="AP434" t="s">
        <v>160</v>
      </c>
      <c r="AQ434" t="s">
        <v>288</v>
      </c>
    </row>
    <row r="435" spans="1:43" hidden="1" x14ac:dyDescent="0.3">
      <c r="A435">
        <v>431</v>
      </c>
      <c r="B435" t="s">
        <v>991</v>
      </c>
      <c r="C435" t="s">
        <v>6</v>
      </c>
      <c r="L435">
        <v>13</v>
      </c>
      <c r="X435">
        <v>8</v>
      </c>
      <c r="AB435">
        <v>2</v>
      </c>
      <c r="AE435">
        <v>10</v>
      </c>
      <c r="AH435" t="s">
        <v>996</v>
      </c>
      <c r="AI435" t="s">
        <v>997</v>
      </c>
      <c r="AL435">
        <v>3</v>
      </c>
      <c r="AM435" t="s">
        <v>994</v>
      </c>
      <c r="AN435" t="s">
        <v>743</v>
      </c>
      <c r="AO435" t="s">
        <v>998</v>
      </c>
      <c r="AP435" t="s">
        <v>160</v>
      </c>
      <c r="AQ435" t="s">
        <v>288</v>
      </c>
    </row>
    <row r="436" spans="1:43" hidden="1" x14ac:dyDescent="0.3">
      <c r="A436">
        <v>432</v>
      </c>
      <c r="B436" t="s">
        <v>991</v>
      </c>
      <c r="C436" t="s">
        <v>6</v>
      </c>
      <c r="L436">
        <v>16</v>
      </c>
      <c r="X436">
        <v>8</v>
      </c>
      <c r="AB436">
        <v>2</v>
      </c>
      <c r="AE436">
        <v>10</v>
      </c>
      <c r="AH436" t="s">
        <v>996</v>
      </c>
      <c r="AI436" t="s">
        <v>997</v>
      </c>
      <c r="AL436">
        <v>4</v>
      </c>
      <c r="AM436" t="s">
        <v>994</v>
      </c>
      <c r="AN436" t="s">
        <v>743</v>
      </c>
      <c r="AO436" t="s">
        <v>998</v>
      </c>
      <c r="AP436" t="s">
        <v>160</v>
      </c>
      <c r="AQ436" t="s">
        <v>288</v>
      </c>
    </row>
    <row r="437" spans="1:43" hidden="1" x14ac:dyDescent="0.3">
      <c r="A437">
        <v>433</v>
      </c>
      <c r="B437" t="s">
        <v>991</v>
      </c>
      <c r="C437" t="s">
        <v>6</v>
      </c>
      <c r="L437">
        <v>9</v>
      </c>
      <c r="X437">
        <v>8.5</v>
      </c>
      <c r="AB437">
        <v>2</v>
      </c>
      <c r="AE437">
        <v>10</v>
      </c>
      <c r="AH437" t="s">
        <v>996</v>
      </c>
      <c r="AI437" t="s">
        <v>997</v>
      </c>
      <c r="AL437">
        <v>1</v>
      </c>
      <c r="AM437" t="s">
        <v>994</v>
      </c>
      <c r="AN437" t="s">
        <v>743</v>
      </c>
      <c r="AO437" t="s">
        <v>998</v>
      </c>
      <c r="AP437" t="s">
        <v>160</v>
      </c>
      <c r="AQ437" t="s">
        <v>288</v>
      </c>
    </row>
    <row r="438" spans="1:43" hidden="1" x14ac:dyDescent="0.3">
      <c r="A438">
        <v>434</v>
      </c>
      <c r="B438" t="s">
        <v>991</v>
      </c>
      <c r="C438" t="s">
        <v>6</v>
      </c>
      <c r="L438">
        <v>13</v>
      </c>
      <c r="X438">
        <v>8.5</v>
      </c>
      <c r="AB438">
        <v>2</v>
      </c>
      <c r="AE438">
        <v>10</v>
      </c>
      <c r="AH438" t="s">
        <v>996</v>
      </c>
      <c r="AI438" t="s">
        <v>997</v>
      </c>
      <c r="AL438">
        <v>2</v>
      </c>
      <c r="AM438" t="s">
        <v>994</v>
      </c>
      <c r="AN438" t="s">
        <v>743</v>
      </c>
      <c r="AO438" t="s">
        <v>998</v>
      </c>
      <c r="AP438" t="s">
        <v>160</v>
      </c>
      <c r="AQ438" t="s">
        <v>288</v>
      </c>
    </row>
    <row r="439" spans="1:43" hidden="1" x14ac:dyDescent="0.3">
      <c r="A439">
        <v>435</v>
      </c>
      <c r="B439" t="s">
        <v>991</v>
      </c>
      <c r="C439" t="s">
        <v>6</v>
      </c>
      <c r="L439">
        <v>17</v>
      </c>
      <c r="X439">
        <v>8.5</v>
      </c>
      <c r="AB439">
        <v>2</v>
      </c>
      <c r="AE439">
        <v>10</v>
      </c>
      <c r="AH439" t="s">
        <v>996</v>
      </c>
      <c r="AI439" t="s">
        <v>997</v>
      </c>
      <c r="AL439">
        <v>3</v>
      </c>
      <c r="AM439" t="s">
        <v>994</v>
      </c>
      <c r="AN439" t="s">
        <v>743</v>
      </c>
      <c r="AO439" t="s">
        <v>998</v>
      </c>
      <c r="AP439" t="s">
        <v>160</v>
      </c>
      <c r="AQ439" t="s">
        <v>288</v>
      </c>
    </row>
    <row r="440" spans="1:43" hidden="1" x14ac:dyDescent="0.3">
      <c r="A440">
        <v>436</v>
      </c>
      <c r="B440" t="s">
        <v>991</v>
      </c>
      <c r="C440" t="s">
        <v>6</v>
      </c>
      <c r="L440">
        <v>22</v>
      </c>
      <c r="X440">
        <v>8.5</v>
      </c>
      <c r="AB440">
        <v>2</v>
      </c>
      <c r="AE440">
        <v>10</v>
      </c>
      <c r="AH440" t="s">
        <v>996</v>
      </c>
      <c r="AI440" t="s">
        <v>997</v>
      </c>
      <c r="AL440">
        <v>4</v>
      </c>
      <c r="AM440" t="s">
        <v>994</v>
      </c>
      <c r="AN440" t="s">
        <v>743</v>
      </c>
      <c r="AO440" t="s">
        <v>998</v>
      </c>
      <c r="AP440" t="s">
        <v>160</v>
      </c>
      <c r="AQ440" t="s">
        <v>288</v>
      </c>
    </row>
    <row r="441" spans="1:43" hidden="1" x14ac:dyDescent="0.3">
      <c r="A441">
        <v>437</v>
      </c>
      <c r="B441" t="s">
        <v>991</v>
      </c>
      <c r="C441" t="s">
        <v>6</v>
      </c>
      <c r="L441">
        <v>10</v>
      </c>
      <c r="X441">
        <v>9</v>
      </c>
      <c r="AB441">
        <v>2</v>
      </c>
      <c r="AE441">
        <v>10</v>
      </c>
      <c r="AH441" t="s">
        <v>996</v>
      </c>
      <c r="AI441" t="s">
        <v>997</v>
      </c>
      <c r="AL441">
        <v>1</v>
      </c>
      <c r="AM441" t="s">
        <v>994</v>
      </c>
      <c r="AN441" t="s">
        <v>743</v>
      </c>
      <c r="AO441" t="s">
        <v>998</v>
      </c>
      <c r="AP441" t="s">
        <v>160</v>
      </c>
      <c r="AQ441" t="s">
        <v>288</v>
      </c>
    </row>
    <row r="442" spans="1:43" hidden="1" x14ac:dyDescent="0.3">
      <c r="A442">
        <v>438</v>
      </c>
      <c r="B442" t="s">
        <v>991</v>
      </c>
      <c r="C442" t="s">
        <v>6</v>
      </c>
      <c r="L442">
        <v>16</v>
      </c>
      <c r="X442">
        <v>9</v>
      </c>
      <c r="AB442">
        <v>2</v>
      </c>
      <c r="AE442">
        <v>10</v>
      </c>
      <c r="AH442" t="s">
        <v>996</v>
      </c>
      <c r="AI442" t="s">
        <v>997</v>
      </c>
      <c r="AL442">
        <v>2</v>
      </c>
      <c r="AM442" t="s">
        <v>994</v>
      </c>
      <c r="AN442" t="s">
        <v>743</v>
      </c>
      <c r="AO442" t="s">
        <v>998</v>
      </c>
      <c r="AP442" t="s">
        <v>160</v>
      </c>
      <c r="AQ442" t="s">
        <v>288</v>
      </c>
    </row>
    <row r="443" spans="1:43" hidden="1" x14ac:dyDescent="0.3">
      <c r="A443">
        <v>439</v>
      </c>
      <c r="B443" t="s">
        <v>991</v>
      </c>
      <c r="C443" t="s">
        <v>6</v>
      </c>
      <c r="L443">
        <v>21</v>
      </c>
      <c r="X443">
        <v>9</v>
      </c>
      <c r="AB443">
        <v>2</v>
      </c>
      <c r="AE443">
        <v>10</v>
      </c>
      <c r="AH443" t="s">
        <v>996</v>
      </c>
      <c r="AI443" t="s">
        <v>997</v>
      </c>
      <c r="AL443">
        <v>3</v>
      </c>
      <c r="AM443" t="s">
        <v>994</v>
      </c>
      <c r="AN443" t="s">
        <v>743</v>
      </c>
      <c r="AO443" t="s">
        <v>998</v>
      </c>
      <c r="AP443" t="s">
        <v>160</v>
      </c>
      <c r="AQ443" t="s">
        <v>288</v>
      </c>
    </row>
    <row r="444" spans="1:43" hidden="1" x14ac:dyDescent="0.3">
      <c r="A444">
        <v>440</v>
      </c>
      <c r="B444" t="s">
        <v>991</v>
      </c>
      <c r="C444" t="s">
        <v>6</v>
      </c>
      <c r="L444">
        <v>27</v>
      </c>
      <c r="X444">
        <v>9</v>
      </c>
      <c r="AB444">
        <v>2</v>
      </c>
      <c r="AE444">
        <v>10</v>
      </c>
      <c r="AH444" t="s">
        <v>996</v>
      </c>
      <c r="AI444" t="s">
        <v>997</v>
      </c>
      <c r="AL444">
        <v>4</v>
      </c>
      <c r="AM444" t="s">
        <v>994</v>
      </c>
      <c r="AN444" t="s">
        <v>743</v>
      </c>
      <c r="AO444" t="s">
        <v>998</v>
      </c>
      <c r="AP444" t="s">
        <v>160</v>
      </c>
      <c r="AQ444" t="s">
        <v>288</v>
      </c>
    </row>
    <row r="445" spans="1:43" hidden="1" x14ac:dyDescent="0.3">
      <c r="A445">
        <v>441</v>
      </c>
      <c r="B445" t="s">
        <v>991</v>
      </c>
      <c r="C445" t="s">
        <v>6</v>
      </c>
      <c r="L445">
        <v>2</v>
      </c>
      <c r="X445">
        <v>7</v>
      </c>
      <c r="AB445">
        <v>2</v>
      </c>
      <c r="AE445">
        <v>15</v>
      </c>
      <c r="AH445" t="s">
        <v>996</v>
      </c>
      <c r="AI445" t="s">
        <v>997</v>
      </c>
      <c r="AL445">
        <v>1</v>
      </c>
      <c r="AM445" t="s">
        <v>994</v>
      </c>
      <c r="AN445" t="s">
        <v>743</v>
      </c>
      <c r="AO445" t="s">
        <v>998</v>
      </c>
      <c r="AP445" t="s">
        <v>160</v>
      </c>
      <c r="AQ445" t="s">
        <v>288</v>
      </c>
    </row>
    <row r="446" spans="1:43" hidden="1" x14ac:dyDescent="0.3">
      <c r="A446">
        <v>442</v>
      </c>
      <c r="B446" t="s">
        <v>991</v>
      </c>
      <c r="C446" t="s">
        <v>6</v>
      </c>
      <c r="L446">
        <v>3</v>
      </c>
      <c r="X446">
        <v>7</v>
      </c>
      <c r="AB446">
        <v>2</v>
      </c>
      <c r="AE446">
        <v>15</v>
      </c>
      <c r="AH446" t="s">
        <v>996</v>
      </c>
      <c r="AI446" t="s">
        <v>997</v>
      </c>
      <c r="AL446">
        <v>2</v>
      </c>
      <c r="AM446" t="s">
        <v>994</v>
      </c>
      <c r="AN446" t="s">
        <v>743</v>
      </c>
      <c r="AO446" t="s">
        <v>998</v>
      </c>
      <c r="AP446" t="s">
        <v>160</v>
      </c>
      <c r="AQ446" t="s">
        <v>288</v>
      </c>
    </row>
    <row r="447" spans="1:43" hidden="1" x14ac:dyDescent="0.3">
      <c r="A447">
        <v>443</v>
      </c>
      <c r="B447" t="s">
        <v>991</v>
      </c>
      <c r="C447" t="s">
        <v>6</v>
      </c>
      <c r="L447">
        <v>4</v>
      </c>
      <c r="X447">
        <v>7</v>
      </c>
      <c r="AB447">
        <v>2</v>
      </c>
      <c r="AE447">
        <v>15</v>
      </c>
      <c r="AH447" t="s">
        <v>996</v>
      </c>
      <c r="AI447" t="s">
        <v>997</v>
      </c>
      <c r="AL447">
        <v>3</v>
      </c>
      <c r="AM447" t="s">
        <v>994</v>
      </c>
      <c r="AN447" t="s">
        <v>743</v>
      </c>
      <c r="AO447" t="s">
        <v>998</v>
      </c>
      <c r="AP447" t="s">
        <v>160</v>
      </c>
      <c r="AQ447" t="s">
        <v>288</v>
      </c>
    </row>
    <row r="448" spans="1:43" hidden="1" x14ac:dyDescent="0.3">
      <c r="A448">
        <v>444</v>
      </c>
      <c r="B448" t="s">
        <v>991</v>
      </c>
      <c r="C448" t="s">
        <v>6</v>
      </c>
      <c r="L448">
        <v>4</v>
      </c>
      <c r="X448">
        <v>7</v>
      </c>
      <c r="AB448">
        <v>2</v>
      </c>
      <c r="AE448">
        <v>15</v>
      </c>
      <c r="AH448" t="s">
        <v>996</v>
      </c>
      <c r="AI448" t="s">
        <v>997</v>
      </c>
      <c r="AL448">
        <v>4</v>
      </c>
      <c r="AM448" t="s">
        <v>994</v>
      </c>
      <c r="AN448" t="s">
        <v>743</v>
      </c>
      <c r="AO448" t="s">
        <v>998</v>
      </c>
      <c r="AP448" t="s">
        <v>160</v>
      </c>
      <c r="AQ448" t="s">
        <v>288</v>
      </c>
    </row>
    <row r="449" spans="1:43" hidden="1" x14ac:dyDescent="0.3">
      <c r="A449">
        <v>445</v>
      </c>
      <c r="B449" t="s">
        <v>991</v>
      </c>
      <c r="C449" t="s">
        <v>6</v>
      </c>
      <c r="L449">
        <v>4</v>
      </c>
      <c r="X449">
        <v>7.5</v>
      </c>
      <c r="AB449">
        <v>2</v>
      </c>
      <c r="AE449">
        <v>15</v>
      </c>
      <c r="AH449" t="s">
        <v>996</v>
      </c>
      <c r="AI449" t="s">
        <v>997</v>
      </c>
      <c r="AL449">
        <v>1</v>
      </c>
      <c r="AM449" t="s">
        <v>994</v>
      </c>
      <c r="AN449" t="s">
        <v>743</v>
      </c>
      <c r="AO449" t="s">
        <v>998</v>
      </c>
      <c r="AP449" t="s">
        <v>160</v>
      </c>
      <c r="AQ449" t="s">
        <v>288</v>
      </c>
    </row>
    <row r="450" spans="1:43" hidden="1" x14ac:dyDescent="0.3">
      <c r="A450">
        <v>446</v>
      </c>
      <c r="B450" t="s">
        <v>991</v>
      </c>
      <c r="C450" t="s">
        <v>6</v>
      </c>
      <c r="L450">
        <v>5</v>
      </c>
      <c r="X450">
        <v>7.5</v>
      </c>
      <c r="AB450">
        <v>2</v>
      </c>
      <c r="AE450">
        <v>15</v>
      </c>
      <c r="AH450" t="s">
        <v>996</v>
      </c>
      <c r="AI450" t="s">
        <v>997</v>
      </c>
      <c r="AL450">
        <v>2</v>
      </c>
      <c r="AM450" t="s">
        <v>994</v>
      </c>
      <c r="AN450" t="s">
        <v>743</v>
      </c>
      <c r="AO450" t="s">
        <v>998</v>
      </c>
      <c r="AP450" t="s">
        <v>160</v>
      </c>
      <c r="AQ450" t="s">
        <v>288</v>
      </c>
    </row>
    <row r="451" spans="1:43" hidden="1" x14ac:dyDescent="0.3">
      <c r="A451">
        <v>447</v>
      </c>
      <c r="B451" t="s">
        <v>991</v>
      </c>
      <c r="C451" t="s">
        <v>6</v>
      </c>
      <c r="L451">
        <v>7</v>
      </c>
      <c r="X451">
        <v>7.5</v>
      </c>
      <c r="AB451">
        <v>2</v>
      </c>
      <c r="AE451">
        <v>15</v>
      </c>
      <c r="AH451" t="s">
        <v>996</v>
      </c>
      <c r="AI451" t="s">
        <v>997</v>
      </c>
      <c r="AL451">
        <v>3</v>
      </c>
      <c r="AM451" t="s">
        <v>994</v>
      </c>
      <c r="AN451" t="s">
        <v>743</v>
      </c>
      <c r="AO451" t="s">
        <v>998</v>
      </c>
      <c r="AP451" t="s">
        <v>160</v>
      </c>
      <c r="AQ451" t="s">
        <v>288</v>
      </c>
    </row>
    <row r="452" spans="1:43" hidden="1" x14ac:dyDescent="0.3">
      <c r="A452">
        <v>448</v>
      </c>
      <c r="B452" t="s">
        <v>991</v>
      </c>
      <c r="C452" t="s">
        <v>6</v>
      </c>
      <c r="L452">
        <v>8</v>
      </c>
      <c r="X452">
        <v>7.5</v>
      </c>
      <c r="AB452">
        <v>2</v>
      </c>
      <c r="AE452">
        <v>15</v>
      </c>
      <c r="AH452" t="s">
        <v>996</v>
      </c>
      <c r="AI452" t="s">
        <v>997</v>
      </c>
      <c r="AL452">
        <v>4</v>
      </c>
      <c r="AM452" t="s">
        <v>994</v>
      </c>
      <c r="AN452" t="s">
        <v>743</v>
      </c>
      <c r="AO452" t="s">
        <v>998</v>
      </c>
      <c r="AP452" t="s">
        <v>160</v>
      </c>
      <c r="AQ452" t="s">
        <v>288</v>
      </c>
    </row>
    <row r="453" spans="1:43" hidden="1" x14ac:dyDescent="0.3">
      <c r="A453">
        <v>449</v>
      </c>
      <c r="B453" t="s">
        <v>991</v>
      </c>
      <c r="C453" t="s">
        <v>6</v>
      </c>
      <c r="L453">
        <v>5</v>
      </c>
      <c r="X453">
        <v>8</v>
      </c>
      <c r="AB453">
        <v>2</v>
      </c>
      <c r="AE453">
        <v>15</v>
      </c>
      <c r="AH453" t="s">
        <v>996</v>
      </c>
      <c r="AI453" t="s">
        <v>997</v>
      </c>
      <c r="AL453">
        <v>1</v>
      </c>
      <c r="AM453" t="s">
        <v>994</v>
      </c>
      <c r="AN453" t="s">
        <v>743</v>
      </c>
      <c r="AO453" t="s">
        <v>998</v>
      </c>
      <c r="AP453" t="s">
        <v>160</v>
      </c>
      <c r="AQ453" t="s">
        <v>288</v>
      </c>
    </row>
    <row r="454" spans="1:43" hidden="1" x14ac:dyDescent="0.3">
      <c r="A454">
        <v>450</v>
      </c>
      <c r="B454" t="s">
        <v>991</v>
      </c>
      <c r="C454" t="s">
        <v>6</v>
      </c>
      <c r="L454">
        <v>7</v>
      </c>
      <c r="X454">
        <v>8</v>
      </c>
      <c r="AB454">
        <v>2</v>
      </c>
      <c r="AE454">
        <v>15</v>
      </c>
      <c r="AH454" t="s">
        <v>996</v>
      </c>
      <c r="AI454" t="s">
        <v>997</v>
      </c>
      <c r="AL454">
        <v>2</v>
      </c>
      <c r="AM454" t="s">
        <v>994</v>
      </c>
      <c r="AN454" t="s">
        <v>743</v>
      </c>
      <c r="AO454" t="s">
        <v>998</v>
      </c>
      <c r="AP454" t="s">
        <v>160</v>
      </c>
      <c r="AQ454" t="s">
        <v>288</v>
      </c>
    </row>
    <row r="455" spans="1:43" hidden="1" x14ac:dyDescent="0.3">
      <c r="A455">
        <v>451</v>
      </c>
      <c r="B455" t="s">
        <v>991</v>
      </c>
      <c r="C455" t="s">
        <v>6</v>
      </c>
      <c r="L455">
        <v>10</v>
      </c>
      <c r="X455">
        <v>8</v>
      </c>
      <c r="AB455">
        <v>2</v>
      </c>
      <c r="AE455">
        <v>15</v>
      </c>
      <c r="AH455" t="s">
        <v>996</v>
      </c>
      <c r="AI455" t="s">
        <v>997</v>
      </c>
      <c r="AL455">
        <v>3</v>
      </c>
      <c r="AM455" t="s">
        <v>994</v>
      </c>
      <c r="AN455" t="s">
        <v>743</v>
      </c>
      <c r="AO455" t="s">
        <v>998</v>
      </c>
      <c r="AP455" t="s">
        <v>160</v>
      </c>
      <c r="AQ455" t="s">
        <v>288</v>
      </c>
    </row>
    <row r="456" spans="1:43" hidden="1" x14ac:dyDescent="0.3">
      <c r="A456">
        <v>452</v>
      </c>
      <c r="B456" t="s">
        <v>991</v>
      </c>
      <c r="C456" t="s">
        <v>6</v>
      </c>
      <c r="L456">
        <v>12</v>
      </c>
      <c r="X456">
        <v>8</v>
      </c>
      <c r="AB456">
        <v>2</v>
      </c>
      <c r="AE456">
        <v>15</v>
      </c>
      <c r="AH456" t="s">
        <v>996</v>
      </c>
      <c r="AI456" t="s">
        <v>997</v>
      </c>
      <c r="AL456">
        <v>4</v>
      </c>
      <c r="AM456" t="s">
        <v>994</v>
      </c>
      <c r="AN456" t="s">
        <v>743</v>
      </c>
      <c r="AO456" t="s">
        <v>998</v>
      </c>
      <c r="AP456" t="s">
        <v>160</v>
      </c>
      <c r="AQ456" t="s">
        <v>288</v>
      </c>
    </row>
    <row r="457" spans="1:43" hidden="1" x14ac:dyDescent="0.3">
      <c r="A457">
        <v>453</v>
      </c>
      <c r="B457" t="s">
        <v>991</v>
      </c>
      <c r="C457" t="s">
        <v>6</v>
      </c>
      <c r="L457">
        <v>6</v>
      </c>
      <c r="X457">
        <v>8.5</v>
      </c>
      <c r="AB457">
        <v>2</v>
      </c>
      <c r="AE457">
        <v>15</v>
      </c>
      <c r="AH457" t="s">
        <v>996</v>
      </c>
      <c r="AI457" t="s">
        <v>997</v>
      </c>
      <c r="AL457">
        <v>1</v>
      </c>
      <c r="AM457" t="s">
        <v>994</v>
      </c>
      <c r="AN457" t="s">
        <v>743</v>
      </c>
      <c r="AO457" t="s">
        <v>998</v>
      </c>
      <c r="AP457" t="s">
        <v>160</v>
      </c>
      <c r="AQ457" t="s">
        <v>288</v>
      </c>
    </row>
    <row r="458" spans="1:43" hidden="1" x14ac:dyDescent="0.3">
      <c r="A458">
        <v>454</v>
      </c>
      <c r="B458" t="s">
        <v>991</v>
      </c>
      <c r="C458" t="s">
        <v>6</v>
      </c>
      <c r="L458">
        <v>9</v>
      </c>
      <c r="X458">
        <v>8.5</v>
      </c>
      <c r="AB458">
        <v>2</v>
      </c>
      <c r="AE458">
        <v>15</v>
      </c>
      <c r="AH458" t="s">
        <v>996</v>
      </c>
      <c r="AI458" t="s">
        <v>997</v>
      </c>
      <c r="AL458">
        <v>2</v>
      </c>
      <c r="AM458" t="s">
        <v>994</v>
      </c>
      <c r="AN458" t="s">
        <v>743</v>
      </c>
      <c r="AO458" t="s">
        <v>998</v>
      </c>
      <c r="AP458" t="s">
        <v>160</v>
      </c>
      <c r="AQ458" t="s">
        <v>288</v>
      </c>
    </row>
    <row r="459" spans="1:43" hidden="1" x14ac:dyDescent="0.3">
      <c r="A459">
        <v>455</v>
      </c>
      <c r="B459" t="s">
        <v>991</v>
      </c>
      <c r="C459" t="s">
        <v>6</v>
      </c>
      <c r="L459">
        <v>13</v>
      </c>
      <c r="X459">
        <v>8.5</v>
      </c>
      <c r="AB459">
        <v>2</v>
      </c>
      <c r="AE459">
        <v>15</v>
      </c>
      <c r="AH459" t="s">
        <v>996</v>
      </c>
      <c r="AI459" t="s">
        <v>997</v>
      </c>
      <c r="AL459">
        <v>3</v>
      </c>
      <c r="AM459" t="s">
        <v>994</v>
      </c>
      <c r="AN459" t="s">
        <v>743</v>
      </c>
      <c r="AO459" t="s">
        <v>998</v>
      </c>
      <c r="AP459" t="s">
        <v>160</v>
      </c>
      <c r="AQ459" t="s">
        <v>288</v>
      </c>
    </row>
    <row r="460" spans="1:43" hidden="1" x14ac:dyDescent="0.3">
      <c r="A460">
        <v>456</v>
      </c>
      <c r="B460" t="s">
        <v>991</v>
      </c>
      <c r="C460" t="s">
        <v>6</v>
      </c>
      <c r="L460">
        <v>16</v>
      </c>
      <c r="X460">
        <v>8.5</v>
      </c>
      <c r="AB460">
        <v>2</v>
      </c>
      <c r="AE460">
        <v>15</v>
      </c>
      <c r="AH460" t="s">
        <v>996</v>
      </c>
      <c r="AI460" t="s">
        <v>997</v>
      </c>
      <c r="AL460">
        <v>4</v>
      </c>
      <c r="AM460" t="s">
        <v>994</v>
      </c>
      <c r="AN460" t="s">
        <v>743</v>
      </c>
      <c r="AO460" t="s">
        <v>998</v>
      </c>
      <c r="AP460" t="s">
        <v>160</v>
      </c>
      <c r="AQ460" t="s">
        <v>288</v>
      </c>
    </row>
    <row r="461" spans="1:43" hidden="1" x14ac:dyDescent="0.3">
      <c r="A461">
        <v>457</v>
      </c>
      <c r="B461" t="s">
        <v>991</v>
      </c>
      <c r="C461" t="s">
        <v>6</v>
      </c>
      <c r="L461">
        <v>7</v>
      </c>
      <c r="X461">
        <v>9</v>
      </c>
      <c r="AB461">
        <v>2</v>
      </c>
      <c r="AE461">
        <v>15</v>
      </c>
      <c r="AH461" t="s">
        <v>996</v>
      </c>
      <c r="AI461" t="s">
        <v>997</v>
      </c>
      <c r="AL461">
        <v>1</v>
      </c>
      <c r="AM461" t="s">
        <v>994</v>
      </c>
      <c r="AN461" t="s">
        <v>743</v>
      </c>
      <c r="AO461" t="s">
        <v>998</v>
      </c>
      <c r="AP461" t="s">
        <v>160</v>
      </c>
      <c r="AQ461" t="s">
        <v>288</v>
      </c>
    </row>
    <row r="462" spans="1:43" hidden="1" x14ac:dyDescent="0.3">
      <c r="A462">
        <v>458</v>
      </c>
      <c r="B462" t="s">
        <v>991</v>
      </c>
      <c r="C462" t="s">
        <v>6</v>
      </c>
      <c r="L462">
        <v>11</v>
      </c>
      <c r="X462">
        <v>9</v>
      </c>
      <c r="AB462">
        <v>2</v>
      </c>
      <c r="AE462">
        <v>15</v>
      </c>
      <c r="AH462" t="s">
        <v>996</v>
      </c>
      <c r="AI462" t="s">
        <v>997</v>
      </c>
      <c r="AL462">
        <v>2</v>
      </c>
      <c r="AM462" t="s">
        <v>994</v>
      </c>
      <c r="AN462" t="s">
        <v>743</v>
      </c>
      <c r="AO462" t="s">
        <v>998</v>
      </c>
      <c r="AP462" t="s">
        <v>160</v>
      </c>
      <c r="AQ462" t="s">
        <v>288</v>
      </c>
    </row>
    <row r="463" spans="1:43" hidden="1" x14ac:dyDescent="0.3">
      <c r="A463">
        <v>459</v>
      </c>
      <c r="B463" t="s">
        <v>991</v>
      </c>
      <c r="C463" t="s">
        <v>6</v>
      </c>
      <c r="L463">
        <v>15</v>
      </c>
      <c r="X463">
        <v>9</v>
      </c>
      <c r="AB463">
        <v>2</v>
      </c>
      <c r="AE463">
        <v>15</v>
      </c>
      <c r="AH463" t="s">
        <v>996</v>
      </c>
      <c r="AI463" t="s">
        <v>997</v>
      </c>
      <c r="AL463">
        <v>3</v>
      </c>
      <c r="AM463" t="s">
        <v>994</v>
      </c>
      <c r="AN463" t="s">
        <v>743</v>
      </c>
      <c r="AO463" t="s">
        <v>998</v>
      </c>
      <c r="AP463" t="s">
        <v>160</v>
      </c>
      <c r="AQ463" t="s">
        <v>288</v>
      </c>
    </row>
    <row r="464" spans="1:43" hidden="1" x14ac:dyDescent="0.3">
      <c r="A464">
        <v>460</v>
      </c>
      <c r="B464" t="s">
        <v>991</v>
      </c>
      <c r="C464" t="s">
        <v>6</v>
      </c>
      <c r="L464">
        <v>19</v>
      </c>
      <c r="X464">
        <v>9</v>
      </c>
      <c r="AB464">
        <v>2</v>
      </c>
      <c r="AE464">
        <v>15</v>
      </c>
      <c r="AH464" t="s">
        <v>996</v>
      </c>
      <c r="AI464" t="s">
        <v>997</v>
      </c>
      <c r="AL464">
        <v>4</v>
      </c>
      <c r="AM464" t="s">
        <v>994</v>
      </c>
      <c r="AN464" t="s">
        <v>743</v>
      </c>
      <c r="AO464" t="s">
        <v>998</v>
      </c>
      <c r="AP464" t="s">
        <v>160</v>
      </c>
      <c r="AQ464" t="s">
        <v>288</v>
      </c>
    </row>
    <row r="465" spans="1:43" hidden="1" x14ac:dyDescent="0.3">
      <c r="A465">
        <v>461</v>
      </c>
      <c r="B465" t="s">
        <v>991</v>
      </c>
      <c r="C465" t="s">
        <v>6</v>
      </c>
      <c r="L465">
        <v>2</v>
      </c>
      <c r="X465">
        <v>7</v>
      </c>
      <c r="AB465">
        <v>2</v>
      </c>
      <c r="AE465">
        <v>20</v>
      </c>
      <c r="AH465" t="s">
        <v>996</v>
      </c>
      <c r="AI465" t="s">
        <v>997</v>
      </c>
      <c r="AL465">
        <v>1</v>
      </c>
      <c r="AM465" t="s">
        <v>994</v>
      </c>
      <c r="AN465" t="s">
        <v>743</v>
      </c>
      <c r="AO465" t="s">
        <v>998</v>
      </c>
      <c r="AP465" t="s">
        <v>160</v>
      </c>
      <c r="AQ465" t="s">
        <v>288</v>
      </c>
    </row>
    <row r="466" spans="1:43" hidden="1" x14ac:dyDescent="0.3">
      <c r="A466">
        <v>462</v>
      </c>
      <c r="B466" t="s">
        <v>991</v>
      </c>
      <c r="C466" t="s">
        <v>6</v>
      </c>
      <c r="L466">
        <v>2</v>
      </c>
      <c r="X466">
        <v>7</v>
      </c>
      <c r="AB466">
        <v>2</v>
      </c>
      <c r="AE466">
        <v>20</v>
      </c>
      <c r="AH466" t="s">
        <v>996</v>
      </c>
      <c r="AI466" t="s">
        <v>997</v>
      </c>
      <c r="AL466">
        <v>2</v>
      </c>
      <c r="AM466" t="s">
        <v>994</v>
      </c>
      <c r="AN466" t="s">
        <v>743</v>
      </c>
      <c r="AO466" t="s">
        <v>998</v>
      </c>
      <c r="AP466" t="s">
        <v>160</v>
      </c>
      <c r="AQ466" t="s">
        <v>288</v>
      </c>
    </row>
    <row r="467" spans="1:43" hidden="1" x14ac:dyDescent="0.3">
      <c r="A467">
        <v>463</v>
      </c>
      <c r="B467" t="s">
        <v>991</v>
      </c>
      <c r="C467" t="s">
        <v>6</v>
      </c>
      <c r="L467">
        <v>3</v>
      </c>
      <c r="X467">
        <v>7</v>
      </c>
      <c r="AB467">
        <v>2</v>
      </c>
      <c r="AE467">
        <v>20</v>
      </c>
      <c r="AH467" t="s">
        <v>996</v>
      </c>
      <c r="AI467" t="s">
        <v>997</v>
      </c>
      <c r="AL467">
        <v>3</v>
      </c>
      <c r="AM467" t="s">
        <v>994</v>
      </c>
      <c r="AN467" t="s">
        <v>743</v>
      </c>
      <c r="AO467" t="s">
        <v>998</v>
      </c>
      <c r="AP467" t="s">
        <v>160</v>
      </c>
      <c r="AQ467" t="s">
        <v>288</v>
      </c>
    </row>
    <row r="468" spans="1:43" hidden="1" x14ac:dyDescent="0.3">
      <c r="A468">
        <v>464</v>
      </c>
      <c r="B468" t="s">
        <v>991</v>
      </c>
      <c r="C468" t="s">
        <v>6</v>
      </c>
      <c r="L468">
        <v>3</v>
      </c>
      <c r="X468">
        <v>7</v>
      </c>
      <c r="AB468">
        <v>2</v>
      </c>
      <c r="AE468">
        <v>20</v>
      </c>
      <c r="AH468" t="s">
        <v>996</v>
      </c>
      <c r="AI468" t="s">
        <v>997</v>
      </c>
      <c r="AL468">
        <v>4</v>
      </c>
      <c r="AM468" t="s">
        <v>994</v>
      </c>
      <c r="AN468" t="s">
        <v>743</v>
      </c>
      <c r="AO468" t="s">
        <v>998</v>
      </c>
      <c r="AP468" t="s">
        <v>160</v>
      </c>
      <c r="AQ468" t="s">
        <v>288</v>
      </c>
    </row>
    <row r="469" spans="1:43" hidden="1" x14ac:dyDescent="0.3">
      <c r="A469">
        <v>465</v>
      </c>
      <c r="B469" t="s">
        <v>991</v>
      </c>
      <c r="C469" t="s">
        <v>6</v>
      </c>
      <c r="L469">
        <v>3</v>
      </c>
      <c r="X469">
        <v>7.5</v>
      </c>
      <c r="AB469">
        <v>2</v>
      </c>
      <c r="AE469">
        <v>20</v>
      </c>
      <c r="AH469" t="s">
        <v>996</v>
      </c>
      <c r="AI469" t="s">
        <v>997</v>
      </c>
      <c r="AL469">
        <v>1</v>
      </c>
      <c r="AM469" t="s">
        <v>994</v>
      </c>
      <c r="AN469" t="s">
        <v>743</v>
      </c>
      <c r="AO469" t="s">
        <v>998</v>
      </c>
      <c r="AP469" t="s">
        <v>160</v>
      </c>
      <c r="AQ469" t="s">
        <v>288</v>
      </c>
    </row>
    <row r="470" spans="1:43" hidden="1" x14ac:dyDescent="0.3">
      <c r="A470">
        <v>466</v>
      </c>
      <c r="B470" t="s">
        <v>991</v>
      </c>
      <c r="C470" t="s">
        <v>6</v>
      </c>
      <c r="L470">
        <v>4</v>
      </c>
      <c r="X470">
        <v>7.5</v>
      </c>
      <c r="AB470">
        <v>2</v>
      </c>
      <c r="AE470">
        <v>20</v>
      </c>
      <c r="AH470" t="s">
        <v>996</v>
      </c>
      <c r="AI470" t="s">
        <v>997</v>
      </c>
      <c r="AL470">
        <v>2</v>
      </c>
      <c r="AM470" t="s">
        <v>994</v>
      </c>
      <c r="AN470" t="s">
        <v>743</v>
      </c>
      <c r="AO470" t="s">
        <v>998</v>
      </c>
      <c r="AP470" t="s">
        <v>160</v>
      </c>
      <c r="AQ470" t="s">
        <v>288</v>
      </c>
    </row>
    <row r="471" spans="1:43" hidden="1" x14ac:dyDescent="0.3">
      <c r="A471">
        <v>467</v>
      </c>
      <c r="B471" t="s">
        <v>991</v>
      </c>
      <c r="C471" t="s">
        <v>6</v>
      </c>
      <c r="L471">
        <v>5</v>
      </c>
      <c r="X471">
        <v>7.5</v>
      </c>
      <c r="AB471">
        <v>2</v>
      </c>
      <c r="AE471">
        <v>20</v>
      </c>
      <c r="AH471" t="s">
        <v>996</v>
      </c>
      <c r="AI471" t="s">
        <v>997</v>
      </c>
      <c r="AL471">
        <v>3</v>
      </c>
      <c r="AM471" t="s">
        <v>994</v>
      </c>
      <c r="AN471" t="s">
        <v>743</v>
      </c>
      <c r="AO471" t="s">
        <v>998</v>
      </c>
      <c r="AP471" t="s">
        <v>160</v>
      </c>
      <c r="AQ471" t="s">
        <v>288</v>
      </c>
    </row>
    <row r="472" spans="1:43" hidden="1" x14ac:dyDescent="0.3">
      <c r="A472">
        <v>468</v>
      </c>
      <c r="B472" t="s">
        <v>991</v>
      </c>
      <c r="C472" t="s">
        <v>6</v>
      </c>
      <c r="L472">
        <v>6</v>
      </c>
      <c r="X472">
        <v>7.5</v>
      </c>
      <c r="AB472">
        <v>2</v>
      </c>
      <c r="AE472">
        <v>20</v>
      </c>
      <c r="AH472" t="s">
        <v>996</v>
      </c>
      <c r="AI472" t="s">
        <v>997</v>
      </c>
      <c r="AL472">
        <v>4</v>
      </c>
      <c r="AM472" t="s">
        <v>994</v>
      </c>
      <c r="AN472" t="s">
        <v>743</v>
      </c>
      <c r="AO472" t="s">
        <v>998</v>
      </c>
      <c r="AP472" t="s">
        <v>160</v>
      </c>
      <c r="AQ472" t="s">
        <v>288</v>
      </c>
    </row>
    <row r="473" spans="1:43" hidden="1" x14ac:dyDescent="0.3">
      <c r="A473">
        <v>469</v>
      </c>
      <c r="B473" t="s">
        <v>991</v>
      </c>
      <c r="C473" t="s">
        <v>6</v>
      </c>
      <c r="L473">
        <v>4</v>
      </c>
      <c r="X473">
        <v>8</v>
      </c>
      <c r="AB473">
        <v>2</v>
      </c>
      <c r="AE473">
        <v>20</v>
      </c>
      <c r="AH473" t="s">
        <v>996</v>
      </c>
      <c r="AI473" t="s">
        <v>997</v>
      </c>
      <c r="AL473">
        <v>1</v>
      </c>
      <c r="AM473" t="s">
        <v>994</v>
      </c>
      <c r="AN473" t="s">
        <v>743</v>
      </c>
      <c r="AO473" t="s">
        <v>998</v>
      </c>
      <c r="AP473" t="s">
        <v>160</v>
      </c>
      <c r="AQ473" t="s">
        <v>288</v>
      </c>
    </row>
    <row r="474" spans="1:43" hidden="1" x14ac:dyDescent="0.3">
      <c r="A474">
        <v>470</v>
      </c>
      <c r="B474" t="s">
        <v>991</v>
      </c>
      <c r="C474" t="s">
        <v>6</v>
      </c>
      <c r="L474">
        <v>5</v>
      </c>
      <c r="X474">
        <v>8</v>
      </c>
      <c r="AB474">
        <v>2</v>
      </c>
      <c r="AE474">
        <v>20</v>
      </c>
      <c r="AH474" t="s">
        <v>996</v>
      </c>
      <c r="AI474" t="s">
        <v>997</v>
      </c>
      <c r="AL474">
        <v>2</v>
      </c>
      <c r="AM474" t="s">
        <v>994</v>
      </c>
      <c r="AN474" t="s">
        <v>743</v>
      </c>
      <c r="AO474" t="s">
        <v>998</v>
      </c>
      <c r="AP474" t="s">
        <v>160</v>
      </c>
      <c r="AQ474" t="s">
        <v>288</v>
      </c>
    </row>
    <row r="475" spans="1:43" hidden="1" x14ac:dyDescent="0.3">
      <c r="A475">
        <v>471</v>
      </c>
      <c r="B475" t="s">
        <v>991</v>
      </c>
      <c r="C475" t="s">
        <v>6</v>
      </c>
      <c r="L475">
        <v>7</v>
      </c>
      <c r="X475">
        <v>8</v>
      </c>
      <c r="AB475">
        <v>2</v>
      </c>
      <c r="AE475">
        <v>20</v>
      </c>
      <c r="AH475" t="s">
        <v>996</v>
      </c>
      <c r="AI475" t="s">
        <v>997</v>
      </c>
      <c r="AL475">
        <v>3</v>
      </c>
      <c r="AM475" t="s">
        <v>994</v>
      </c>
      <c r="AN475" t="s">
        <v>743</v>
      </c>
      <c r="AO475" t="s">
        <v>998</v>
      </c>
      <c r="AP475" t="s">
        <v>160</v>
      </c>
      <c r="AQ475" t="s">
        <v>288</v>
      </c>
    </row>
    <row r="476" spans="1:43" hidden="1" x14ac:dyDescent="0.3">
      <c r="A476">
        <v>472</v>
      </c>
      <c r="B476" t="s">
        <v>991</v>
      </c>
      <c r="C476" t="s">
        <v>6</v>
      </c>
      <c r="L476">
        <v>8</v>
      </c>
      <c r="X476">
        <v>8</v>
      </c>
      <c r="AB476">
        <v>2</v>
      </c>
      <c r="AE476">
        <v>20</v>
      </c>
      <c r="AH476" t="s">
        <v>996</v>
      </c>
      <c r="AI476" t="s">
        <v>997</v>
      </c>
      <c r="AL476">
        <v>4</v>
      </c>
      <c r="AM476" t="s">
        <v>994</v>
      </c>
      <c r="AN476" t="s">
        <v>743</v>
      </c>
      <c r="AO476" t="s">
        <v>998</v>
      </c>
      <c r="AP476" t="s">
        <v>160</v>
      </c>
      <c r="AQ476" t="s">
        <v>288</v>
      </c>
    </row>
    <row r="477" spans="1:43" hidden="1" x14ac:dyDescent="0.3">
      <c r="A477">
        <v>473</v>
      </c>
      <c r="B477" t="s">
        <v>991</v>
      </c>
      <c r="C477" t="s">
        <v>6</v>
      </c>
      <c r="L477">
        <v>5</v>
      </c>
      <c r="X477">
        <v>8.5</v>
      </c>
      <c r="AB477">
        <v>2</v>
      </c>
      <c r="AE477">
        <v>20</v>
      </c>
      <c r="AH477" t="s">
        <v>996</v>
      </c>
      <c r="AI477" t="s">
        <v>997</v>
      </c>
      <c r="AL477">
        <v>1</v>
      </c>
      <c r="AM477" t="s">
        <v>994</v>
      </c>
      <c r="AN477" t="s">
        <v>743</v>
      </c>
      <c r="AO477" t="s">
        <v>998</v>
      </c>
      <c r="AP477" t="s">
        <v>160</v>
      </c>
      <c r="AQ477" t="s">
        <v>288</v>
      </c>
    </row>
    <row r="478" spans="1:43" hidden="1" x14ac:dyDescent="0.3">
      <c r="A478">
        <v>474</v>
      </c>
      <c r="B478" t="s">
        <v>991</v>
      </c>
      <c r="C478" t="s">
        <v>6</v>
      </c>
      <c r="L478">
        <v>7</v>
      </c>
      <c r="X478">
        <v>8.5</v>
      </c>
      <c r="AB478">
        <v>2</v>
      </c>
      <c r="AE478">
        <v>20</v>
      </c>
      <c r="AH478" t="s">
        <v>996</v>
      </c>
      <c r="AI478" t="s">
        <v>997</v>
      </c>
      <c r="AL478">
        <v>2</v>
      </c>
      <c r="AM478" t="s">
        <v>994</v>
      </c>
      <c r="AN478" t="s">
        <v>743</v>
      </c>
      <c r="AO478" t="s">
        <v>998</v>
      </c>
      <c r="AP478" t="s">
        <v>160</v>
      </c>
      <c r="AQ478" t="s">
        <v>288</v>
      </c>
    </row>
    <row r="479" spans="1:43" hidden="1" x14ac:dyDescent="0.3">
      <c r="A479">
        <v>475</v>
      </c>
      <c r="B479" t="s">
        <v>991</v>
      </c>
      <c r="C479" t="s">
        <v>6</v>
      </c>
      <c r="L479">
        <v>9</v>
      </c>
      <c r="X479">
        <v>8.5</v>
      </c>
      <c r="AB479">
        <v>2</v>
      </c>
      <c r="AE479">
        <v>20</v>
      </c>
      <c r="AH479" t="s">
        <v>996</v>
      </c>
      <c r="AI479" t="s">
        <v>997</v>
      </c>
      <c r="AL479">
        <v>3</v>
      </c>
      <c r="AM479" t="s">
        <v>994</v>
      </c>
      <c r="AN479" t="s">
        <v>743</v>
      </c>
      <c r="AO479" t="s">
        <v>998</v>
      </c>
      <c r="AP479" t="s">
        <v>160</v>
      </c>
      <c r="AQ479" t="s">
        <v>288</v>
      </c>
    </row>
    <row r="480" spans="1:43" hidden="1" x14ac:dyDescent="0.3">
      <c r="A480">
        <v>476</v>
      </c>
      <c r="B480" t="s">
        <v>991</v>
      </c>
      <c r="C480" t="s">
        <v>6</v>
      </c>
      <c r="L480">
        <v>11</v>
      </c>
      <c r="X480">
        <v>8.5</v>
      </c>
      <c r="AB480">
        <v>2</v>
      </c>
      <c r="AE480">
        <v>20</v>
      </c>
      <c r="AH480" t="s">
        <v>996</v>
      </c>
      <c r="AI480" t="s">
        <v>997</v>
      </c>
      <c r="AL480">
        <v>4</v>
      </c>
      <c r="AM480" t="s">
        <v>994</v>
      </c>
      <c r="AN480" t="s">
        <v>743</v>
      </c>
      <c r="AO480" t="s">
        <v>998</v>
      </c>
      <c r="AP480" t="s">
        <v>160</v>
      </c>
      <c r="AQ480" t="s">
        <v>288</v>
      </c>
    </row>
    <row r="481" spans="1:43" hidden="1" x14ac:dyDescent="0.3">
      <c r="A481">
        <v>477</v>
      </c>
      <c r="B481" t="s">
        <v>991</v>
      </c>
      <c r="C481" t="s">
        <v>6</v>
      </c>
      <c r="L481">
        <v>5</v>
      </c>
      <c r="X481">
        <v>9</v>
      </c>
      <c r="AB481">
        <v>2</v>
      </c>
      <c r="AE481">
        <v>20</v>
      </c>
      <c r="AH481" t="s">
        <v>996</v>
      </c>
      <c r="AI481" t="s">
        <v>997</v>
      </c>
      <c r="AL481">
        <v>1</v>
      </c>
      <c r="AM481" t="s">
        <v>994</v>
      </c>
      <c r="AN481" t="s">
        <v>743</v>
      </c>
      <c r="AO481" t="s">
        <v>998</v>
      </c>
      <c r="AP481" t="s">
        <v>160</v>
      </c>
      <c r="AQ481" t="s">
        <v>288</v>
      </c>
    </row>
    <row r="482" spans="1:43" hidden="1" x14ac:dyDescent="0.3">
      <c r="A482">
        <v>478</v>
      </c>
      <c r="B482" t="s">
        <v>991</v>
      </c>
      <c r="C482" t="s">
        <v>6</v>
      </c>
      <c r="L482">
        <v>8</v>
      </c>
      <c r="X482">
        <v>9</v>
      </c>
      <c r="AB482">
        <v>2</v>
      </c>
      <c r="AE482">
        <v>20</v>
      </c>
      <c r="AH482" t="s">
        <v>996</v>
      </c>
      <c r="AI482" t="s">
        <v>997</v>
      </c>
      <c r="AL482">
        <v>2</v>
      </c>
      <c r="AM482" t="s">
        <v>994</v>
      </c>
      <c r="AN482" t="s">
        <v>743</v>
      </c>
      <c r="AO482" t="s">
        <v>998</v>
      </c>
      <c r="AP482" t="s">
        <v>160</v>
      </c>
      <c r="AQ482" t="s">
        <v>288</v>
      </c>
    </row>
    <row r="483" spans="1:43" hidden="1" x14ac:dyDescent="0.3">
      <c r="A483">
        <v>479</v>
      </c>
      <c r="B483" t="s">
        <v>991</v>
      </c>
      <c r="C483" t="s">
        <v>6</v>
      </c>
      <c r="L483">
        <v>11</v>
      </c>
      <c r="X483">
        <v>9</v>
      </c>
      <c r="AB483">
        <v>2</v>
      </c>
      <c r="AE483">
        <v>20</v>
      </c>
      <c r="AH483" t="s">
        <v>996</v>
      </c>
      <c r="AI483" t="s">
        <v>997</v>
      </c>
      <c r="AL483">
        <v>3</v>
      </c>
      <c r="AM483" t="s">
        <v>994</v>
      </c>
      <c r="AN483" t="s">
        <v>743</v>
      </c>
      <c r="AO483" t="s">
        <v>998</v>
      </c>
      <c r="AP483" t="s">
        <v>160</v>
      </c>
      <c r="AQ483" t="s">
        <v>288</v>
      </c>
    </row>
    <row r="484" spans="1:43" hidden="1" x14ac:dyDescent="0.3">
      <c r="A484">
        <v>480</v>
      </c>
      <c r="B484" t="s">
        <v>991</v>
      </c>
      <c r="C484" t="s">
        <v>6</v>
      </c>
      <c r="L484">
        <v>13</v>
      </c>
      <c r="X484">
        <v>9</v>
      </c>
      <c r="AB484">
        <v>2</v>
      </c>
      <c r="AE484">
        <v>20</v>
      </c>
      <c r="AH484" t="s">
        <v>996</v>
      </c>
      <c r="AI484" t="s">
        <v>997</v>
      </c>
      <c r="AL484">
        <v>4</v>
      </c>
      <c r="AM484" t="s">
        <v>994</v>
      </c>
      <c r="AN484" t="s">
        <v>743</v>
      </c>
      <c r="AO484" t="s">
        <v>998</v>
      </c>
      <c r="AP484" t="s">
        <v>160</v>
      </c>
      <c r="AQ484" t="s">
        <v>288</v>
      </c>
    </row>
    <row r="485" spans="1:43" hidden="1" x14ac:dyDescent="0.3">
      <c r="A485">
        <v>481</v>
      </c>
      <c r="B485" t="s">
        <v>991</v>
      </c>
      <c r="C485" t="s">
        <v>6</v>
      </c>
      <c r="L485">
        <v>1</v>
      </c>
      <c r="X485">
        <v>7</v>
      </c>
      <c r="AB485">
        <v>2</v>
      </c>
      <c r="AE485">
        <v>25</v>
      </c>
      <c r="AH485" t="s">
        <v>996</v>
      </c>
      <c r="AI485" t="s">
        <v>997</v>
      </c>
      <c r="AL485">
        <v>1</v>
      </c>
      <c r="AM485" t="s">
        <v>994</v>
      </c>
      <c r="AN485" t="s">
        <v>743</v>
      </c>
      <c r="AO485" t="s">
        <v>998</v>
      </c>
      <c r="AP485" t="s">
        <v>160</v>
      </c>
      <c r="AQ485" t="s">
        <v>288</v>
      </c>
    </row>
    <row r="486" spans="1:43" hidden="1" x14ac:dyDescent="0.3">
      <c r="A486">
        <v>482</v>
      </c>
      <c r="B486" t="s">
        <v>991</v>
      </c>
      <c r="C486" t="s">
        <v>6</v>
      </c>
      <c r="L486">
        <v>2</v>
      </c>
      <c r="X486">
        <v>7</v>
      </c>
      <c r="AB486">
        <v>2</v>
      </c>
      <c r="AE486">
        <v>25</v>
      </c>
      <c r="AH486" t="s">
        <v>996</v>
      </c>
      <c r="AI486" t="s">
        <v>997</v>
      </c>
      <c r="AL486">
        <v>2</v>
      </c>
      <c r="AM486" t="s">
        <v>994</v>
      </c>
      <c r="AN486" t="s">
        <v>743</v>
      </c>
      <c r="AO486" t="s">
        <v>998</v>
      </c>
      <c r="AP486" t="s">
        <v>160</v>
      </c>
      <c r="AQ486" t="s">
        <v>288</v>
      </c>
    </row>
    <row r="487" spans="1:43" hidden="1" x14ac:dyDescent="0.3">
      <c r="A487">
        <v>483</v>
      </c>
      <c r="B487" t="s">
        <v>991</v>
      </c>
      <c r="C487" t="s">
        <v>6</v>
      </c>
      <c r="L487">
        <v>2</v>
      </c>
      <c r="X487">
        <v>7</v>
      </c>
      <c r="AB487">
        <v>2</v>
      </c>
      <c r="AE487">
        <v>25</v>
      </c>
      <c r="AH487" t="s">
        <v>996</v>
      </c>
      <c r="AI487" t="s">
        <v>997</v>
      </c>
      <c r="AL487">
        <v>3</v>
      </c>
      <c r="AM487" t="s">
        <v>994</v>
      </c>
      <c r="AN487" t="s">
        <v>743</v>
      </c>
      <c r="AO487" t="s">
        <v>998</v>
      </c>
      <c r="AP487" t="s">
        <v>160</v>
      </c>
      <c r="AQ487" t="s">
        <v>288</v>
      </c>
    </row>
    <row r="488" spans="1:43" hidden="1" x14ac:dyDescent="0.3">
      <c r="A488">
        <v>484</v>
      </c>
      <c r="B488" t="s">
        <v>991</v>
      </c>
      <c r="C488" t="s">
        <v>6</v>
      </c>
      <c r="L488">
        <v>2</v>
      </c>
      <c r="X488">
        <v>7</v>
      </c>
      <c r="AB488">
        <v>2</v>
      </c>
      <c r="AE488">
        <v>25</v>
      </c>
      <c r="AH488" t="s">
        <v>996</v>
      </c>
      <c r="AI488" t="s">
        <v>997</v>
      </c>
      <c r="AL488">
        <v>4</v>
      </c>
      <c r="AM488" t="s">
        <v>994</v>
      </c>
      <c r="AN488" t="s">
        <v>743</v>
      </c>
      <c r="AO488" t="s">
        <v>998</v>
      </c>
      <c r="AP488" t="s">
        <v>160</v>
      </c>
      <c r="AQ488" t="s">
        <v>288</v>
      </c>
    </row>
    <row r="489" spans="1:43" hidden="1" x14ac:dyDescent="0.3">
      <c r="A489">
        <v>485</v>
      </c>
      <c r="B489" t="s">
        <v>991</v>
      </c>
      <c r="C489" t="s">
        <v>6</v>
      </c>
      <c r="L489">
        <v>2</v>
      </c>
      <c r="X489">
        <v>7.5</v>
      </c>
      <c r="AB489">
        <v>2</v>
      </c>
      <c r="AE489">
        <v>25</v>
      </c>
      <c r="AH489" t="s">
        <v>996</v>
      </c>
      <c r="AI489" t="s">
        <v>997</v>
      </c>
      <c r="AL489">
        <v>1</v>
      </c>
      <c r="AM489" t="s">
        <v>994</v>
      </c>
      <c r="AN489" t="s">
        <v>743</v>
      </c>
      <c r="AO489" t="s">
        <v>998</v>
      </c>
      <c r="AP489" t="s">
        <v>160</v>
      </c>
      <c r="AQ489" t="s">
        <v>288</v>
      </c>
    </row>
    <row r="490" spans="1:43" hidden="1" x14ac:dyDescent="0.3">
      <c r="A490">
        <v>486</v>
      </c>
      <c r="B490" t="s">
        <v>991</v>
      </c>
      <c r="C490" t="s">
        <v>6</v>
      </c>
      <c r="L490">
        <v>3</v>
      </c>
      <c r="X490">
        <v>7.5</v>
      </c>
      <c r="AB490">
        <v>2</v>
      </c>
      <c r="AE490">
        <v>25</v>
      </c>
      <c r="AH490" t="s">
        <v>996</v>
      </c>
      <c r="AI490" t="s">
        <v>997</v>
      </c>
      <c r="AL490">
        <v>2</v>
      </c>
      <c r="AM490" t="s">
        <v>994</v>
      </c>
      <c r="AN490" t="s">
        <v>743</v>
      </c>
      <c r="AO490" t="s">
        <v>998</v>
      </c>
      <c r="AP490" t="s">
        <v>160</v>
      </c>
      <c r="AQ490" t="s">
        <v>288</v>
      </c>
    </row>
    <row r="491" spans="1:43" hidden="1" x14ac:dyDescent="0.3">
      <c r="A491">
        <v>487</v>
      </c>
      <c r="B491" t="s">
        <v>991</v>
      </c>
      <c r="C491" t="s">
        <v>6</v>
      </c>
      <c r="L491">
        <v>4</v>
      </c>
      <c r="X491">
        <v>7.5</v>
      </c>
      <c r="AB491">
        <v>2</v>
      </c>
      <c r="AE491">
        <v>25</v>
      </c>
      <c r="AH491" t="s">
        <v>996</v>
      </c>
      <c r="AI491" t="s">
        <v>997</v>
      </c>
      <c r="AL491">
        <v>3</v>
      </c>
      <c r="AM491" t="s">
        <v>994</v>
      </c>
      <c r="AN491" t="s">
        <v>743</v>
      </c>
      <c r="AO491" t="s">
        <v>998</v>
      </c>
      <c r="AP491" t="s">
        <v>160</v>
      </c>
      <c r="AQ491" t="s">
        <v>288</v>
      </c>
    </row>
    <row r="492" spans="1:43" hidden="1" x14ac:dyDescent="0.3">
      <c r="A492">
        <v>488</v>
      </c>
      <c r="B492" t="s">
        <v>991</v>
      </c>
      <c r="C492" t="s">
        <v>6</v>
      </c>
      <c r="L492">
        <v>4</v>
      </c>
      <c r="X492">
        <v>7.5</v>
      </c>
      <c r="AB492">
        <v>2</v>
      </c>
      <c r="AE492">
        <v>25</v>
      </c>
      <c r="AH492" t="s">
        <v>996</v>
      </c>
      <c r="AI492" t="s">
        <v>997</v>
      </c>
      <c r="AL492">
        <v>4</v>
      </c>
      <c r="AM492" t="s">
        <v>994</v>
      </c>
      <c r="AN492" t="s">
        <v>743</v>
      </c>
      <c r="AO492" t="s">
        <v>998</v>
      </c>
      <c r="AP492" t="s">
        <v>160</v>
      </c>
      <c r="AQ492" t="s">
        <v>288</v>
      </c>
    </row>
    <row r="493" spans="1:43" hidden="1" x14ac:dyDescent="0.3">
      <c r="A493">
        <v>489</v>
      </c>
      <c r="B493" t="s">
        <v>991</v>
      </c>
      <c r="C493" t="s">
        <v>6</v>
      </c>
      <c r="L493">
        <v>3</v>
      </c>
      <c r="X493">
        <v>8</v>
      </c>
      <c r="AB493">
        <v>2</v>
      </c>
      <c r="AE493">
        <v>25</v>
      </c>
      <c r="AH493" t="s">
        <v>996</v>
      </c>
      <c r="AI493" t="s">
        <v>997</v>
      </c>
      <c r="AL493">
        <v>1</v>
      </c>
      <c r="AM493" t="s">
        <v>994</v>
      </c>
      <c r="AN493" t="s">
        <v>743</v>
      </c>
      <c r="AO493" t="s">
        <v>998</v>
      </c>
      <c r="AP493" t="s">
        <v>160</v>
      </c>
      <c r="AQ493" t="s">
        <v>288</v>
      </c>
    </row>
    <row r="494" spans="1:43" hidden="1" x14ac:dyDescent="0.3">
      <c r="A494">
        <v>490</v>
      </c>
      <c r="B494" t="s">
        <v>991</v>
      </c>
      <c r="C494" t="s">
        <v>6</v>
      </c>
      <c r="L494">
        <v>4</v>
      </c>
      <c r="X494">
        <v>8</v>
      </c>
      <c r="AB494">
        <v>2</v>
      </c>
      <c r="AE494">
        <v>25</v>
      </c>
      <c r="AH494" t="s">
        <v>996</v>
      </c>
      <c r="AI494" t="s">
        <v>997</v>
      </c>
      <c r="AL494">
        <v>2</v>
      </c>
      <c r="AM494" t="s">
        <v>994</v>
      </c>
      <c r="AN494" t="s">
        <v>743</v>
      </c>
      <c r="AO494" t="s">
        <v>998</v>
      </c>
      <c r="AP494" t="s">
        <v>160</v>
      </c>
      <c r="AQ494" t="s">
        <v>288</v>
      </c>
    </row>
    <row r="495" spans="1:43" hidden="1" x14ac:dyDescent="0.3">
      <c r="A495">
        <v>491</v>
      </c>
      <c r="B495" t="s">
        <v>991</v>
      </c>
      <c r="C495" t="s">
        <v>6</v>
      </c>
      <c r="L495">
        <v>5</v>
      </c>
      <c r="X495">
        <v>8</v>
      </c>
      <c r="AB495">
        <v>2</v>
      </c>
      <c r="AE495">
        <v>25</v>
      </c>
      <c r="AH495" t="s">
        <v>996</v>
      </c>
      <c r="AI495" t="s">
        <v>997</v>
      </c>
      <c r="AL495">
        <v>3</v>
      </c>
      <c r="AM495" t="s">
        <v>994</v>
      </c>
      <c r="AN495" t="s">
        <v>743</v>
      </c>
      <c r="AO495" t="s">
        <v>998</v>
      </c>
      <c r="AP495" t="s">
        <v>160</v>
      </c>
      <c r="AQ495" t="s">
        <v>288</v>
      </c>
    </row>
    <row r="496" spans="1:43" hidden="1" x14ac:dyDescent="0.3">
      <c r="A496">
        <v>492</v>
      </c>
      <c r="B496" t="s">
        <v>991</v>
      </c>
      <c r="C496" t="s">
        <v>6</v>
      </c>
      <c r="L496">
        <v>6</v>
      </c>
      <c r="X496">
        <v>8</v>
      </c>
      <c r="AB496">
        <v>2</v>
      </c>
      <c r="AE496">
        <v>25</v>
      </c>
      <c r="AH496" t="s">
        <v>996</v>
      </c>
      <c r="AI496" t="s">
        <v>997</v>
      </c>
      <c r="AL496">
        <v>4</v>
      </c>
      <c r="AM496" t="s">
        <v>994</v>
      </c>
      <c r="AN496" t="s">
        <v>743</v>
      </c>
      <c r="AO496" t="s">
        <v>998</v>
      </c>
      <c r="AP496" t="s">
        <v>160</v>
      </c>
      <c r="AQ496" t="s">
        <v>288</v>
      </c>
    </row>
    <row r="497" spans="1:43" hidden="1" x14ac:dyDescent="0.3">
      <c r="A497">
        <v>493</v>
      </c>
      <c r="B497" t="s">
        <v>991</v>
      </c>
      <c r="C497" t="s">
        <v>6</v>
      </c>
      <c r="L497">
        <v>4</v>
      </c>
      <c r="X497">
        <v>8.5</v>
      </c>
      <c r="AB497">
        <v>2</v>
      </c>
      <c r="AE497">
        <v>25</v>
      </c>
      <c r="AH497" t="s">
        <v>996</v>
      </c>
      <c r="AI497" t="s">
        <v>997</v>
      </c>
      <c r="AL497">
        <v>1</v>
      </c>
      <c r="AM497" t="s">
        <v>994</v>
      </c>
      <c r="AN497" t="s">
        <v>743</v>
      </c>
      <c r="AO497" t="s">
        <v>998</v>
      </c>
      <c r="AP497" t="s">
        <v>160</v>
      </c>
      <c r="AQ497" t="s">
        <v>288</v>
      </c>
    </row>
    <row r="498" spans="1:43" hidden="1" x14ac:dyDescent="0.3">
      <c r="A498">
        <v>494</v>
      </c>
      <c r="B498" t="s">
        <v>991</v>
      </c>
      <c r="C498" t="s">
        <v>6</v>
      </c>
      <c r="L498">
        <v>5</v>
      </c>
      <c r="X498">
        <v>8.5</v>
      </c>
      <c r="AB498">
        <v>2</v>
      </c>
      <c r="AE498">
        <v>25</v>
      </c>
      <c r="AH498" t="s">
        <v>996</v>
      </c>
      <c r="AI498" t="s">
        <v>997</v>
      </c>
      <c r="AL498">
        <v>2</v>
      </c>
      <c r="AM498" t="s">
        <v>994</v>
      </c>
      <c r="AN498" t="s">
        <v>743</v>
      </c>
      <c r="AO498" t="s">
        <v>998</v>
      </c>
      <c r="AP498" t="s">
        <v>160</v>
      </c>
      <c r="AQ498" t="s">
        <v>288</v>
      </c>
    </row>
    <row r="499" spans="1:43" hidden="1" x14ac:dyDescent="0.3">
      <c r="A499">
        <v>495</v>
      </c>
      <c r="B499" t="s">
        <v>991</v>
      </c>
      <c r="C499" t="s">
        <v>6</v>
      </c>
      <c r="L499">
        <v>7</v>
      </c>
      <c r="X499">
        <v>8.5</v>
      </c>
      <c r="AB499">
        <v>2</v>
      </c>
      <c r="AE499">
        <v>25</v>
      </c>
      <c r="AH499" t="s">
        <v>996</v>
      </c>
      <c r="AI499" t="s">
        <v>997</v>
      </c>
      <c r="AL499">
        <v>3</v>
      </c>
      <c r="AM499" t="s">
        <v>994</v>
      </c>
      <c r="AN499" t="s">
        <v>743</v>
      </c>
      <c r="AO499" t="s">
        <v>998</v>
      </c>
      <c r="AP499" t="s">
        <v>160</v>
      </c>
      <c r="AQ499" t="s">
        <v>288</v>
      </c>
    </row>
    <row r="500" spans="1:43" hidden="1" x14ac:dyDescent="0.3">
      <c r="A500">
        <v>496</v>
      </c>
      <c r="B500" t="s">
        <v>991</v>
      </c>
      <c r="C500" t="s">
        <v>6</v>
      </c>
      <c r="L500">
        <v>8</v>
      </c>
      <c r="X500">
        <v>8.5</v>
      </c>
      <c r="AB500">
        <v>2</v>
      </c>
      <c r="AE500">
        <v>25</v>
      </c>
      <c r="AH500" t="s">
        <v>996</v>
      </c>
      <c r="AI500" t="s">
        <v>997</v>
      </c>
      <c r="AL500">
        <v>4</v>
      </c>
      <c r="AM500" t="s">
        <v>994</v>
      </c>
      <c r="AN500" t="s">
        <v>743</v>
      </c>
      <c r="AO500" t="s">
        <v>998</v>
      </c>
      <c r="AP500" t="s">
        <v>160</v>
      </c>
      <c r="AQ500" t="s">
        <v>288</v>
      </c>
    </row>
    <row r="501" spans="1:43" hidden="1" x14ac:dyDescent="0.3">
      <c r="A501">
        <v>497</v>
      </c>
      <c r="B501" t="s">
        <v>991</v>
      </c>
      <c r="C501" t="s">
        <v>6</v>
      </c>
      <c r="L501">
        <v>4</v>
      </c>
      <c r="X501">
        <v>9</v>
      </c>
      <c r="AB501">
        <v>2</v>
      </c>
      <c r="AE501">
        <v>25</v>
      </c>
      <c r="AH501" t="s">
        <v>996</v>
      </c>
      <c r="AI501" t="s">
        <v>997</v>
      </c>
      <c r="AL501">
        <v>1</v>
      </c>
      <c r="AM501" t="s">
        <v>994</v>
      </c>
      <c r="AN501" t="s">
        <v>743</v>
      </c>
      <c r="AO501" t="s">
        <v>998</v>
      </c>
      <c r="AP501" t="s">
        <v>160</v>
      </c>
      <c r="AQ501" t="s">
        <v>288</v>
      </c>
    </row>
    <row r="502" spans="1:43" hidden="1" x14ac:dyDescent="0.3">
      <c r="A502">
        <v>498</v>
      </c>
      <c r="B502" t="s">
        <v>991</v>
      </c>
      <c r="C502" t="s">
        <v>6</v>
      </c>
      <c r="L502">
        <v>6</v>
      </c>
      <c r="X502">
        <v>9</v>
      </c>
      <c r="AB502">
        <v>2</v>
      </c>
      <c r="AE502">
        <v>25</v>
      </c>
      <c r="AH502" t="s">
        <v>996</v>
      </c>
      <c r="AI502" t="s">
        <v>997</v>
      </c>
      <c r="AL502">
        <v>2</v>
      </c>
      <c r="AM502" t="s">
        <v>994</v>
      </c>
      <c r="AN502" t="s">
        <v>743</v>
      </c>
      <c r="AO502" t="s">
        <v>998</v>
      </c>
      <c r="AP502" t="s">
        <v>160</v>
      </c>
      <c r="AQ502" t="s">
        <v>288</v>
      </c>
    </row>
    <row r="503" spans="1:43" hidden="1" x14ac:dyDescent="0.3">
      <c r="A503">
        <v>499</v>
      </c>
      <c r="B503" t="s">
        <v>991</v>
      </c>
      <c r="C503" t="s">
        <v>6</v>
      </c>
      <c r="L503">
        <v>8</v>
      </c>
      <c r="X503">
        <v>9</v>
      </c>
      <c r="AB503">
        <v>2</v>
      </c>
      <c r="AE503">
        <v>25</v>
      </c>
      <c r="AH503" t="s">
        <v>996</v>
      </c>
      <c r="AI503" t="s">
        <v>997</v>
      </c>
      <c r="AL503">
        <v>3</v>
      </c>
      <c r="AM503" t="s">
        <v>994</v>
      </c>
      <c r="AN503" t="s">
        <v>743</v>
      </c>
      <c r="AO503" t="s">
        <v>998</v>
      </c>
      <c r="AP503" t="s">
        <v>160</v>
      </c>
      <c r="AQ503" t="s">
        <v>288</v>
      </c>
    </row>
    <row r="504" spans="1:43" hidden="1" x14ac:dyDescent="0.3">
      <c r="A504">
        <v>500</v>
      </c>
      <c r="B504" t="s">
        <v>991</v>
      </c>
      <c r="C504" t="s">
        <v>6</v>
      </c>
      <c r="L504">
        <v>10</v>
      </c>
      <c r="X504">
        <v>9</v>
      </c>
      <c r="AB504">
        <v>2</v>
      </c>
      <c r="AE504">
        <v>25</v>
      </c>
      <c r="AH504" t="s">
        <v>996</v>
      </c>
      <c r="AI504" t="s">
        <v>997</v>
      </c>
      <c r="AL504">
        <v>4</v>
      </c>
      <c r="AM504" t="s">
        <v>994</v>
      </c>
      <c r="AN504" t="s">
        <v>743</v>
      </c>
      <c r="AO504" t="s">
        <v>998</v>
      </c>
      <c r="AP504" t="s">
        <v>160</v>
      </c>
      <c r="AQ504" t="s">
        <v>288</v>
      </c>
    </row>
    <row r="505" spans="1:43" hidden="1" x14ac:dyDescent="0.3">
      <c r="A505">
        <v>501</v>
      </c>
      <c r="B505" t="s">
        <v>991</v>
      </c>
      <c r="C505" t="s">
        <v>6</v>
      </c>
      <c r="L505">
        <v>4</v>
      </c>
      <c r="X505">
        <v>7</v>
      </c>
      <c r="AB505">
        <v>5</v>
      </c>
      <c r="AE505">
        <v>5</v>
      </c>
      <c r="AH505" t="s">
        <v>996</v>
      </c>
      <c r="AI505" t="s">
        <v>997</v>
      </c>
      <c r="AL505">
        <v>1</v>
      </c>
      <c r="AM505" t="s">
        <v>994</v>
      </c>
      <c r="AN505" t="s">
        <v>743</v>
      </c>
      <c r="AO505" t="s">
        <v>998</v>
      </c>
      <c r="AP505" t="s">
        <v>160</v>
      </c>
      <c r="AQ505" t="s">
        <v>288</v>
      </c>
    </row>
    <row r="506" spans="1:43" hidden="1" x14ac:dyDescent="0.3">
      <c r="A506">
        <v>502</v>
      </c>
      <c r="B506" t="s">
        <v>991</v>
      </c>
      <c r="C506" t="s">
        <v>6</v>
      </c>
      <c r="L506">
        <v>6</v>
      </c>
      <c r="X506">
        <v>7</v>
      </c>
      <c r="AB506">
        <v>5</v>
      </c>
      <c r="AE506">
        <v>5</v>
      </c>
      <c r="AH506" t="s">
        <v>996</v>
      </c>
      <c r="AI506" t="s">
        <v>997</v>
      </c>
      <c r="AL506">
        <v>2</v>
      </c>
      <c r="AM506" t="s">
        <v>994</v>
      </c>
      <c r="AN506" t="s">
        <v>743</v>
      </c>
      <c r="AO506" t="s">
        <v>998</v>
      </c>
      <c r="AP506" t="s">
        <v>160</v>
      </c>
      <c r="AQ506" t="s">
        <v>288</v>
      </c>
    </row>
    <row r="507" spans="1:43" hidden="1" x14ac:dyDescent="0.3">
      <c r="A507">
        <v>503</v>
      </c>
      <c r="B507" t="s">
        <v>991</v>
      </c>
      <c r="C507" t="s">
        <v>6</v>
      </c>
      <c r="L507">
        <v>7</v>
      </c>
      <c r="X507">
        <v>7</v>
      </c>
      <c r="AB507">
        <v>5</v>
      </c>
      <c r="AE507">
        <v>5</v>
      </c>
      <c r="AH507" t="s">
        <v>996</v>
      </c>
      <c r="AI507" t="s">
        <v>997</v>
      </c>
      <c r="AL507">
        <v>3</v>
      </c>
      <c r="AM507" t="s">
        <v>994</v>
      </c>
      <c r="AN507" t="s">
        <v>743</v>
      </c>
      <c r="AO507" t="s">
        <v>998</v>
      </c>
      <c r="AP507" t="s">
        <v>160</v>
      </c>
      <c r="AQ507" t="s">
        <v>288</v>
      </c>
    </row>
    <row r="508" spans="1:43" hidden="1" x14ac:dyDescent="0.3">
      <c r="A508">
        <v>504</v>
      </c>
      <c r="B508" t="s">
        <v>991</v>
      </c>
      <c r="C508" t="s">
        <v>6</v>
      </c>
      <c r="L508">
        <v>9</v>
      </c>
      <c r="X508">
        <v>7</v>
      </c>
      <c r="AB508">
        <v>5</v>
      </c>
      <c r="AE508">
        <v>5</v>
      </c>
      <c r="AH508" t="s">
        <v>996</v>
      </c>
      <c r="AI508" t="s">
        <v>997</v>
      </c>
      <c r="AL508">
        <v>4</v>
      </c>
      <c r="AM508" t="s">
        <v>994</v>
      </c>
      <c r="AN508" t="s">
        <v>743</v>
      </c>
      <c r="AO508" t="s">
        <v>998</v>
      </c>
      <c r="AP508" t="s">
        <v>160</v>
      </c>
      <c r="AQ508" t="s">
        <v>288</v>
      </c>
    </row>
    <row r="509" spans="1:43" hidden="1" x14ac:dyDescent="0.3">
      <c r="A509">
        <v>505</v>
      </c>
      <c r="B509" t="s">
        <v>991</v>
      </c>
      <c r="C509" t="s">
        <v>6</v>
      </c>
      <c r="L509">
        <v>8</v>
      </c>
      <c r="X509">
        <v>7.5</v>
      </c>
      <c r="AB509">
        <v>5</v>
      </c>
      <c r="AE509">
        <v>5</v>
      </c>
      <c r="AH509" t="s">
        <v>996</v>
      </c>
      <c r="AI509" t="s">
        <v>997</v>
      </c>
      <c r="AL509">
        <v>1</v>
      </c>
      <c r="AM509" t="s">
        <v>994</v>
      </c>
      <c r="AN509" t="s">
        <v>743</v>
      </c>
      <c r="AO509" t="s">
        <v>998</v>
      </c>
      <c r="AP509" t="s">
        <v>160</v>
      </c>
      <c r="AQ509" t="s">
        <v>288</v>
      </c>
    </row>
    <row r="510" spans="1:43" hidden="1" x14ac:dyDescent="0.3">
      <c r="A510">
        <v>506</v>
      </c>
      <c r="B510" t="s">
        <v>991</v>
      </c>
      <c r="C510" t="s">
        <v>6</v>
      </c>
      <c r="L510">
        <v>13</v>
      </c>
      <c r="X510">
        <v>7.5</v>
      </c>
      <c r="AB510">
        <v>5</v>
      </c>
      <c r="AE510">
        <v>5</v>
      </c>
      <c r="AH510" t="s">
        <v>996</v>
      </c>
      <c r="AI510" t="s">
        <v>997</v>
      </c>
      <c r="AL510">
        <v>2</v>
      </c>
      <c r="AM510" t="s">
        <v>994</v>
      </c>
      <c r="AN510" t="s">
        <v>743</v>
      </c>
      <c r="AO510" t="s">
        <v>998</v>
      </c>
      <c r="AP510" t="s">
        <v>160</v>
      </c>
      <c r="AQ510" t="s">
        <v>288</v>
      </c>
    </row>
    <row r="511" spans="1:43" hidden="1" x14ac:dyDescent="0.3">
      <c r="A511">
        <v>507</v>
      </c>
      <c r="B511" t="s">
        <v>991</v>
      </c>
      <c r="C511" t="s">
        <v>6</v>
      </c>
      <c r="L511">
        <v>16</v>
      </c>
      <c r="X511">
        <v>7.5</v>
      </c>
      <c r="AB511">
        <v>5</v>
      </c>
      <c r="AE511">
        <v>5</v>
      </c>
      <c r="AH511" t="s">
        <v>996</v>
      </c>
      <c r="AI511" t="s">
        <v>997</v>
      </c>
      <c r="AL511">
        <v>3</v>
      </c>
      <c r="AM511" t="s">
        <v>994</v>
      </c>
      <c r="AN511" t="s">
        <v>743</v>
      </c>
      <c r="AO511" t="s">
        <v>998</v>
      </c>
      <c r="AP511" t="s">
        <v>160</v>
      </c>
      <c r="AQ511" t="s">
        <v>288</v>
      </c>
    </row>
    <row r="512" spans="1:43" hidden="1" x14ac:dyDescent="0.3">
      <c r="A512">
        <v>508</v>
      </c>
      <c r="B512" t="s">
        <v>991</v>
      </c>
      <c r="C512" t="s">
        <v>6</v>
      </c>
      <c r="L512">
        <v>21</v>
      </c>
      <c r="X512">
        <v>7.5</v>
      </c>
      <c r="AB512">
        <v>5</v>
      </c>
      <c r="AE512">
        <v>5</v>
      </c>
      <c r="AH512" t="s">
        <v>996</v>
      </c>
      <c r="AI512" t="s">
        <v>997</v>
      </c>
      <c r="AL512">
        <v>4</v>
      </c>
      <c r="AM512" t="s">
        <v>994</v>
      </c>
      <c r="AN512" t="s">
        <v>743</v>
      </c>
      <c r="AO512" t="s">
        <v>998</v>
      </c>
      <c r="AP512" t="s">
        <v>160</v>
      </c>
      <c r="AQ512" t="s">
        <v>288</v>
      </c>
    </row>
    <row r="513" spans="1:43" hidden="1" x14ac:dyDescent="0.3">
      <c r="A513">
        <v>509</v>
      </c>
      <c r="B513" t="s">
        <v>991</v>
      </c>
      <c r="C513" t="s">
        <v>6</v>
      </c>
      <c r="L513">
        <v>12</v>
      </c>
      <c r="X513">
        <v>8</v>
      </c>
      <c r="AB513">
        <v>5</v>
      </c>
      <c r="AE513">
        <v>5</v>
      </c>
      <c r="AH513" t="s">
        <v>996</v>
      </c>
      <c r="AI513" t="s">
        <v>997</v>
      </c>
      <c r="AL513">
        <v>1</v>
      </c>
      <c r="AM513" t="s">
        <v>994</v>
      </c>
      <c r="AN513" t="s">
        <v>743</v>
      </c>
      <c r="AO513" t="s">
        <v>998</v>
      </c>
      <c r="AP513" t="s">
        <v>160</v>
      </c>
      <c r="AQ513" t="s">
        <v>288</v>
      </c>
    </row>
    <row r="514" spans="1:43" hidden="1" x14ac:dyDescent="0.3">
      <c r="A514">
        <v>510</v>
      </c>
      <c r="B514" t="s">
        <v>991</v>
      </c>
      <c r="C514" t="s">
        <v>6</v>
      </c>
      <c r="L514">
        <v>19</v>
      </c>
      <c r="X514">
        <v>8</v>
      </c>
      <c r="AB514">
        <v>5</v>
      </c>
      <c r="AE514">
        <v>5</v>
      </c>
      <c r="AH514" t="s">
        <v>996</v>
      </c>
      <c r="AI514" t="s">
        <v>997</v>
      </c>
      <c r="AL514">
        <v>2</v>
      </c>
      <c r="AM514" t="s">
        <v>994</v>
      </c>
      <c r="AN514" t="s">
        <v>743</v>
      </c>
      <c r="AO514" t="s">
        <v>998</v>
      </c>
      <c r="AP514" t="s">
        <v>160</v>
      </c>
      <c r="AQ514" t="s">
        <v>288</v>
      </c>
    </row>
    <row r="515" spans="1:43" hidden="1" x14ac:dyDescent="0.3">
      <c r="A515">
        <v>511</v>
      </c>
      <c r="B515" t="s">
        <v>991</v>
      </c>
      <c r="C515" t="s">
        <v>6</v>
      </c>
      <c r="L515">
        <v>25</v>
      </c>
      <c r="X515">
        <v>8</v>
      </c>
      <c r="AB515">
        <v>5</v>
      </c>
      <c r="AE515">
        <v>5</v>
      </c>
      <c r="AH515" t="s">
        <v>996</v>
      </c>
      <c r="AI515" t="s">
        <v>997</v>
      </c>
      <c r="AL515">
        <v>3</v>
      </c>
      <c r="AM515" t="s">
        <v>994</v>
      </c>
      <c r="AN515" t="s">
        <v>743</v>
      </c>
      <c r="AO515" t="s">
        <v>998</v>
      </c>
      <c r="AP515" t="s">
        <v>160</v>
      </c>
      <c r="AQ515" t="s">
        <v>288</v>
      </c>
    </row>
    <row r="516" spans="1:43" hidden="1" x14ac:dyDescent="0.3">
      <c r="A516">
        <v>512</v>
      </c>
      <c r="B516" t="s">
        <v>991</v>
      </c>
      <c r="C516" t="s">
        <v>6</v>
      </c>
      <c r="L516">
        <v>32</v>
      </c>
      <c r="X516">
        <v>8</v>
      </c>
      <c r="AB516">
        <v>5</v>
      </c>
      <c r="AE516">
        <v>5</v>
      </c>
      <c r="AH516" t="s">
        <v>996</v>
      </c>
      <c r="AI516" t="s">
        <v>997</v>
      </c>
      <c r="AL516">
        <v>4</v>
      </c>
      <c r="AM516" t="s">
        <v>994</v>
      </c>
      <c r="AN516" t="s">
        <v>743</v>
      </c>
      <c r="AO516" t="s">
        <v>998</v>
      </c>
      <c r="AP516" t="s">
        <v>160</v>
      </c>
      <c r="AQ516" t="s">
        <v>288</v>
      </c>
    </row>
    <row r="517" spans="1:43" hidden="1" x14ac:dyDescent="0.3">
      <c r="A517">
        <v>513</v>
      </c>
      <c r="B517" t="s">
        <v>991</v>
      </c>
      <c r="C517" t="s">
        <v>6</v>
      </c>
      <c r="L517">
        <v>14</v>
      </c>
      <c r="X517">
        <v>8.5</v>
      </c>
      <c r="AB517">
        <v>5</v>
      </c>
      <c r="AE517">
        <v>5</v>
      </c>
      <c r="AH517" t="s">
        <v>996</v>
      </c>
      <c r="AI517" t="s">
        <v>997</v>
      </c>
      <c r="AL517">
        <v>1</v>
      </c>
      <c r="AM517" t="s">
        <v>994</v>
      </c>
      <c r="AN517" t="s">
        <v>743</v>
      </c>
      <c r="AO517" t="s">
        <v>998</v>
      </c>
      <c r="AP517" t="s">
        <v>160</v>
      </c>
      <c r="AQ517" t="s">
        <v>288</v>
      </c>
    </row>
    <row r="518" spans="1:43" hidden="1" x14ac:dyDescent="0.3">
      <c r="A518">
        <v>514</v>
      </c>
      <c r="B518" t="s">
        <v>991</v>
      </c>
      <c r="C518" t="s">
        <v>6</v>
      </c>
      <c r="L518">
        <v>21</v>
      </c>
      <c r="X518">
        <v>8.5</v>
      </c>
      <c r="AB518">
        <v>5</v>
      </c>
      <c r="AE518">
        <v>5</v>
      </c>
      <c r="AH518" t="s">
        <v>996</v>
      </c>
      <c r="AI518" t="s">
        <v>997</v>
      </c>
      <c r="AL518">
        <v>2</v>
      </c>
      <c r="AM518" t="s">
        <v>994</v>
      </c>
      <c r="AN518" t="s">
        <v>743</v>
      </c>
      <c r="AO518" t="s">
        <v>998</v>
      </c>
      <c r="AP518" t="s">
        <v>160</v>
      </c>
      <c r="AQ518" t="s">
        <v>288</v>
      </c>
    </row>
    <row r="519" spans="1:43" hidden="1" x14ac:dyDescent="0.3">
      <c r="A519">
        <v>515</v>
      </c>
      <c r="B519" t="s">
        <v>991</v>
      </c>
      <c r="C519" t="s">
        <v>6</v>
      </c>
      <c r="L519">
        <v>29</v>
      </c>
      <c r="X519">
        <v>8.5</v>
      </c>
      <c r="AB519">
        <v>5</v>
      </c>
      <c r="AE519">
        <v>5</v>
      </c>
      <c r="AH519" t="s">
        <v>996</v>
      </c>
      <c r="AI519" t="s">
        <v>997</v>
      </c>
      <c r="AL519">
        <v>3</v>
      </c>
      <c r="AM519" t="s">
        <v>994</v>
      </c>
      <c r="AN519" t="s">
        <v>743</v>
      </c>
      <c r="AO519" t="s">
        <v>998</v>
      </c>
      <c r="AP519" t="s">
        <v>160</v>
      </c>
      <c r="AQ519" t="s">
        <v>288</v>
      </c>
    </row>
    <row r="520" spans="1:43" hidden="1" x14ac:dyDescent="0.3">
      <c r="A520">
        <v>516</v>
      </c>
      <c r="B520" t="s">
        <v>991</v>
      </c>
      <c r="C520" t="s">
        <v>6</v>
      </c>
      <c r="L520">
        <v>37</v>
      </c>
      <c r="X520">
        <v>8.5</v>
      </c>
      <c r="AB520">
        <v>5</v>
      </c>
      <c r="AE520">
        <v>5</v>
      </c>
      <c r="AH520" t="s">
        <v>996</v>
      </c>
      <c r="AI520" t="s">
        <v>997</v>
      </c>
      <c r="AL520">
        <v>4</v>
      </c>
      <c r="AM520" t="s">
        <v>994</v>
      </c>
      <c r="AN520" t="s">
        <v>743</v>
      </c>
      <c r="AO520" t="s">
        <v>998</v>
      </c>
      <c r="AP520" t="s">
        <v>160</v>
      </c>
      <c r="AQ520" t="s">
        <v>288</v>
      </c>
    </row>
    <row r="521" spans="1:43" hidden="1" x14ac:dyDescent="0.3">
      <c r="A521">
        <v>517</v>
      </c>
      <c r="B521" t="s">
        <v>991</v>
      </c>
      <c r="C521" t="s">
        <v>6</v>
      </c>
      <c r="L521">
        <v>15</v>
      </c>
      <c r="X521">
        <v>9</v>
      </c>
      <c r="AB521">
        <v>5</v>
      </c>
      <c r="AE521">
        <v>5</v>
      </c>
      <c r="AH521" t="s">
        <v>996</v>
      </c>
      <c r="AI521" t="s">
        <v>997</v>
      </c>
      <c r="AL521">
        <v>1</v>
      </c>
      <c r="AM521" t="s">
        <v>994</v>
      </c>
      <c r="AN521" t="s">
        <v>743</v>
      </c>
      <c r="AO521" t="s">
        <v>998</v>
      </c>
      <c r="AP521" t="s">
        <v>160</v>
      </c>
      <c r="AQ521" t="s">
        <v>288</v>
      </c>
    </row>
    <row r="522" spans="1:43" hidden="1" x14ac:dyDescent="0.3">
      <c r="A522">
        <v>518</v>
      </c>
      <c r="B522" t="s">
        <v>991</v>
      </c>
      <c r="C522" t="s">
        <v>6</v>
      </c>
      <c r="L522">
        <v>23</v>
      </c>
      <c r="X522">
        <v>9</v>
      </c>
      <c r="AB522">
        <v>5</v>
      </c>
      <c r="AE522">
        <v>5</v>
      </c>
      <c r="AH522" t="s">
        <v>996</v>
      </c>
      <c r="AI522" t="s">
        <v>997</v>
      </c>
      <c r="AL522">
        <v>2</v>
      </c>
      <c r="AM522" t="s">
        <v>994</v>
      </c>
      <c r="AN522" t="s">
        <v>743</v>
      </c>
      <c r="AO522" t="s">
        <v>998</v>
      </c>
      <c r="AP522" t="s">
        <v>160</v>
      </c>
      <c r="AQ522" t="s">
        <v>288</v>
      </c>
    </row>
    <row r="523" spans="1:43" hidden="1" x14ac:dyDescent="0.3">
      <c r="A523">
        <v>519</v>
      </c>
      <c r="B523" t="s">
        <v>991</v>
      </c>
      <c r="C523" t="s">
        <v>6</v>
      </c>
      <c r="L523">
        <v>32</v>
      </c>
      <c r="X523">
        <v>9</v>
      </c>
      <c r="AB523">
        <v>5</v>
      </c>
      <c r="AE523">
        <v>5</v>
      </c>
      <c r="AH523" t="s">
        <v>996</v>
      </c>
      <c r="AI523" t="s">
        <v>997</v>
      </c>
      <c r="AL523">
        <v>3</v>
      </c>
      <c r="AM523" t="s">
        <v>994</v>
      </c>
      <c r="AN523" t="s">
        <v>743</v>
      </c>
      <c r="AO523" t="s">
        <v>998</v>
      </c>
      <c r="AP523" t="s">
        <v>160</v>
      </c>
      <c r="AQ523" t="s">
        <v>288</v>
      </c>
    </row>
    <row r="524" spans="1:43" hidden="1" x14ac:dyDescent="0.3">
      <c r="A524">
        <v>520</v>
      </c>
      <c r="B524" t="s">
        <v>991</v>
      </c>
      <c r="C524" t="s">
        <v>6</v>
      </c>
      <c r="L524">
        <v>41</v>
      </c>
      <c r="X524">
        <v>9</v>
      </c>
      <c r="AB524">
        <v>5</v>
      </c>
      <c r="AE524">
        <v>5</v>
      </c>
      <c r="AH524" t="s">
        <v>996</v>
      </c>
      <c r="AI524" t="s">
        <v>997</v>
      </c>
      <c r="AL524">
        <v>4</v>
      </c>
      <c r="AM524" t="s">
        <v>994</v>
      </c>
      <c r="AN524" t="s">
        <v>743</v>
      </c>
      <c r="AO524" t="s">
        <v>998</v>
      </c>
      <c r="AP524" t="s">
        <v>160</v>
      </c>
      <c r="AQ524" t="s">
        <v>288</v>
      </c>
    </row>
    <row r="525" spans="1:43" hidden="1" x14ac:dyDescent="0.3">
      <c r="A525">
        <v>521</v>
      </c>
      <c r="B525" t="s">
        <v>991</v>
      </c>
      <c r="C525" t="s">
        <v>6</v>
      </c>
      <c r="L525">
        <v>3</v>
      </c>
      <c r="X525">
        <v>7</v>
      </c>
      <c r="AB525">
        <v>5</v>
      </c>
      <c r="AE525">
        <v>10</v>
      </c>
      <c r="AH525" t="s">
        <v>996</v>
      </c>
      <c r="AI525" t="s">
        <v>997</v>
      </c>
      <c r="AL525">
        <v>1</v>
      </c>
      <c r="AM525" t="s">
        <v>994</v>
      </c>
      <c r="AN525" t="s">
        <v>743</v>
      </c>
      <c r="AO525" t="s">
        <v>998</v>
      </c>
      <c r="AP525" t="s">
        <v>160</v>
      </c>
      <c r="AQ525" t="s">
        <v>288</v>
      </c>
    </row>
    <row r="526" spans="1:43" hidden="1" x14ac:dyDescent="0.3">
      <c r="A526">
        <v>522</v>
      </c>
      <c r="B526" t="s">
        <v>991</v>
      </c>
      <c r="C526" t="s">
        <v>6</v>
      </c>
      <c r="L526">
        <v>4</v>
      </c>
      <c r="X526">
        <v>7</v>
      </c>
      <c r="AB526">
        <v>5</v>
      </c>
      <c r="AE526">
        <v>10</v>
      </c>
      <c r="AH526" t="s">
        <v>996</v>
      </c>
      <c r="AI526" t="s">
        <v>997</v>
      </c>
      <c r="AL526">
        <v>2</v>
      </c>
      <c r="AM526" t="s">
        <v>994</v>
      </c>
      <c r="AN526" t="s">
        <v>743</v>
      </c>
      <c r="AO526" t="s">
        <v>998</v>
      </c>
      <c r="AP526" t="s">
        <v>160</v>
      </c>
      <c r="AQ526" t="s">
        <v>288</v>
      </c>
    </row>
    <row r="527" spans="1:43" hidden="1" x14ac:dyDescent="0.3">
      <c r="A527">
        <v>523</v>
      </c>
      <c r="B527" t="s">
        <v>991</v>
      </c>
      <c r="C527" t="s">
        <v>6</v>
      </c>
      <c r="L527">
        <v>5</v>
      </c>
      <c r="X527">
        <v>7</v>
      </c>
      <c r="AB527">
        <v>5</v>
      </c>
      <c r="AE527">
        <v>10</v>
      </c>
      <c r="AH527" t="s">
        <v>996</v>
      </c>
      <c r="AI527" t="s">
        <v>997</v>
      </c>
      <c r="AL527">
        <v>3</v>
      </c>
      <c r="AM527" t="s">
        <v>994</v>
      </c>
      <c r="AN527" t="s">
        <v>743</v>
      </c>
      <c r="AO527" t="s">
        <v>998</v>
      </c>
      <c r="AP527" t="s">
        <v>160</v>
      </c>
      <c r="AQ527" t="s">
        <v>288</v>
      </c>
    </row>
    <row r="528" spans="1:43" hidden="1" x14ac:dyDescent="0.3">
      <c r="A528">
        <v>524</v>
      </c>
      <c r="B528" t="s">
        <v>991</v>
      </c>
      <c r="C528" t="s">
        <v>6</v>
      </c>
      <c r="L528">
        <v>7</v>
      </c>
      <c r="X528">
        <v>7</v>
      </c>
      <c r="AB528">
        <v>5</v>
      </c>
      <c r="AE528">
        <v>10</v>
      </c>
      <c r="AH528" t="s">
        <v>996</v>
      </c>
      <c r="AI528" t="s">
        <v>997</v>
      </c>
      <c r="AL528">
        <v>4</v>
      </c>
      <c r="AM528" t="s">
        <v>994</v>
      </c>
      <c r="AN528" t="s">
        <v>743</v>
      </c>
      <c r="AO528" t="s">
        <v>998</v>
      </c>
      <c r="AP528" t="s">
        <v>160</v>
      </c>
      <c r="AQ528" t="s">
        <v>288</v>
      </c>
    </row>
    <row r="529" spans="1:43" hidden="1" x14ac:dyDescent="0.3">
      <c r="A529">
        <v>525</v>
      </c>
      <c r="B529" t="s">
        <v>991</v>
      </c>
      <c r="C529" t="s">
        <v>6</v>
      </c>
      <c r="L529">
        <v>6</v>
      </c>
      <c r="X529">
        <v>7.5</v>
      </c>
      <c r="AB529">
        <v>5</v>
      </c>
      <c r="AE529">
        <v>10</v>
      </c>
      <c r="AH529" t="s">
        <v>996</v>
      </c>
      <c r="AI529" t="s">
        <v>997</v>
      </c>
      <c r="AL529">
        <v>1</v>
      </c>
      <c r="AM529" t="s">
        <v>994</v>
      </c>
      <c r="AN529" t="s">
        <v>743</v>
      </c>
      <c r="AO529" t="s">
        <v>998</v>
      </c>
      <c r="AP529" t="s">
        <v>160</v>
      </c>
      <c r="AQ529" t="s">
        <v>288</v>
      </c>
    </row>
    <row r="530" spans="1:43" hidden="1" x14ac:dyDescent="0.3">
      <c r="A530">
        <v>526</v>
      </c>
      <c r="B530" t="s">
        <v>991</v>
      </c>
      <c r="C530" t="s">
        <v>6</v>
      </c>
      <c r="L530">
        <v>9</v>
      </c>
      <c r="X530">
        <v>7.5</v>
      </c>
      <c r="AB530">
        <v>5</v>
      </c>
      <c r="AE530">
        <v>10</v>
      </c>
      <c r="AH530" t="s">
        <v>996</v>
      </c>
      <c r="AI530" t="s">
        <v>997</v>
      </c>
      <c r="AL530">
        <v>2</v>
      </c>
      <c r="AM530" t="s">
        <v>994</v>
      </c>
      <c r="AN530" t="s">
        <v>743</v>
      </c>
      <c r="AO530" t="s">
        <v>998</v>
      </c>
      <c r="AP530" t="s">
        <v>160</v>
      </c>
      <c r="AQ530" t="s">
        <v>288</v>
      </c>
    </row>
    <row r="531" spans="1:43" hidden="1" x14ac:dyDescent="0.3">
      <c r="A531">
        <v>527</v>
      </c>
      <c r="B531" t="s">
        <v>991</v>
      </c>
      <c r="C531" t="s">
        <v>6</v>
      </c>
      <c r="L531">
        <v>12</v>
      </c>
      <c r="X531">
        <v>7.5</v>
      </c>
      <c r="AB531">
        <v>5</v>
      </c>
      <c r="AE531">
        <v>10</v>
      </c>
      <c r="AH531" t="s">
        <v>996</v>
      </c>
      <c r="AI531" t="s">
        <v>997</v>
      </c>
      <c r="AL531">
        <v>3</v>
      </c>
      <c r="AM531" t="s">
        <v>994</v>
      </c>
      <c r="AN531" t="s">
        <v>743</v>
      </c>
      <c r="AO531" t="s">
        <v>998</v>
      </c>
      <c r="AP531" t="s">
        <v>160</v>
      </c>
      <c r="AQ531" t="s">
        <v>288</v>
      </c>
    </row>
    <row r="532" spans="1:43" hidden="1" x14ac:dyDescent="0.3">
      <c r="A532">
        <v>528</v>
      </c>
      <c r="B532" t="s">
        <v>991</v>
      </c>
      <c r="C532" t="s">
        <v>6</v>
      </c>
      <c r="L532">
        <v>15</v>
      </c>
      <c r="X532">
        <v>7.5</v>
      </c>
      <c r="AB532">
        <v>5</v>
      </c>
      <c r="AE532">
        <v>10</v>
      </c>
      <c r="AH532" t="s">
        <v>996</v>
      </c>
      <c r="AI532" t="s">
        <v>997</v>
      </c>
      <c r="AL532">
        <v>4</v>
      </c>
      <c r="AM532" t="s">
        <v>994</v>
      </c>
      <c r="AN532" t="s">
        <v>743</v>
      </c>
      <c r="AO532" t="s">
        <v>998</v>
      </c>
      <c r="AP532" t="s">
        <v>160</v>
      </c>
      <c r="AQ532" t="s">
        <v>288</v>
      </c>
    </row>
    <row r="533" spans="1:43" hidden="1" x14ac:dyDescent="0.3">
      <c r="A533">
        <v>529</v>
      </c>
      <c r="B533" t="s">
        <v>991</v>
      </c>
      <c r="C533" t="s">
        <v>6</v>
      </c>
      <c r="L533">
        <v>9</v>
      </c>
      <c r="X533">
        <v>8</v>
      </c>
      <c r="AB533">
        <v>5</v>
      </c>
      <c r="AE533">
        <v>10</v>
      </c>
      <c r="AH533" t="s">
        <v>996</v>
      </c>
      <c r="AI533" t="s">
        <v>997</v>
      </c>
      <c r="AL533">
        <v>1</v>
      </c>
      <c r="AM533" t="s">
        <v>994</v>
      </c>
      <c r="AN533" t="s">
        <v>743</v>
      </c>
      <c r="AO533" t="s">
        <v>998</v>
      </c>
      <c r="AP533" t="s">
        <v>160</v>
      </c>
      <c r="AQ533" t="s">
        <v>288</v>
      </c>
    </row>
    <row r="534" spans="1:43" hidden="1" x14ac:dyDescent="0.3">
      <c r="A534">
        <v>530</v>
      </c>
      <c r="B534" t="s">
        <v>991</v>
      </c>
      <c r="C534" t="s">
        <v>6</v>
      </c>
      <c r="L534">
        <v>13</v>
      </c>
      <c r="X534">
        <v>8</v>
      </c>
      <c r="AB534">
        <v>5</v>
      </c>
      <c r="AE534">
        <v>10</v>
      </c>
      <c r="AH534" t="s">
        <v>996</v>
      </c>
      <c r="AI534" t="s">
        <v>997</v>
      </c>
      <c r="AL534">
        <v>2</v>
      </c>
      <c r="AM534" t="s">
        <v>994</v>
      </c>
      <c r="AN534" t="s">
        <v>743</v>
      </c>
      <c r="AO534" t="s">
        <v>998</v>
      </c>
      <c r="AP534" t="s">
        <v>160</v>
      </c>
      <c r="AQ534" t="s">
        <v>288</v>
      </c>
    </row>
    <row r="535" spans="1:43" hidden="1" x14ac:dyDescent="0.3">
      <c r="A535">
        <v>531</v>
      </c>
      <c r="B535" t="s">
        <v>991</v>
      </c>
      <c r="C535" t="s">
        <v>6</v>
      </c>
      <c r="L535">
        <v>18</v>
      </c>
      <c r="X535">
        <v>8</v>
      </c>
      <c r="AB535">
        <v>5</v>
      </c>
      <c r="AE535">
        <v>10</v>
      </c>
      <c r="AH535" t="s">
        <v>996</v>
      </c>
      <c r="AI535" t="s">
        <v>997</v>
      </c>
      <c r="AL535">
        <v>3</v>
      </c>
      <c r="AM535" t="s">
        <v>994</v>
      </c>
      <c r="AN535" t="s">
        <v>743</v>
      </c>
      <c r="AO535" t="s">
        <v>998</v>
      </c>
      <c r="AP535" t="s">
        <v>160</v>
      </c>
      <c r="AQ535" t="s">
        <v>288</v>
      </c>
    </row>
    <row r="536" spans="1:43" hidden="1" x14ac:dyDescent="0.3">
      <c r="A536">
        <v>532</v>
      </c>
      <c r="B536" t="s">
        <v>991</v>
      </c>
      <c r="C536" t="s">
        <v>6</v>
      </c>
      <c r="L536">
        <v>23</v>
      </c>
      <c r="X536">
        <v>8</v>
      </c>
      <c r="AB536">
        <v>5</v>
      </c>
      <c r="AE536">
        <v>10</v>
      </c>
      <c r="AH536" t="s">
        <v>996</v>
      </c>
      <c r="AI536" t="s">
        <v>997</v>
      </c>
      <c r="AL536">
        <v>4</v>
      </c>
      <c r="AM536" t="s">
        <v>994</v>
      </c>
      <c r="AN536" t="s">
        <v>743</v>
      </c>
      <c r="AO536" t="s">
        <v>998</v>
      </c>
      <c r="AP536" t="s">
        <v>160</v>
      </c>
      <c r="AQ536" t="s">
        <v>288</v>
      </c>
    </row>
    <row r="537" spans="1:43" hidden="1" x14ac:dyDescent="0.3">
      <c r="A537">
        <v>533</v>
      </c>
      <c r="B537" t="s">
        <v>991</v>
      </c>
      <c r="C537" t="s">
        <v>6</v>
      </c>
      <c r="L537">
        <v>10</v>
      </c>
      <c r="X537">
        <v>8.5</v>
      </c>
      <c r="AB537">
        <v>5</v>
      </c>
      <c r="AE537">
        <v>10</v>
      </c>
      <c r="AH537" t="s">
        <v>996</v>
      </c>
      <c r="AI537" t="s">
        <v>997</v>
      </c>
      <c r="AL537">
        <v>1</v>
      </c>
      <c r="AM537" t="s">
        <v>994</v>
      </c>
      <c r="AN537" t="s">
        <v>743</v>
      </c>
      <c r="AO537" t="s">
        <v>998</v>
      </c>
      <c r="AP537" t="s">
        <v>160</v>
      </c>
      <c r="AQ537" t="s">
        <v>288</v>
      </c>
    </row>
    <row r="538" spans="1:43" hidden="1" x14ac:dyDescent="0.3">
      <c r="A538">
        <v>534</v>
      </c>
      <c r="B538" t="s">
        <v>991</v>
      </c>
      <c r="C538" t="s">
        <v>6</v>
      </c>
      <c r="L538">
        <v>15</v>
      </c>
      <c r="X538">
        <v>8.5</v>
      </c>
      <c r="AB538">
        <v>5</v>
      </c>
      <c r="AE538">
        <v>10</v>
      </c>
      <c r="AH538" t="s">
        <v>996</v>
      </c>
      <c r="AI538" t="s">
        <v>997</v>
      </c>
      <c r="AL538">
        <v>2</v>
      </c>
      <c r="AM538" t="s">
        <v>994</v>
      </c>
      <c r="AN538" t="s">
        <v>743</v>
      </c>
      <c r="AO538" t="s">
        <v>998</v>
      </c>
      <c r="AP538" t="s">
        <v>160</v>
      </c>
      <c r="AQ538" t="s">
        <v>288</v>
      </c>
    </row>
    <row r="539" spans="1:43" hidden="1" x14ac:dyDescent="0.3">
      <c r="A539">
        <v>535</v>
      </c>
      <c r="B539" t="s">
        <v>991</v>
      </c>
      <c r="C539" t="s">
        <v>6</v>
      </c>
      <c r="L539">
        <v>21</v>
      </c>
      <c r="X539">
        <v>8.5</v>
      </c>
      <c r="AB539">
        <v>5</v>
      </c>
      <c r="AE539">
        <v>10</v>
      </c>
      <c r="AH539" t="s">
        <v>996</v>
      </c>
      <c r="AI539" t="s">
        <v>997</v>
      </c>
      <c r="AL539">
        <v>3</v>
      </c>
      <c r="AM539" t="s">
        <v>994</v>
      </c>
      <c r="AN539" t="s">
        <v>743</v>
      </c>
      <c r="AO539" t="s">
        <v>998</v>
      </c>
      <c r="AP539" t="s">
        <v>160</v>
      </c>
      <c r="AQ539" t="s">
        <v>288</v>
      </c>
    </row>
    <row r="540" spans="1:43" hidden="1" x14ac:dyDescent="0.3">
      <c r="A540">
        <v>536</v>
      </c>
      <c r="B540" t="s">
        <v>991</v>
      </c>
      <c r="C540" t="s">
        <v>6</v>
      </c>
      <c r="L540">
        <v>26</v>
      </c>
      <c r="X540">
        <v>8.5</v>
      </c>
      <c r="AB540">
        <v>5</v>
      </c>
      <c r="AE540">
        <v>10</v>
      </c>
      <c r="AH540" t="s">
        <v>996</v>
      </c>
      <c r="AI540" t="s">
        <v>997</v>
      </c>
      <c r="AL540">
        <v>4</v>
      </c>
      <c r="AM540" t="s">
        <v>994</v>
      </c>
      <c r="AN540" t="s">
        <v>743</v>
      </c>
      <c r="AO540" t="s">
        <v>998</v>
      </c>
      <c r="AP540" t="s">
        <v>160</v>
      </c>
      <c r="AQ540" t="s">
        <v>288</v>
      </c>
    </row>
    <row r="541" spans="1:43" hidden="1" x14ac:dyDescent="0.3">
      <c r="A541">
        <v>537</v>
      </c>
      <c r="B541" t="s">
        <v>991</v>
      </c>
      <c r="C541" t="s">
        <v>6</v>
      </c>
      <c r="L541">
        <v>10</v>
      </c>
      <c r="X541">
        <v>9</v>
      </c>
      <c r="AB541">
        <v>5</v>
      </c>
      <c r="AE541">
        <v>10</v>
      </c>
      <c r="AH541" t="s">
        <v>996</v>
      </c>
      <c r="AI541" t="s">
        <v>997</v>
      </c>
      <c r="AL541">
        <v>1</v>
      </c>
      <c r="AM541" t="s">
        <v>994</v>
      </c>
      <c r="AN541" t="s">
        <v>743</v>
      </c>
      <c r="AO541" t="s">
        <v>998</v>
      </c>
      <c r="AP541" t="s">
        <v>160</v>
      </c>
      <c r="AQ541" t="s">
        <v>288</v>
      </c>
    </row>
    <row r="542" spans="1:43" hidden="1" x14ac:dyDescent="0.3">
      <c r="A542">
        <v>538</v>
      </c>
      <c r="B542" t="s">
        <v>991</v>
      </c>
      <c r="C542" t="s">
        <v>6</v>
      </c>
      <c r="L542">
        <v>16</v>
      </c>
      <c r="X542">
        <v>9</v>
      </c>
      <c r="AB542">
        <v>5</v>
      </c>
      <c r="AE542">
        <v>10</v>
      </c>
      <c r="AH542" t="s">
        <v>996</v>
      </c>
      <c r="AI542" t="s">
        <v>997</v>
      </c>
      <c r="AL542">
        <v>2</v>
      </c>
      <c r="AM542" t="s">
        <v>994</v>
      </c>
      <c r="AN542" t="s">
        <v>743</v>
      </c>
      <c r="AO542" t="s">
        <v>998</v>
      </c>
      <c r="AP542" t="s">
        <v>160</v>
      </c>
      <c r="AQ542" t="s">
        <v>288</v>
      </c>
    </row>
    <row r="543" spans="1:43" hidden="1" x14ac:dyDescent="0.3">
      <c r="A543">
        <v>539</v>
      </c>
      <c r="B543" t="s">
        <v>991</v>
      </c>
      <c r="C543" t="s">
        <v>6</v>
      </c>
      <c r="L543">
        <v>23</v>
      </c>
      <c r="X543">
        <v>9</v>
      </c>
      <c r="AB543">
        <v>5</v>
      </c>
      <c r="AE543">
        <v>10</v>
      </c>
      <c r="AH543" t="s">
        <v>996</v>
      </c>
      <c r="AI543" t="s">
        <v>997</v>
      </c>
      <c r="AL543">
        <v>3</v>
      </c>
      <c r="AM543" t="s">
        <v>994</v>
      </c>
      <c r="AN543" t="s">
        <v>743</v>
      </c>
      <c r="AO543" t="s">
        <v>998</v>
      </c>
      <c r="AP543" t="s">
        <v>160</v>
      </c>
      <c r="AQ543" t="s">
        <v>288</v>
      </c>
    </row>
    <row r="544" spans="1:43" hidden="1" x14ac:dyDescent="0.3">
      <c r="A544">
        <v>540</v>
      </c>
      <c r="B544" t="s">
        <v>991</v>
      </c>
      <c r="C544" t="s">
        <v>6</v>
      </c>
      <c r="L544">
        <v>29</v>
      </c>
      <c r="X544">
        <v>9</v>
      </c>
      <c r="AB544">
        <v>5</v>
      </c>
      <c r="AE544">
        <v>10</v>
      </c>
      <c r="AH544" t="s">
        <v>996</v>
      </c>
      <c r="AI544" t="s">
        <v>997</v>
      </c>
      <c r="AL544">
        <v>4</v>
      </c>
      <c r="AM544" t="s">
        <v>994</v>
      </c>
      <c r="AN544" t="s">
        <v>743</v>
      </c>
      <c r="AO544" t="s">
        <v>998</v>
      </c>
      <c r="AP544" t="s">
        <v>160</v>
      </c>
      <c r="AQ544" t="s">
        <v>288</v>
      </c>
    </row>
    <row r="545" spans="1:43" hidden="1" x14ac:dyDescent="0.3">
      <c r="A545">
        <v>541</v>
      </c>
      <c r="B545" t="s">
        <v>991</v>
      </c>
      <c r="C545" t="s">
        <v>6</v>
      </c>
      <c r="L545">
        <v>2</v>
      </c>
      <c r="X545">
        <v>7</v>
      </c>
      <c r="AB545">
        <v>5</v>
      </c>
      <c r="AE545">
        <v>15</v>
      </c>
      <c r="AH545" t="s">
        <v>996</v>
      </c>
      <c r="AI545" t="s">
        <v>997</v>
      </c>
      <c r="AL545">
        <v>1</v>
      </c>
      <c r="AM545" t="s">
        <v>994</v>
      </c>
      <c r="AN545" t="s">
        <v>743</v>
      </c>
      <c r="AO545" t="s">
        <v>998</v>
      </c>
      <c r="AP545" t="s">
        <v>160</v>
      </c>
      <c r="AQ545" t="s">
        <v>288</v>
      </c>
    </row>
    <row r="546" spans="1:43" hidden="1" x14ac:dyDescent="0.3">
      <c r="A546">
        <v>542</v>
      </c>
      <c r="B546" t="s">
        <v>991</v>
      </c>
      <c r="C546" t="s">
        <v>6</v>
      </c>
      <c r="L546">
        <v>3</v>
      </c>
      <c r="X546">
        <v>7</v>
      </c>
      <c r="AB546">
        <v>5</v>
      </c>
      <c r="AE546">
        <v>15</v>
      </c>
      <c r="AH546" t="s">
        <v>996</v>
      </c>
      <c r="AI546" t="s">
        <v>997</v>
      </c>
      <c r="AL546">
        <v>2</v>
      </c>
      <c r="AM546" t="s">
        <v>994</v>
      </c>
      <c r="AN546" t="s">
        <v>743</v>
      </c>
      <c r="AO546" t="s">
        <v>998</v>
      </c>
      <c r="AP546" t="s">
        <v>160</v>
      </c>
      <c r="AQ546" t="s">
        <v>288</v>
      </c>
    </row>
    <row r="547" spans="1:43" hidden="1" x14ac:dyDescent="0.3">
      <c r="A547">
        <v>543</v>
      </c>
      <c r="B547" t="s">
        <v>991</v>
      </c>
      <c r="C547" t="s">
        <v>6</v>
      </c>
      <c r="L547">
        <v>4</v>
      </c>
      <c r="X547">
        <v>7</v>
      </c>
      <c r="AB547">
        <v>5</v>
      </c>
      <c r="AE547">
        <v>15</v>
      </c>
      <c r="AH547" t="s">
        <v>996</v>
      </c>
      <c r="AI547" t="s">
        <v>997</v>
      </c>
      <c r="AL547">
        <v>3</v>
      </c>
      <c r="AM547" t="s">
        <v>994</v>
      </c>
      <c r="AN547" t="s">
        <v>743</v>
      </c>
      <c r="AO547" t="s">
        <v>998</v>
      </c>
      <c r="AP547" t="s">
        <v>160</v>
      </c>
      <c r="AQ547" t="s">
        <v>288</v>
      </c>
    </row>
    <row r="548" spans="1:43" hidden="1" x14ac:dyDescent="0.3">
      <c r="A548">
        <v>544</v>
      </c>
      <c r="B548" t="s">
        <v>991</v>
      </c>
      <c r="C548" t="s">
        <v>6</v>
      </c>
      <c r="L548">
        <v>5</v>
      </c>
      <c r="X548">
        <v>7</v>
      </c>
      <c r="AB548">
        <v>5</v>
      </c>
      <c r="AE548">
        <v>15</v>
      </c>
      <c r="AH548" t="s">
        <v>996</v>
      </c>
      <c r="AI548" t="s">
        <v>997</v>
      </c>
      <c r="AL548">
        <v>4</v>
      </c>
      <c r="AM548" t="s">
        <v>994</v>
      </c>
      <c r="AN548" t="s">
        <v>743</v>
      </c>
      <c r="AO548" t="s">
        <v>998</v>
      </c>
      <c r="AP548" t="s">
        <v>160</v>
      </c>
      <c r="AQ548" t="s">
        <v>288</v>
      </c>
    </row>
    <row r="549" spans="1:43" hidden="1" x14ac:dyDescent="0.3">
      <c r="A549">
        <v>545</v>
      </c>
      <c r="B549" t="s">
        <v>991</v>
      </c>
      <c r="C549" t="s">
        <v>6</v>
      </c>
      <c r="L549">
        <v>4</v>
      </c>
      <c r="X549">
        <v>7.5</v>
      </c>
      <c r="AB549">
        <v>5</v>
      </c>
      <c r="AE549">
        <v>15</v>
      </c>
      <c r="AH549" t="s">
        <v>996</v>
      </c>
      <c r="AI549" t="s">
        <v>997</v>
      </c>
      <c r="AL549">
        <v>1</v>
      </c>
      <c r="AM549" t="s">
        <v>994</v>
      </c>
      <c r="AN549" t="s">
        <v>743</v>
      </c>
      <c r="AO549" t="s">
        <v>998</v>
      </c>
      <c r="AP549" t="s">
        <v>160</v>
      </c>
      <c r="AQ549" t="s">
        <v>288</v>
      </c>
    </row>
    <row r="550" spans="1:43" hidden="1" x14ac:dyDescent="0.3">
      <c r="A550">
        <v>546</v>
      </c>
      <c r="B550" t="s">
        <v>991</v>
      </c>
      <c r="C550" t="s">
        <v>6</v>
      </c>
      <c r="L550">
        <v>6</v>
      </c>
      <c r="X550">
        <v>7.5</v>
      </c>
      <c r="AB550">
        <v>5</v>
      </c>
      <c r="AE550">
        <v>15</v>
      </c>
      <c r="AH550" t="s">
        <v>996</v>
      </c>
      <c r="AI550" t="s">
        <v>997</v>
      </c>
      <c r="AL550">
        <v>2</v>
      </c>
      <c r="AM550" t="s">
        <v>994</v>
      </c>
      <c r="AN550" t="s">
        <v>743</v>
      </c>
      <c r="AO550" t="s">
        <v>998</v>
      </c>
      <c r="AP550" t="s">
        <v>160</v>
      </c>
      <c r="AQ550" t="s">
        <v>288</v>
      </c>
    </row>
    <row r="551" spans="1:43" hidden="1" x14ac:dyDescent="0.3">
      <c r="A551">
        <v>547</v>
      </c>
      <c r="B551" t="s">
        <v>991</v>
      </c>
      <c r="C551" t="s">
        <v>6</v>
      </c>
      <c r="L551">
        <v>9</v>
      </c>
      <c r="X551">
        <v>7.5</v>
      </c>
      <c r="AB551">
        <v>5</v>
      </c>
      <c r="AE551">
        <v>15</v>
      </c>
      <c r="AH551" t="s">
        <v>996</v>
      </c>
      <c r="AI551" t="s">
        <v>997</v>
      </c>
      <c r="AL551">
        <v>3</v>
      </c>
      <c r="AM551" t="s">
        <v>994</v>
      </c>
      <c r="AN551" t="s">
        <v>743</v>
      </c>
      <c r="AO551" t="s">
        <v>998</v>
      </c>
      <c r="AP551" t="s">
        <v>160</v>
      </c>
      <c r="AQ551" t="s">
        <v>288</v>
      </c>
    </row>
    <row r="552" spans="1:43" hidden="1" x14ac:dyDescent="0.3">
      <c r="A552">
        <v>548</v>
      </c>
      <c r="B552" t="s">
        <v>991</v>
      </c>
      <c r="C552" t="s">
        <v>6</v>
      </c>
      <c r="L552">
        <v>11</v>
      </c>
      <c r="X552">
        <v>7.5</v>
      </c>
      <c r="AB552">
        <v>5</v>
      </c>
      <c r="AE552">
        <v>15</v>
      </c>
      <c r="AH552" t="s">
        <v>996</v>
      </c>
      <c r="AI552" t="s">
        <v>997</v>
      </c>
      <c r="AL552">
        <v>4</v>
      </c>
      <c r="AM552" t="s">
        <v>994</v>
      </c>
      <c r="AN552" t="s">
        <v>743</v>
      </c>
      <c r="AO552" t="s">
        <v>998</v>
      </c>
      <c r="AP552" t="s">
        <v>160</v>
      </c>
      <c r="AQ552" t="s">
        <v>288</v>
      </c>
    </row>
    <row r="553" spans="1:43" hidden="1" x14ac:dyDescent="0.3">
      <c r="A553">
        <v>549</v>
      </c>
      <c r="B553" t="s">
        <v>991</v>
      </c>
      <c r="C553" t="s">
        <v>6</v>
      </c>
      <c r="L553">
        <v>6</v>
      </c>
      <c r="X553">
        <v>8</v>
      </c>
      <c r="AB553">
        <v>5</v>
      </c>
      <c r="AE553">
        <v>15</v>
      </c>
      <c r="AH553" t="s">
        <v>996</v>
      </c>
      <c r="AI553" t="s">
        <v>997</v>
      </c>
      <c r="AL553">
        <v>1</v>
      </c>
      <c r="AM553" t="s">
        <v>994</v>
      </c>
      <c r="AN553" t="s">
        <v>743</v>
      </c>
      <c r="AO553" t="s">
        <v>998</v>
      </c>
      <c r="AP553" t="s">
        <v>160</v>
      </c>
      <c r="AQ553" t="s">
        <v>288</v>
      </c>
    </row>
    <row r="554" spans="1:43" hidden="1" x14ac:dyDescent="0.3">
      <c r="A554">
        <v>550</v>
      </c>
      <c r="B554" t="s">
        <v>991</v>
      </c>
      <c r="C554" t="s">
        <v>6</v>
      </c>
      <c r="L554">
        <v>9</v>
      </c>
      <c r="X554">
        <v>8</v>
      </c>
      <c r="AB554">
        <v>5</v>
      </c>
      <c r="AE554">
        <v>15</v>
      </c>
      <c r="AH554" t="s">
        <v>996</v>
      </c>
      <c r="AI554" t="s">
        <v>997</v>
      </c>
      <c r="AL554">
        <v>2</v>
      </c>
      <c r="AM554" t="s">
        <v>994</v>
      </c>
      <c r="AN554" t="s">
        <v>743</v>
      </c>
      <c r="AO554" t="s">
        <v>998</v>
      </c>
      <c r="AP554" t="s">
        <v>160</v>
      </c>
      <c r="AQ554" t="s">
        <v>288</v>
      </c>
    </row>
    <row r="555" spans="1:43" hidden="1" x14ac:dyDescent="0.3">
      <c r="A555">
        <v>551</v>
      </c>
      <c r="B555" t="s">
        <v>991</v>
      </c>
      <c r="C555" t="s">
        <v>6</v>
      </c>
      <c r="L555">
        <v>13</v>
      </c>
      <c r="X555">
        <v>8</v>
      </c>
      <c r="AB555">
        <v>5</v>
      </c>
      <c r="AE555">
        <v>15</v>
      </c>
      <c r="AH555" t="s">
        <v>996</v>
      </c>
      <c r="AI555" t="s">
        <v>997</v>
      </c>
      <c r="AL555">
        <v>3</v>
      </c>
      <c r="AM555" t="s">
        <v>994</v>
      </c>
      <c r="AN555" t="s">
        <v>743</v>
      </c>
      <c r="AO555" t="s">
        <v>998</v>
      </c>
      <c r="AP555" t="s">
        <v>160</v>
      </c>
      <c r="AQ555" t="s">
        <v>288</v>
      </c>
    </row>
    <row r="556" spans="1:43" hidden="1" x14ac:dyDescent="0.3">
      <c r="A556">
        <v>552</v>
      </c>
      <c r="B556" t="s">
        <v>991</v>
      </c>
      <c r="C556" t="s">
        <v>6</v>
      </c>
      <c r="L556">
        <v>16</v>
      </c>
      <c r="X556">
        <v>8</v>
      </c>
      <c r="AB556">
        <v>5</v>
      </c>
      <c r="AE556">
        <v>15</v>
      </c>
      <c r="AH556" t="s">
        <v>996</v>
      </c>
      <c r="AI556" t="s">
        <v>997</v>
      </c>
      <c r="AL556">
        <v>4</v>
      </c>
      <c r="AM556" t="s">
        <v>994</v>
      </c>
      <c r="AN556" t="s">
        <v>743</v>
      </c>
      <c r="AO556" t="s">
        <v>998</v>
      </c>
      <c r="AP556" t="s">
        <v>160</v>
      </c>
      <c r="AQ556" t="s">
        <v>288</v>
      </c>
    </row>
    <row r="557" spans="1:43" hidden="1" x14ac:dyDescent="0.3">
      <c r="A557">
        <v>553</v>
      </c>
      <c r="B557" t="s">
        <v>991</v>
      </c>
      <c r="C557" t="s">
        <v>6</v>
      </c>
      <c r="L557">
        <v>7</v>
      </c>
      <c r="X557">
        <v>8.5</v>
      </c>
      <c r="AB557">
        <v>5</v>
      </c>
      <c r="AE557">
        <v>15</v>
      </c>
      <c r="AH557" t="s">
        <v>996</v>
      </c>
      <c r="AI557" t="s">
        <v>997</v>
      </c>
      <c r="AL557">
        <v>1</v>
      </c>
      <c r="AM557" t="s">
        <v>994</v>
      </c>
      <c r="AN557" t="s">
        <v>743</v>
      </c>
      <c r="AO557" t="s">
        <v>998</v>
      </c>
      <c r="AP557" t="s">
        <v>160</v>
      </c>
      <c r="AQ557" t="s">
        <v>288</v>
      </c>
    </row>
    <row r="558" spans="1:43" hidden="1" x14ac:dyDescent="0.3">
      <c r="A558">
        <v>554</v>
      </c>
      <c r="B558" t="s">
        <v>991</v>
      </c>
      <c r="C558" t="s">
        <v>6</v>
      </c>
      <c r="L558">
        <v>11</v>
      </c>
      <c r="X558">
        <v>8.5</v>
      </c>
      <c r="AB558">
        <v>5</v>
      </c>
      <c r="AE558">
        <v>15</v>
      </c>
      <c r="AH558" t="s">
        <v>996</v>
      </c>
      <c r="AI558" t="s">
        <v>997</v>
      </c>
      <c r="AL558">
        <v>2</v>
      </c>
      <c r="AM558" t="s">
        <v>994</v>
      </c>
      <c r="AN558" t="s">
        <v>743</v>
      </c>
      <c r="AO558" t="s">
        <v>998</v>
      </c>
      <c r="AP558" t="s">
        <v>160</v>
      </c>
      <c r="AQ558" t="s">
        <v>288</v>
      </c>
    </row>
    <row r="559" spans="1:43" hidden="1" x14ac:dyDescent="0.3">
      <c r="A559">
        <v>555</v>
      </c>
      <c r="B559" t="s">
        <v>991</v>
      </c>
      <c r="C559" t="s">
        <v>6</v>
      </c>
      <c r="L559">
        <v>15</v>
      </c>
      <c r="X559">
        <v>8.5</v>
      </c>
      <c r="AB559">
        <v>5</v>
      </c>
      <c r="AE559">
        <v>15</v>
      </c>
      <c r="AH559" t="s">
        <v>996</v>
      </c>
      <c r="AI559" t="s">
        <v>997</v>
      </c>
      <c r="AL559">
        <v>3</v>
      </c>
      <c r="AM559" t="s">
        <v>994</v>
      </c>
      <c r="AN559" t="s">
        <v>743</v>
      </c>
      <c r="AO559" t="s">
        <v>998</v>
      </c>
      <c r="AP559" t="s">
        <v>160</v>
      </c>
      <c r="AQ559" t="s">
        <v>288</v>
      </c>
    </row>
    <row r="560" spans="1:43" hidden="1" x14ac:dyDescent="0.3">
      <c r="A560">
        <v>556</v>
      </c>
      <c r="B560" t="s">
        <v>991</v>
      </c>
      <c r="C560" t="s">
        <v>6</v>
      </c>
      <c r="L560">
        <v>18</v>
      </c>
      <c r="X560">
        <v>8.5</v>
      </c>
      <c r="AB560">
        <v>5</v>
      </c>
      <c r="AE560">
        <v>15</v>
      </c>
      <c r="AH560" t="s">
        <v>996</v>
      </c>
      <c r="AI560" t="s">
        <v>997</v>
      </c>
      <c r="AL560">
        <v>4</v>
      </c>
      <c r="AM560" t="s">
        <v>994</v>
      </c>
      <c r="AN560" t="s">
        <v>743</v>
      </c>
      <c r="AO560" t="s">
        <v>998</v>
      </c>
      <c r="AP560" t="s">
        <v>160</v>
      </c>
      <c r="AQ560" t="s">
        <v>288</v>
      </c>
    </row>
    <row r="561" spans="1:43" hidden="1" x14ac:dyDescent="0.3">
      <c r="A561">
        <v>557</v>
      </c>
      <c r="B561" t="s">
        <v>991</v>
      </c>
      <c r="C561" t="s">
        <v>6</v>
      </c>
      <c r="L561">
        <v>7</v>
      </c>
      <c r="X561">
        <v>9</v>
      </c>
      <c r="AB561">
        <v>5</v>
      </c>
      <c r="AE561">
        <v>15</v>
      </c>
      <c r="AH561" t="s">
        <v>996</v>
      </c>
      <c r="AI561" t="s">
        <v>997</v>
      </c>
      <c r="AL561">
        <v>1</v>
      </c>
      <c r="AM561" t="s">
        <v>994</v>
      </c>
      <c r="AN561" t="s">
        <v>743</v>
      </c>
      <c r="AO561" t="s">
        <v>998</v>
      </c>
      <c r="AP561" t="s">
        <v>160</v>
      </c>
      <c r="AQ561" t="s">
        <v>288</v>
      </c>
    </row>
    <row r="562" spans="1:43" hidden="1" x14ac:dyDescent="0.3">
      <c r="A562">
        <v>558</v>
      </c>
      <c r="B562" t="s">
        <v>991</v>
      </c>
      <c r="C562" t="s">
        <v>6</v>
      </c>
      <c r="L562">
        <v>12</v>
      </c>
      <c r="X562">
        <v>9</v>
      </c>
      <c r="AB562">
        <v>5</v>
      </c>
      <c r="AE562">
        <v>15</v>
      </c>
      <c r="AH562" t="s">
        <v>996</v>
      </c>
      <c r="AI562" t="s">
        <v>997</v>
      </c>
      <c r="AL562">
        <v>2</v>
      </c>
      <c r="AM562" t="s">
        <v>994</v>
      </c>
      <c r="AN562" t="s">
        <v>743</v>
      </c>
      <c r="AO562" t="s">
        <v>998</v>
      </c>
      <c r="AP562" t="s">
        <v>160</v>
      </c>
      <c r="AQ562" t="s">
        <v>288</v>
      </c>
    </row>
    <row r="563" spans="1:43" hidden="1" x14ac:dyDescent="0.3">
      <c r="A563">
        <v>559</v>
      </c>
      <c r="B563" t="s">
        <v>991</v>
      </c>
      <c r="C563" t="s">
        <v>6</v>
      </c>
      <c r="L563">
        <v>16</v>
      </c>
      <c r="X563">
        <v>9</v>
      </c>
      <c r="AB563">
        <v>5</v>
      </c>
      <c r="AE563">
        <v>15</v>
      </c>
      <c r="AH563" t="s">
        <v>996</v>
      </c>
      <c r="AI563" t="s">
        <v>997</v>
      </c>
      <c r="AL563">
        <v>3</v>
      </c>
      <c r="AM563" t="s">
        <v>994</v>
      </c>
      <c r="AN563" t="s">
        <v>743</v>
      </c>
      <c r="AO563" t="s">
        <v>998</v>
      </c>
      <c r="AP563" t="s">
        <v>160</v>
      </c>
      <c r="AQ563" t="s">
        <v>288</v>
      </c>
    </row>
    <row r="564" spans="1:43" hidden="1" x14ac:dyDescent="0.3">
      <c r="A564">
        <v>560</v>
      </c>
      <c r="B564" t="s">
        <v>991</v>
      </c>
      <c r="C564" t="s">
        <v>6</v>
      </c>
      <c r="L564">
        <v>20</v>
      </c>
      <c r="X564">
        <v>9</v>
      </c>
      <c r="AB564">
        <v>5</v>
      </c>
      <c r="AE564">
        <v>15</v>
      </c>
      <c r="AH564" t="s">
        <v>996</v>
      </c>
      <c r="AI564" t="s">
        <v>997</v>
      </c>
      <c r="AL564">
        <v>4</v>
      </c>
      <c r="AM564" t="s">
        <v>994</v>
      </c>
      <c r="AN564" t="s">
        <v>743</v>
      </c>
      <c r="AO564" t="s">
        <v>998</v>
      </c>
      <c r="AP564" t="s">
        <v>160</v>
      </c>
      <c r="AQ564" t="s">
        <v>288</v>
      </c>
    </row>
    <row r="565" spans="1:43" hidden="1" x14ac:dyDescent="0.3">
      <c r="A565">
        <v>561</v>
      </c>
      <c r="B565" t="s">
        <v>991</v>
      </c>
      <c r="C565" t="s">
        <v>6</v>
      </c>
      <c r="L565">
        <v>2</v>
      </c>
      <c r="X565">
        <v>7</v>
      </c>
      <c r="AB565">
        <v>5</v>
      </c>
      <c r="AE565">
        <v>20</v>
      </c>
      <c r="AH565" t="s">
        <v>996</v>
      </c>
      <c r="AI565" t="s">
        <v>997</v>
      </c>
      <c r="AL565">
        <v>1</v>
      </c>
      <c r="AM565" t="s">
        <v>994</v>
      </c>
      <c r="AN565" t="s">
        <v>743</v>
      </c>
      <c r="AO565" t="s">
        <v>998</v>
      </c>
      <c r="AP565" t="s">
        <v>160</v>
      </c>
      <c r="AQ565" t="s">
        <v>288</v>
      </c>
    </row>
    <row r="566" spans="1:43" hidden="1" x14ac:dyDescent="0.3">
      <c r="A566">
        <v>562</v>
      </c>
      <c r="B566" t="s">
        <v>991</v>
      </c>
      <c r="C566" t="s">
        <v>6</v>
      </c>
      <c r="L566">
        <v>2</v>
      </c>
      <c r="X566">
        <v>7</v>
      </c>
      <c r="AB566">
        <v>5</v>
      </c>
      <c r="AE566">
        <v>20</v>
      </c>
      <c r="AH566" t="s">
        <v>996</v>
      </c>
      <c r="AI566" t="s">
        <v>997</v>
      </c>
      <c r="AL566">
        <v>2</v>
      </c>
      <c r="AM566" t="s">
        <v>994</v>
      </c>
      <c r="AN566" t="s">
        <v>743</v>
      </c>
      <c r="AO566" t="s">
        <v>998</v>
      </c>
      <c r="AP566" t="s">
        <v>160</v>
      </c>
      <c r="AQ566" t="s">
        <v>288</v>
      </c>
    </row>
    <row r="567" spans="1:43" hidden="1" x14ac:dyDescent="0.3">
      <c r="A567">
        <v>563</v>
      </c>
      <c r="B567" t="s">
        <v>991</v>
      </c>
      <c r="C567" t="s">
        <v>6</v>
      </c>
      <c r="L567">
        <v>3</v>
      </c>
      <c r="X567">
        <v>7</v>
      </c>
      <c r="AB567">
        <v>5</v>
      </c>
      <c r="AE567">
        <v>20</v>
      </c>
      <c r="AH567" t="s">
        <v>996</v>
      </c>
      <c r="AI567" t="s">
        <v>997</v>
      </c>
      <c r="AL567">
        <v>3</v>
      </c>
      <c r="AM567" t="s">
        <v>994</v>
      </c>
      <c r="AN567" t="s">
        <v>743</v>
      </c>
      <c r="AO567" t="s">
        <v>998</v>
      </c>
      <c r="AP567" t="s">
        <v>160</v>
      </c>
      <c r="AQ567" t="s">
        <v>288</v>
      </c>
    </row>
    <row r="568" spans="1:43" hidden="1" x14ac:dyDescent="0.3">
      <c r="A568">
        <v>564</v>
      </c>
      <c r="B568" t="s">
        <v>991</v>
      </c>
      <c r="C568" t="s">
        <v>6</v>
      </c>
      <c r="L568">
        <v>3</v>
      </c>
      <c r="X568">
        <v>7</v>
      </c>
      <c r="AB568">
        <v>5</v>
      </c>
      <c r="AE568">
        <v>20</v>
      </c>
      <c r="AH568" t="s">
        <v>996</v>
      </c>
      <c r="AI568" t="s">
        <v>997</v>
      </c>
      <c r="AL568">
        <v>4</v>
      </c>
      <c r="AM568" t="s">
        <v>994</v>
      </c>
      <c r="AN568" t="s">
        <v>743</v>
      </c>
      <c r="AO568" t="s">
        <v>998</v>
      </c>
      <c r="AP568" t="s">
        <v>160</v>
      </c>
      <c r="AQ568" t="s">
        <v>288</v>
      </c>
    </row>
    <row r="569" spans="1:43" hidden="1" x14ac:dyDescent="0.3">
      <c r="A569">
        <v>565</v>
      </c>
      <c r="B569" t="s">
        <v>991</v>
      </c>
      <c r="C569" t="s">
        <v>6</v>
      </c>
      <c r="L569">
        <v>3</v>
      </c>
      <c r="X569">
        <v>7.5</v>
      </c>
      <c r="AB569">
        <v>5</v>
      </c>
      <c r="AE569">
        <v>20</v>
      </c>
      <c r="AH569" t="s">
        <v>996</v>
      </c>
      <c r="AI569" t="s">
        <v>997</v>
      </c>
      <c r="AL569">
        <v>1</v>
      </c>
      <c r="AM569" t="s">
        <v>994</v>
      </c>
      <c r="AN569" t="s">
        <v>743</v>
      </c>
      <c r="AO569" t="s">
        <v>998</v>
      </c>
      <c r="AP569" t="s">
        <v>160</v>
      </c>
      <c r="AQ569" t="s">
        <v>288</v>
      </c>
    </row>
    <row r="570" spans="1:43" hidden="1" x14ac:dyDescent="0.3">
      <c r="A570">
        <v>566</v>
      </c>
      <c r="B570" t="s">
        <v>991</v>
      </c>
      <c r="C570" t="s">
        <v>6</v>
      </c>
      <c r="L570">
        <v>5</v>
      </c>
      <c r="X570">
        <v>7.5</v>
      </c>
      <c r="AB570">
        <v>5</v>
      </c>
      <c r="AE570">
        <v>20</v>
      </c>
      <c r="AH570" t="s">
        <v>996</v>
      </c>
      <c r="AI570" t="s">
        <v>997</v>
      </c>
      <c r="AL570">
        <v>2</v>
      </c>
      <c r="AM570" t="s">
        <v>994</v>
      </c>
      <c r="AN570" t="s">
        <v>743</v>
      </c>
      <c r="AO570" t="s">
        <v>998</v>
      </c>
      <c r="AP570" t="s">
        <v>160</v>
      </c>
      <c r="AQ570" t="s">
        <v>288</v>
      </c>
    </row>
    <row r="571" spans="1:43" hidden="1" x14ac:dyDescent="0.3">
      <c r="A571">
        <v>567</v>
      </c>
      <c r="B571" t="s">
        <v>991</v>
      </c>
      <c r="C571" t="s">
        <v>6</v>
      </c>
      <c r="L571">
        <v>6</v>
      </c>
      <c r="X571">
        <v>7.5</v>
      </c>
      <c r="AB571">
        <v>5</v>
      </c>
      <c r="AE571">
        <v>20</v>
      </c>
      <c r="AH571" t="s">
        <v>996</v>
      </c>
      <c r="AI571" t="s">
        <v>997</v>
      </c>
      <c r="AL571">
        <v>3</v>
      </c>
      <c r="AM571" t="s">
        <v>994</v>
      </c>
      <c r="AN571" t="s">
        <v>743</v>
      </c>
      <c r="AO571" t="s">
        <v>998</v>
      </c>
      <c r="AP571" t="s">
        <v>160</v>
      </c>
      <c r="AQ571" t="s">
        <v>288</v>
      </c>
    </row>
    <row r="572" spans="1:43" hidden="1" x14ac:dyDescent="0.3">
      <c r="A572">
        <v>568</v>
      </c>
      <c r="B572" t="s">
        <v>991</v>
      </c>
      <c r="C572" t="s">
        <v>6</v>
      </c>
      <c r="L572">
        <v>7</v>
      </c>
      <c r="X572">
        <v>7.5</v>
      </c>
      <c r="AB572">
        <v>5</v>
      </c>
      <c r="AE572">
        <v>20</v>
      </c>
      <c r="AH572" t="s">
        <v>996</v>
      </c>
      <c r="AI572" t="s">
        <v>997</v>
      </c>
      <c r="AL572">
        <v>4</v>
      </c>
      <c r="AM572" t="s">
        <v>994</v>
      </c>
      <c r="AN572" t="s">
        <v>743</v>
      </c>
      <c r="AO572" t="s">
        <v>998</v>
      </c>
      <c r="AP572" t="s">
        <v>160</v>
      </c>
      <c r="AQ572" t="s">
        <v>288</v>
      </c>
    </row>
    <row r="573" spans="1:43" hidden="1" x14ac:dyDescent="0.3">
      <c r="A573">
        <v>569</v>
      </c>
      <c r="B573" t="s">
        <v>991</v>
      </c>
      <c r="C573" t="s">
        <v>6</v>
      </c>
      <c r="L573">
        <v>4</v>
      </c>
      <c r="X573">
        <v>8</v>
      </c>
      <c r="AB573">
        <v>5</v>
      </c>
      <c r="AE573">
        <v>20</v>
      </c>
      <c r="AH573" t="s">
        <v>996</v>
      </c>
      <c r="AI573" t="s">
        <v>997</v>
      </c>
      <c r="AL573">
        <v>1</v>
      </c>
      <c r="AM573" t="s">
        <v>994</v>
      </c>
      <c r="AN573" t="s">
        <v>743</v>
      </c>
      <c r="AO573" t="s">
        <v>998</v>
      </c>
      <c r="AP573" t="s">
        <v>160</v>
      </c>
      <c r="AQ573" t="s">
        <v>288</v>
      </c>
    </row>
    <row r="574" spans="1:43" hidden="1" x14ac:dyDescent="0.3">
      <c r="A574">
        <v>570</v>
      </c>
      <c r="B574" t="s">
        <v>991</v>
      </c>
      <c r="C574" t="s">
        <v>6</v>
      </c>
      <c r="L574">
        <v>7</v>
      </c>
      <c r="X574">
        <v>8</v>
      </c>
      <c r="AB574">
        <v>5</v>
      </c>
      <c r="AE574">
        <v>20</v>
      </c>
      <c r="AH574" t="s">
        <v>996</v>
      </c>
      <c r="AI574" t="s">
        <v>997</v>
      </c>
      <c r="AL574">
        <v>2</v>
      </c>
      <c r="AM574" t="s">
        <v>994</v>
      </c>
      <c r="AN574" t="s">
        <v>743</v>
      </c>
      <c r="AO574" t="s">
        <v>998</v>
      </c>
      <c r="AP574" t="s">
        <v>160</v>
      </c>
      <c r="AQ574" t="s">
        <v>288</v>
      </c>
    </row>
    <row r="575" spans="1:43" hidden="1" x14ac:dyDescent="0.3">
      <c r="A575">
        <v>571</v>
      </c>
      <c r="B575" t="s">
        <v>991</v>
      </c>
      <c r="C575" t="s">
        <v>6</v>
      </c>
      <c r="L575">
        <v>9</v>
      </c>
      <c r="X575">
        <v>8</v>
      </c>
      <c r="AB575">
        <v>5</v>
      </c>
      <c r="AE575">
        <v>20</v>
      </c>
      <c r="AH575" t="s">
        <v>996</v>
      </c>
      <c r="AI575" t="s">
        <v>997</v>
      </c>
      <c r="AL575">
        <v>3</v>
      </c>
      <c r="AM575" t="s">
        <v>994</v>
      </c>
      <c r="AN575" t="s">
        <v>743</v>
      </c>
      <c r="AO575" t="s">
        <v>998</v>
      </c>
      <c r="AP575" t="s">
        <v>160</v>
      </c>
      <c r="AQ575" t="s">
        <v>288</v>
      </c>
    </row>
    <row r="576" spans="1:43" hidden="1" x14ac:dyDescent="0.3">
      <c r="A576">
        <v>572</v>
      </c>
      <c r="B576" t="s">
        <v>991</v>
      </c>
      <c r="C576" t="s">
        <v>6</v>
      </c>
      <c r="L576">
        <v>11</v>
      </c>
      <c r="X576">
        <v>8</v>
      </c>
      <c r="AB576">
        <v>5</v>
      </c>
      <c r="AE576">
        <v>20</v>
      </c>
      <c r="AH576" t="s">
        <v>996</v>
      </c>
      <c r="AI576" t="s">
        <v>997</v>
      </c>
      <c r="AL576">
        <v>4</v>
      </c>
      <c r="AM576" t="s">
        <v>994</v>
      </c>
      <c r="AN576" t="s">
        <v>743</v>
      </c>
      <c r="AO576" t="s">
        <v>998</v>
      </c>
      <c r="AP576" t="s">
        <v>160</v>
      </c>
      <c r="AQ576" t="s">
        <v>288</v>
      </c>
    </row>
    <row r="577" spans="1:43" hidden="1" x14ac:dyDescent="0.3">
      <c r="A577">
        <v>573</v>
      </c>
      <c r="B577" t="s">
        <v>991</v>
      </c>
      <c r="C577" t="s">
        <v>6</v>
      </c>
      <c r="L577">
        <v>5</v>
      </c>
      <c r="X577">
        <v>8.5</v>
      </c>
      <c r="AB577">
        <v>5</v>
      </c>
      <c r="AE577">
        <v>20</v>
      </c>
      <c r="AH577" t="s">
        <v>996</v>
      </c>
      <c r="AI577" t="s">
        <v>997</v>
      </c>
      <c r="AL577">
        <v>1</v>
      </c>
      <c r="AM577" t="s">
        <v>994</v>
      </c>
      <c r="AN577" t="s">
        <v>743</v>
      </c>
      <c r="AO577" t="s">
        <v>998</v>
      </c>
      <c r="AP577" t="s">
        <v>160</v>
      </c>
      <c r="AQ577" t="s">
        <v>288</v>
      </c>
    </row>
    <row r="578" spans="1:43" hidden="1" x14ac:dyDescent="0.3">
      <c r="A578">
        <v>574</v>
      </c>
      <c r="B578" t="s">
        <v>991</v>
      </c>
      <c r="C578" t="s">
        <v>6</v>
      </c>
      <c r="L578">
        <v>8</v>
      </c>
      <c r="X578">
        <v>8.5</v>
      </c>
      <c r="AB578">
        <v>5</v>
      </c>
      <c r="AE578">
        <v>20</v>
      </c>
      <c r="AH578" t="s">
        <v>996</v>
      </c>
      <c r="AI578" t="s">
        <v>997</v>
      </c>
      <c r="AL578">
        <v>2</v>
      </c>
      <c r="AM578" t="s">
        <v>994</v>
      </c>
      <c r="AN578" t="s">
        <v>743</v>
      </c>
      <c r="AO578" t="s">
        <v>998</v>
      </c>
      <c r="AP578" t="s">
        <v>160</v>
      </c>
      <c r="AQ578" t="s">
        <v>288</v>
      </c>
    </row>
    <row r="579" spans="1:43" hidden="1" x14ac:dyDescent="0.3">
      <c r="A579">
        <v>575</v>
      </c>
      <c r="B579" t="s">
        <v>991</v>
      </c>
      <c r="C579" t="s">
        <v>6</v>
      </c>
      <c r="L579">
        <v>10</v>
      </c>
      <c r="X579">
        <v>8.5</v>
      </c>
      <c r="AB579">
        <v>5</v>
      </c>
      <c r="AE579">
        <v>20</v>
      </c>
      <c r="AH579" t="s">
        <v>996</v>
      </c>
      <c r="AI579" t="s">
        <v>997</v>
      </c>
      <c r="AL579">
        <v>3</v>
      </c>
      <c r="AM579" t="s">
        <v>994</v>
      </c>
      <c r="AN579" t="s">
        <v>743</v>
      </c>
      <c r="AO579" t="s">
        <v>998</v>
      </c>
      <c r="AP579" t="s">
        <v>160</v>
      </c>
      <c r="AQ579" t="s">
        <v>288</v>
      </c>
    </row>
    <row r="580" spans="1:43" hidden="1" x14ac:dyDescent="0.3">
      <c r="A580">
        <v>576</v>
      </c>
      <c r="B580" t="s">
        <v>991</v>
      </c>
      <c r="C580" t="s">
        <v>6</v>
      </c>
      <c r="L580">
        <v>13</v>
      </c>
      <c r="X580">
        <v>8.5</v>
      </c>
      <c r="AB580">
        <v>5</v>
      </c>
      <c r="AE580">
        <v>20</v>
      </c>
      <c r="AH580" t="s">
        <v>996</v>
      </c>
      <c r="AI580" t="s">
        <v>997</v>
      </c>
      <c r="AL580">
        <v>4</v>
      </c>
      <c r="AM580" t="s">
        <v>994</v>
      </c>
      <c r="AN580" t="s">
        <v>743</v>
      </c>
      <c r="AO580" t="s">
        <v>998</v>
      </c>
      <c r="AP580" t="s">
        <v>160</v>
      </c>
      <c r="AQ580" t="s">
        <v>288</v>
      </c>
    </row>
    <row r="581" spans="1:43" hidden="1" x14ac:dyDescent="0.3">
      <c r="A581">
        <v>577</v>
      </c>
      <c r="B581" t="s">
        <v>991</v>
      </c>
      <c r="C581" t="s">
        <v>6</v>
      </c>
      <c r="L581">
        <v>5</v>
      </c>
      <c r="X581">
        <v>9</v>
      </c>
      <c r="AB581">
        <v>5</v>
      </c>
      <c r="AE581">
        <v>20</v>
      </c>
      <c r="AH581" t="s">
        <v>996</v>
      </c>
      <c r="AI581" t="s">
        <v>997</v>
      </c>
      <c r="AL581">
        <v>1</v>
      </c>
      <c r="AM581" t="s">
        <v>994</v>
      </c>
      <c r="AN581" t="s">
        <v>743</v>
      </c>
      <c r="AO581" t="s">
        <v>998</v>
      </c>
      <c r="AP581" t="s">
        <v>160</v>
      </c>
      <c r="AQ581" t="s">
        <v>288</v>
      </c>
    </row>
    <row r="582" spans="1:43" hidden="1" x14ac:dyDescent="0.3">
      <c r="A582">
        <v>578</v>
      </c>
      <c r="B582" t="s">
        <v>991</v>
      </c>
      <c r="C582" t="s">
        <v>6</v>
      </c>
      <c r="L582">
        <v>8</v>
      </c>
      <c r="X582">
        <v>9</v>
      </c>
      <c r="AB582">
        <v>5</v>
      </c>
      <c r="AE582">
        <v>20</v>
      </c>
      <c r="AH582" t="s">
        <v>996</v>
      </c>
      <c r="AI582" t="s">
        <v>997</v>
      </c>
      <c r="AL582">
        <v>2</v>
      </c>
      <c r="AM582" t="s">
        <v>994</v>
      </c>
      <c r="AN582" t="s">
        <v>743</v>
      </c>
      <c r="AO582" t="s">
        <v>998</v>
      </c>
      <c r="AP582" t="s">
        <v>160</v>
      </c>
      <c r="AQ582" t="s">
        <v>288</v>
      </c>
    </row>
    <row r="583" spans="1:43" hidden="1" x14ac:dyDescent="0.3">
      <c r="A583">
        <v>579</v>
      </c>
      <c r="B583" t="s">
        <v>991</v>
      </c>
      <c r="C583" t="s">
        <v>6</v>
      </c>
      <c r="L583">
        <v>11</v>
      </c>
      <c r="X583">
        <v>9</v>
      </c>
      <c r="AB583">
        <v>5</v>
      </c>
      <c r="AE583">
        <v>20</v>
      </c>
      <c r="AH583" t="s">
        <v>996</v>
      </c>
      <c r="AI583" t="s">
        <v>997</v>
      </c>
      <c r="AL583">
        <v>3</v>
      </c>
      <c r="AM583" t="s">
        <v>994</v>
      </c>
      <c r="AN583" t="s">
        <v>743</v>
      </c>
      <c r="AO583" t="s">
        <v>998</v>
      </c>
      <c r="AP583" t="s">
        <v>160</v>
      </c>
      <c r="AQ583" t="s">
        <v>288</v>
      </c>
    </row>
    <row r="584" spans="1:43" hidden="1" x14ac:dyDescent="0.3">
      <c r="A584">
        <v>580</v>
      </c>
      <c r="B584" t="s">
        <v>991</v>
      </c>
      <c r="C584" t="s">
        <v>6</v>
      </c>
      <c r="L584">
        <v>14</v>
      </c>
      <c r="X584">
        <v>9</v>
      </c>
      <c r="AB584">
        <v>5</v>
      </c>
      <c r="AE584">
        <v>20</v>
      </c>
      <c r="AH584" t="s">
        <v>996</v>
      </c>
      <c r="AI584" t="s">
        <v>997</v>
      </c>
      <c r="AL584">
        <v>4</v>
      </c>
      <c r="AM584" t="s">
        <v>994</v>
      </c>
      <c r="AN584" t="s">
        <v>743</v>
      </c>
      <c r="AO584" t="s">
        <v>998</v>
      </c>
      <c r="AP584" t="s">
        <v>160</v>
      </c>
      <c r="AQ584" t="s">
        <v>288</v>
      </c>
    </row>
    <row r="585" spans="1:43" hidden="1" x14ac:dyDescent="0.3">
      <c r="A585">
        <v>581</v>
      </c>
      <c r="B585" t="s">
        <v>991</v>
      </c>
      <c r="C585" t="s">
        <v>6</v>
      </c>
      <c r="L585">
        <v>1</v>
      </c>
      <c r="X585">
        <v>7</v>
      </c>
      <c r="AB585">
        <v>5</v>
      </c>
      <c r="AE585">
        <v>25</v>
      </c>
      <c r="AH585" t="s">
        <v>996</v>
      </c>
      <c r="AI585" t="s">
        <v>997</v>
      </c>
      <c r="AL585">
        <v>1</v>
      </c>
      <c r="AM585" t="s">
        <v>994</v>
      </c>
      <c r="AN585" t="s">
        <v>743</v>
      </c>
      <c r="AO585" t="s">
        <v>998</v>
      </c>
      <c r="AP585" t="s">
        <v>160</v>
      </c>
      <c r="AQ585" t="s">
        <v>288</v>
      </c>
    </row>
    <row r="586" spans="1:43" hidden="1" x14ac:dyDescent="0.3">
      <c r="A586">
        <v>582</v>
      </c>
      <c r="B586" t="s">
        <v>991</v>
      </c>
      <c r="C586" t="s">
        <v>6</v>
      </c>
      <c r="L586">
        <v>2</v>
      </c>
      <c r="X586">
        <v>7</v>
      </c>
      <c r="AB586">
        <v>5</v>
      </c>
      <c r="AE586">
        <v>25</v>
      </c>
      <c r="AH586" t="s">
        <v>996</v>
      </c>
      <c r="AI586" t="s">
        <v>997</v>
      </c>
      <c r="AL586">
        <v>2</v>
      </c>
      <c r="AM586" t="s">
        <v>994</v>
      </c>
      <c r="AN586" t="s">
        <v>743</v>
      </c>
      <c r="AO586" t="s">
        <v>998</v>
      </c>
      <c r="AP586" t="s">
        <v>160</v>
      </c>
      <c r="AQ586" t="s">
        <v>288</v>
      </c>
    </row>
    <row r="587" spans="1:43" hidden="1" x14ac:dyDescent="0.3">
      <c r="A587">
        <v>583</v>
      </c>
      <c r="B587" t="s">
        <v>991</v>
      </c>
      <c r="C587" t="s">
        <v>6</v>
      </c>
      <c r="L587">
        <v>2</v>
      </c>
      <c r="X587">
        <v>7</v>
      </c>
      <c r="AB587">
        <v>5</v>
      </c>
      <c r="AE587">
        <v>25</v>
      </c>
      <c r="AH587" t="s">
        <v>996</v>
      </c>
      <c r="AI587" t="s">
        <v>997</v>
      </c>
      <c r="AL587">
        <v>3</v>
      </c>
      <c r="AM587" t="s">
        <v>994</v>
      </c>
      <c r="AN587" t="s">
        <v>743</v>
      </c>
      <c r="AO587" t="s">
        <v>998</v>
      </c>
      <c r="AP587" t="s">
        <v>160</v>
      </c>
      <c r="AQ587" t="s">
        <v>288</v>
      </c>
    </row>
    <row r="588" spans="1:43" hidden="1" x14ac:dyDescent="0.3">
      <c r="A588">
        <v>584</v>
      </c>
      <c r="B588" t="s">
        <v>991</v>
      </c>
      <c r="C588" t="s">
        <v>6</v>
      </c>
      <c r="L588">
        <v>3</v>
      </c>
      <c r="X588">
        <v>7</v>
      </c>
      <c r="AB588">
        <v>5</v>
      </c>
      <c r="AE588">
        <v>25</v>
      </c>
      <c r="AH588" t="s">
        <v>996</v>
      </c>
      <c r="AI588" t="s">
        <v>997</v>
      </c>
      <c r="AL588">
        <v>4</v>
      </c>
      <c r="AM588" t="s">
        <v>994</v>
      </c>
      <c r="AN588" t="s">
        <v>743</v>
      </c>
      <c r="AO588" t="s">
        <v>998</v>
      </c>
      <c r="AP588" t="s">
        <v>160</v>
      </c>
      <c r="AQ588" t="s">
        <v>288</v>
      </c>
    </row>
    <row r="589" spans="1:43" hidden="1" x14ac:dyDescent="0.3">
      <c r="A589">
        <v>585</v>
      </c>
      <c r="B589" t="s">
        <v>991</v>
      </c>
      <c r="C589" t="s">
        <v>6</v>
      </c>
      <c r="L589">
        <v>2</v>
      </c>
      <c r="X589">
        <v>7.5</v>
      </c>
      <c r="AB589">
        <v>5</v>
      </c>
      <c r="AE589">
        <v>25</v>
      </c>
      <c r="AH589" t="s">
        <v>996</v>
      </c>
      <c r="AI589" t="s">
        <v>997</v>
      </c>
      <c r="AL589">
        <v>1</v>
      </c>
      <c r="AM589" t="s">
        <v>994</v>
      </c>
      <c r="AN589" t="s">
        <v>743</v>
      </c>
      <c r="AO589" t="s">
        <v>998</v>
      </c>
      <c r="AP589" t="s">
        <v>160</v>
      </c>
      <c r="AQ589" t="s">
        <v>288</v>
      </c>
    </row>
    <row r="590" spans="1:43" hidden="1" x14ac:dyDescent="0.3">
      <c r="A590">
        <v>586</v>
      </c>
      <c r="B590" t="s">
        <v>991</v>
      </c>
      <c r="C590" t="s">
        <v>6</v>
      </c>
      <c r="L590">
        <v>4</v>
      </c>
      <c r="X590">
        <v>7.5</v>
      </c>
      <c r="AB590">
        <v>5</v>
      </c>
      <c r="AE590">
        <v>25</v>
      </c>
      <c r="AH590" t="s">
        <v>996</v>
      </c>
      <c r="AI590" t="s">
        <v>997</v>
      </c>
      <c r="AL590">
        <v>2</v>
      </c>
      <c r="AM590" t="s">
        <v>994</v>
      </c>
      <c r="AN590" t="s">
        <v>743</v>
      </c>
      <c r="AO590" t="s">
        <v>998</v>
      </c>
      <c r="AP590" t="s">
        <v>160</v>
      </c>
      <c r="AQ590" t="s">
        <v>288</v>
      </c>
    </row>
    <row r="591" spans="1:43" hidden="1" x14ac:dyDescent="0.3">
      <c r="A591">
        <v>587</v>
      </c>
      <c r="B591" t="s">
        <v>991</v>
      </c>
      <c r="C591" t="s">
        <v>6</v>
      </c>
      <c r="L591">
        <v>5</v>
      </c>
      <c r="X591">
        <v>7.5</v>
      </c>
      <c r="AB591">
        <v>5</v>
      </c>
      <c r="AE591">
        <v>25</v>
      </c>
      <c r="AH591" t="s">
        <v>996</v>
      </c>
      <c r="AI591" t="s">
        <v>997</v>
      </c>
      <c r="AL591">
        <v>3</v>
      </c>
      <c r="AM591" t="s">
        <v>994</v>
      </c>
      <c r="AN591" t="s">
        <v>743</v>
      </c>
      <c r="AO591" t="s">
        <v>998</v>
      </c>
      <c r="AP591" t="s">
        <v>160</v>
      </c>
      <c r="AQ591" t="s">
        <v>288</v>
      </c>
    </row>
    <row r="592" spans="1:43" hidden="1" x14ac:dyDescent="0.3">
      <c r="A592">
        <v>588</v>
      </c>
      <c r="B592" t="s">
        <v>991</v>
      </c>
      <c r="C592" t="s">
        <v>6</v>
      </c>
      <c r="L592">
        <v>6</v>
      </c>
      <c r="X592">
        <v>7.5</v>
      </c>
      <c r="AB592">
        <v>5</v>
      </c>
      <c r="AE592">
        <v>25</v>
      </c>
      <c r="AH592" t="s">
        <v>996</v>
      </c>
      <c r="AI592" t="s">
        <v>997</v>
      </c>
      <c r="AL592">
        <v>4</v>
      </c>
      <c r="AM592" t="s">
        <v>994</v>
      </c>
      <c r="AN592" t="s">
        <v>743</v>
      </c>
      <c r="AO592" t="s">
        <v>998</v>
      </c>
      <c r="AP592" t="s">
        <v>160</v>
      </c>
      <c r="AQ592" t="s">
        <v>288</v>
      </c>
    </row>
    <row r="593" spans="1:43" hidden="1" x14ac:dyDescent="0.3">
      <c r="A593">
        <v>589</v>
      </c>
      <c r="B593" t="s">
        <v>991</v>
      </c>
      <c r="C593" t="s">
        <v>6</v>
      </c>
      <c r="L593">
        <v>3</v>
      </c>
      <c r="X593">
        <v>8</v>
      </c>
      <c r="AB593">
        <v>5</v>
      </c>
      <c r="AE593">
        <v>25</v>
      </c>
      <c r="AH593" t="s">
        <v>996</v>
      </c>
      <c r="AI593" t="s">
        <v>997</v>
      </c>
      <c r="AL593">
        <v>1</v>
      </c>
      <c r="AM593" t="s">
        <v>994</v>
      </c>
      <c r="AN593" t="s">
        <v>743</v>
      </c>
      <c r="AO593" t="s">
        <v>998</v>
      </c>
      <c r="AP593" t="s">
        <v>160</v>
      </c>
      <c r="AQ593" t="s">
        <v>288</v>
      </c>
    </row>
    <row r="594" spans="1:43" hidden="1" x14ac:dyDescent="0.3">
      <c r="A594">
        <v>590</v>
      </c>
      <c r="B594" t="s">
        <v>991</v>
      </c>
      <c r="C594" t="s">
        <v>6</v>
      </c>
      <c r="L594">
        <v>5</v>
      </c>
      <c r="X594">
        <v>8</v>
      </c>
      <c r="AB594">
        <v>5</v>
      </c>
      <c r="AE594">
        <v>25</v>
      </c>
      <c r="AH594" t="s">
        <v>996</v>
      </c>
      <c r="AI594" t="s">
        <v>997</v>
      </c>
      <c r="AL594">
        <v>2</v>
      </c>
      <c r="AM594" t="s">
        <v>994</v>
      </c>
      <c r="AN594" t="s">
        <v>743</v>
      </c>
      <c r="AO594" t="s">
        <v>998</v>
      </c>
      <c r="AP594" t="s">
        <v>160</v>
      </c>
      <c r="AQ594" t="s">
        <v>288</v>
      </c>
    </row>
    <row r="595" spans="1:43" hidden="1" x14ac:dyDescent="0.3">
      <c r="A595">
        <v>591</v>
      </c>
      <c r="B595" t="s">
        <v>991</v>
      </c>
      <c r="C595" t="s">
        <v>6</v>
      </c>
      <c r="L595">
        <v>7</v>
      </c>
      <c r="X595">
        <v>8</v>
      </c>
      <c r="AB595">
        <v>5</v>
      </c>
      <c r="AE595">
        <v>25</v>
      </c>
      <c r="AH595" t="s">
        <v>996</v>
      </c>
      <c r="AI595" t="s">
        <v>997</v>
      </c>
      <c r="AL595">
        <v>3</v>
      </c>
      <c r="AM595" t="s">
        <v>994</v>
      </c>
      <c r="AN595" t="s">
        <v>743</v>
      </c>
      <c r="AO595" t="s">
        <v>998</v>
      </c>
      <c r="AP595" t="s">
        <v>160</v>
      </c>
      <c r="AQ595" t="s">
        <v>288</v>
      </c>
    </row>
    <row r="596" spans="1:43" hidden="1" x14ac:dyDescent="0.3">
      <c r="A596">
        <v>592</v>
      </c>
      <c r="B596" t="s">
        <v>991</v>
      </c>
      <c r="C596" t="s">
        <v>6</v>
      </c>
      <c r="L596">
        <v>8</v>
      </c>
      <c r="X596">
        <v>8</v>
      </c>
      <c r="AB596">
        <v>5</v>
      </c>
      <c r="AE596">
        <v>25</v>
      </c>
      <c r="AH596" t="s">
        <v>996</v>
      </c>
      <c r="AI596" t="s">
        <v>997</v>
      </c>
      <c r="AL596">
        <v>4</v>
      </c>
      <c r="AM596" t="s">
        <v>994</v>
      </c>
      <c r="AN596" t="s">
        <v>743</v>
      </c>
      <c r="AO596" t="s">
        <v>998</v>
      </c>
      <c r="AP596" t="s">
        <v>160</v>
      </c>
      <c r="AQ596" t="s">
        <v>288</v>
      </c>
    </row>
    <row r="597" spans="1:43" hidden="1" x14ac:dyDescent="0.3">
      <c r="A597">
        <v>593</v>
      </c>
      <c r="B597" t="s">
        <v>991</v>
      </c>
      <c r="C597" t="s">
        <v>6</v>
      </c>
      <c r="L597">
        <v>4</v>
      </c>
      <c r="X597">
        <v>8.5</v>
      </c>
      <c r="AB597">
        <v>5</v>
      </c>
      <c r="AE597">
        <v>25</v>
      </c>
      <c r="AH597" t="s">
        <v>996</v>
      </c>
      <c r="AI597" t="s">
        <v>997</v>
      </c>
      <c r="AL597">
        <v>1</v>
      </c>
      <c r="AM597" t="s">
        <v>994</v>
      </c>
      <c r="AN597" t="s">
        <v>743</v>
      </c>
      <c r="AO597" t="s">
        <v>998</v>
      </c>
      <c r="AP597" t="s">
        <v>160</v>
      </c>
      <c r="AQ597" t="s">
        <v>288</v>
      </c>
    </row>
    <row r="598" spans="1:43" hidden="1" x14ac:dyDescent="0.3">
      <c r="A598">
        <v>594</v>
      </c>
      <c r="B598" t="s">
        <v>991</v>
      </c>
      <c r="C598" t="s">
        <v>6</v>
      </c>
      <c r="L598">
        <v>6</v>
      </c>
      <c r="X598">
        <v>8.5</v>
      </c>
      <c r="AB598">
        <v>5</v>
      </c>
      <c r="AE598">
        <v>25</v>
      </c>
      <c r="AH598" t="s">
        <v>996</v>
      </c>
      <c r="AI598" t="s">
        <v>997</v>
      </c>
      <c r="AL598">
        <v>2</v>
      </c>
      <c r="AM598" t="s">
        <v>994</v>
      </c>
      <c r="AN598" t="s">
        <v>743</v>
      </c>
      <c r="AO598" t="s">
        <v>998</v>
      </c>
      <c r="AP598" t="s">
        <v>160</v>
      </c>
      <c r="AQ598" t="s">
        <v>288</v>
      </c>
    </row>
    <row r="599" spans="1:43" hidden="1" x14ac:dyDescent="0.3">
      <c r="A599">
        <v>595</v>
      </c>
      <c r="B599" t="s">
        <v>991</v>
      </c>
      <c r="C599" t="s">
        <v>6</v>
      </c>
      <c r="L599">
        <v>8</v>
      </c>
      <c r="X599">
        <v>8.5</v>
      </c>
      <c r="AB599">
        <v>5</v>
      </c>
      <c r="AE599">
        <v>25</v>
      </c>
      <c r="AH599" t="s">
        <v>996</v>
      </c>
      <c r="AI599" t="s">
        <v>997</v>
      </c>
      <c r="AL599">
        <v>3</v>
      </c>
      <c r="AM599" t="s">
        <v>994</v>
      </c>
      <c r="AN599" t="s">
        <v>743</v>
      </c>
      <c r="AO599" t="s">
        <v>998</v>
      </c>
      <c r="AP599" t="s">
        <v>160</v>
      </c>
      <c r="AQ599" t="s">
        <v>288</v>
      </c>
    </row>
    <row r="600" spans="1:43" hidden="1" x14ac:dyDescent="0.3">
      <c r="A600">
        <v>596</v>
      </c>
      <c r="B600" t="s">
        <v>991</v>
      </c>
      <c r="C600" t="s">
        <v>6</v>
      </c>
      <c r="L600">
        <v>9</v>
      </c>
      <c r="X600">
        <v>8.5</v>
      </c>
      <c r="AB600">
        <v>5</v>
      </c>
      <c r="AE600">
        <v>25</v>
      </c>
      <c r="AH600" t="s">
        <v>996</v>
      </c>
      <c r="AI600" t="s">
        <v>997</v>
      </c>
      <c r="AL600">
        <v>4</v>
      </c>
      <c r="AM600" t="s">
        <v>994</v>
      </c>
      <c r="AN600" t="s">
        <v>743</v>
      </c>
      <c r="AO600" t="s">
        <v>998</v>
      </c>
      <c r="AP600" t="s">
        <v>160</v>
      </c>
      <c r="AQ600" t="s">
        <v>288</v>
      </c>
    </row>
    <row r="601" spans="1:43" hidden="1" x14ac:dyDescent="0.3">
      <c r="A601">
        <v>597</v>
      </c>
      <c r="B601" t="s">
        <v>991</v>
      </c>
      <c r="C601" t="s">
        <v>6</v>
      </c>
      <c r="L601">
        <v>4</v>
      </c>
      <c r="X601">
        <v>9</v>
      </c>
      <c r="AB601">
        <v>5</v>
      </c>
      <c r="AE601">
        <v>25</v>
      </c>
      <c r="AH601" t="s">
        <v>996</v>
      </c>
      <c r="AI601" t="s">
        <v>997</v>
      </c>
      <c r="AL601">
        <v>1</v>
      </c>
      <c r="AM601" t="s">
        <v>994</v>
      </c>
      <c r="AN601" t="s">
        <v>743</v>
      </c>
      <c r="AO601" t="s">
        <v>998</v>
      </c>
      <c r="AP601" t="s">
        <v>160</v>
      </c>
      <c r="AQ601" t="s">
        <v>288</v>
      </c>
    </row>
    <row r="602" spans="1:43" hidden="1" x14ac:dyDescent="0.3">
      <c r="A602">
        <v>598</v>
      </c>
      <c r="B602" t="s">
        <v>991</v>
      </c>
      <c r="C602" t="s">
        <v>6</v>
      </c>
      <c r="L602">
        <v>6</v>
      </c>
      <c r="X602">
        <v>9</v>
      </c>
      <c r="AB602">
        <v>5</v>
      </c>
      <c r="AE602">
        <v>25</v>
      </c>
      <c r="AH602" t="s">
        <v>996</v>
      </c>
      <c r="AI602" t="s">
        <v>997</v>
      </c>
      <c r="AL602">
        <v>2</v>
      </c>
      <c r="AM602" t="s">
        <v>994</v>
      </c>
      <c r="AN602" t="s">
        <v>743</v>
      </c>
      <c r="AO602" t="s">
        <v>998</v>
      </c>
      <c r="AP602" t="s">
        <v>160</v>
      </c>
      <c r="AQ602" t="s">
        <v>288</v>
      </c>
    </row>
    <row r="603" spans="1:43" hidden="1" x14ac:dyDescent="0.3">
      <c r="A603">
        <v>599</v>
      </c>
      <c r="B603" t="s">
        <v>991</v>
      </c>
      <c r="C603" t="s">
        <v>6</v>
      </c>
      <c r="L603">
        <v>8</v>
      </c>
      <c r="X603">
        <v>9</v>
      </c>
      <c r="AB603">
        <v>5</v>
      </c>
      <c r="AE603">
        <v>25</v>
      </c>
      <c r="AH603" t="s">
        <v>996</v>
      </c>
      <c r="AI603" t="s">
        <v>997</v>
      </c>
      <c r="AL603">
        <v>3</v>
      </c>
      <c r="AM603" t="s">
        <v>994</v>
      </c>
      <c r="AN603" t="s">
        <v>743</v>
      </c>
      <c r="AO603" t="s">
        <v>998</v>
      </c>
      <c r="AP603" t="s">
        <v>160</v>
      </c>
      <c r="AQ603" t="s">
        <v>288</v>
      </c>
    </row>
    <row r="604" spans="1:43" hidden="1" x14ac:dyDescent="0.3">
      <c r="A604">
        <v>600</v>
      </c>
      <c r="B604" t="s">
        <v>991</v>
      </c>
      <c r="C604" t="s">
        <v>6</v>
      </c>
      <c r="L604">
        <v>10</v>
      </c>
      <c r="X604">
        <v>9</v>
      </c>
      <c r="AB604">
        <v>5</v>
      </c>
      <c r="AE604">
        <v>25</v>
      </c>
      <c r="AH604" t="s">
        <v>996</v>
      </c>
      <c r="AI604" t="s">
        <v>997</v>
      </c>
      <c r="AL604">
        <v>4</v>
      </c>
      <c r="AM604" t="s">
        <v>994</v>
      </c>
      <c r="AN604" t="s">
        <v>743</v>
      </c>
      <c r="AO604" t="s">
        <v>998</v>
      </c>
      <c r="AP604" t="s">
        <v>160</v>
      </c>
      <c r="AQ604" t="s">
        <v>288</v>
      </c>
    </row>
    <row r="605" spans="1:43" hidden="1" x14ac:dyDescent="0.3">
      <c r="A605">
        <v>601</v>
      </c>
      <c r="B605" t="s">
        <v>999</v>
      </c>
      <c r="C605" t="s">
        <v>335</v>
      </c>
      <c r="L605">
        <v>4</v>
      </c>
      <c r="AE605">
        <v>5</v>
      </c>
      <c r="AH605" t="s">
        <v>1000</v>
      </c>
      <c r="AI605" t="s">
        <v>1001</v>
      </c>
      <c r="AJ605" t="s">
        <v>1002</v>
      </c>
      <c r="AL605">
        <v>0.25</v>
      </c>
      <c r="AM605" t="s">
        <v>1003</v>
      </c>
      <c r="AN605" t="s">
        <v>642</v>
      </c>
      <c r="AO605" t="s">
        <v>1004</v>
      </c>
      <c r="AP605" t="s">
        <v>160</v>
      </c>
      <c r="AQ605" t="s">
        <v>288</v>
      </c>
    </row>
    <row r="606" spans="1:43" hidden="1" x14ac:dyDescent="0.3">
      <c r="A606">
        <v>602</v>
      </c>
      <c r="B606" t="s">
        <v>999</v>
      </c>
      <c r="C606" t="s">
        <v>335</v>
      </c>
      <c r="L606">
        <v>7.9</v>
      </c>
      <c r="AE606">
        <v>5</v>
      </c>
      <c r="AH606" t="s">
        <v>1000</v>
      </c>
      <c r="AI606" t="s">
        <v>1001</v>
      </c>
      <c r="AJ606" t="s">
        <v>1002</v>
      </c>
      <c r="AL606">
        <v>0.5</v>
      </c>
      <c r="AM606" t="s">
        <v>1003</v>
      </c>
      <c r="AN606" t="s">
        <v>642</v>
      </c>
      <c r="AO606" t="s">
        <v>1004</v>
      </c>
      <c r="AP606" t="s">
        <v>160</v>
      </c>
      <c r="AQ606" t="s">
        <v>288</v>
      </c>
    </row>
    <row r="607" spans="1:43" hidden="1" x14ac:dyDescent="0.3">
      <c r="A607">
        <v>603</v>
      </c>
      <c r="B607" t="s">
        <v>999</v>
      </c>
      <c r="C607" t="s">
        <v>335</v>
      </c>
      <c r="L607">
        <v>16</v>
      </c>
      <c r="AE607">
        <v>5</v>
      </c>
      <c r="AH607" t="s">
        <v>1000</v>
      </c>
      <c r="AI607" t="s">
        <v>1001</v>
      </c>
      <c r="AJ607" t="s">
        <v>1002</v>
      </c>
      <c r="AL607">
        <v>1</v>
      </c>
      <c r="AM607" t="s">
        <v>1003</v>
      </c>
      <c r="AN607" t="s">
        <v>642</v>
      </c>
      <c r="AO607" t="s">
        <v>1004</v>
      </c>
      <c r="AP607" t="s">
        <v>160</v>
      </c>
      <c r="AQ607" t="s">
        <v>288</v>
      </c>
    </row>
    <row r="608" spans="1:43" hidden="1" x14ac:dyDescent="0.3">
      <c r="A608">
        <v>604</v>
      </c>
      <c r="B608" t="s">
        <v>999</v>
      </c>
      <c r="C608" t="s">
        <v>335</v>
      </c>
      <c r="L608">
        <v>24</v>
      </c>
      <c r="AE608">
        <v>5</v>
      </c>
      <c r="AH608" t="s">
        <v>1000</v>
      </c>
      <c r="AI608" t="s">
        <v>1001</v>
      </c>
      <c r="AJ608" t="s">
        <v>1002</v>
      </c>
      <c r="AL608">
        <v>1.5</v>
      </c>
      <c r="AM608" t="s">
        <v>1003</v>
      </c>
      <c r="AN608" t="s">
        <v>642</v>
      </c>
      <c r="AO608" t="s">
        <v>1004</v>
      </c>
      <c r="AP608" t="s">
        <v>160</v>
      </c>
      <c r="AQ608" t="s">
        <v>288</v>
      </c>
    </row>
    <row r="609" spans="1:43" hidden="1" x14ac:dyDescent="0.3">
      <c r="A609">
        <v>605</v>
      </c>
      <c r="B609" t="s">
        <v>999</v>
      </c>
      <c r="C609" t="s">
        <v>335</v>
      </c>
      <c r="L609">
        <v>32</v>
      </c>
      <c r="AE609">
        <v>5</v>
      </c>
      <c r="AH609" t="s">
        <v>1000</v>
      </c>
      <c r="AI609" t="s">
        <v>1001</v>
      </c>
      <c r="AJ609" t="s">
        <v>1002</v>
      </c>
      <c r="AL609">
        <v>2</v>
      </c>
      <c r="AM609" t="s">
        <v>1003</v>
      </c>
      <c r="AN609" t="s">
        <v>642</v>
      </c>
      <c r="AO609" t="s">
        <v>1004</v>
      </c>
      <c r="AP609" t="s">
        <v>160</v>
      </c>
      <c r="AQ609" t="s">
        <v>288</v>
      </c>
    </row>
    <row r="610" spans="1:43" hidden="1" x14ac:dyDescent="0.3">
      <c r="A610">
        <v>606</v>
      </c>
      <c r="B610" t="s">
        <v>999</v>
      </c>
      <c r="C610" t="s">
        <v>335</v>
      </c>
      <c r="L610">
        <v>40</v>
      </c>
      <c r="AE610">
        <v>5</v>
      </c>
      <c r="AH610" t="s">
        <v>1000</v>
      </c>
      <c r="AI610" t="s">
        <v>1001</v>
      </c>
      <c r="AJ610" t="s">
        <v>1002</v>
      </c>
      <c r="AL610">
        <v>2.5</v>
      </c>
      <c r="AM610" t="s">
        <v>1003</v>
      </c>
      <c r="AN610" t="s">
        <v>642</v>
      </c>
      <c r="AO610" t="s">
        <v>1004</v>
      </c>
      <c r="AP610" t="s">
        <v>160</v>
      </c>
      <c r="AQ610" t="s">
        <v>288</v>
      </c>
    </row>
    <row r="611" spans="1:43" hidden="1" x14ac:dyDescent="0.3">
      <c r="A611">
        <v>607</v>
      </c>
      <c r="B611" t="s">
        <v>999</v>
      </c>
      <c r="C611" t="s">
        <v>335</v>
      </c>
      <c r="L611">
        <v>47</v>
      </c>
      <c r="AE611">
        <v>5</v>
      </c>
      <c r="AH611" t="s">
        <v>1000</v>
      </c>
      <c r="AI611" t="s">
        <v>1001</v>
      </c>
      <c r="AJ611" t="s">
        <v>1002</v>
      </c>
      <c r="AL611">
        <v>3</v>
      </c>
      <c r="AM611" t="s">
        <v>1003</v>
      </c>
      <c r="AN611" t="s">
        <v>642</v>
      </c>
      <c r="AO611" t="s">
        <v>1004</v>
      </c>
      <c r="AP611" t="s">
        <v>160</v>
      </c>
      <c r="AQ611" t="s">
        <v>288</v>
      </c>
    </row>
    <row r="612" spans="1:43" hidden="1" x14ac:dyDescent="0.3">
      <c r="A612">
        <v>608</v>
      </c>
      <c r="B612" t="s">
        <v>999</v>
      </c>
      <c r="C612" t="s">
        <v>335</v>
      </c>
      <c r="L612">
        <v>2.5</v>
      </c>
      <c r="AE612">
        <v>10</v>
      </c>
      <c r="AH612" t="s">
        <v>1000</v>
      </c>
      <c r="AI612" t="s">
        <v>1001</v>
      </c>
      <c r="AJ612" t="s">
        <v>1002</v>
      </c>
      <c r="AL612">
        <v>0.25</v>
      </c>
      <c r="AM612" t="s">
        <v>1003</v>
      </c>
      <c r="AN612" t="s">
        <v>642</v>
      </c>
      <c r="AO612" t="s">
        <v>1004</v>
      </c>
      <c r="AP612" t="s">
        <v>160</v>
      </c>
      <c r="AQ612" t="s">
        <v>288</v>
      </c>
    </row>
    <row r="613" spans="1:43" hidden="1" x14ac:dyDescent="0.3">
      <c r="A613">
        <v>609</v>
      </c>
      <c r="B613" t="s">
        <v>999</v>
      </c>
      <c r="C613" t="s">
        <v>335</v>
      </c>
      <c r="L613">
        <v>4.9000000000000004</v>
      </c>
      <c r="AE613">
        <v>10</v>
      </c>
      <c r="AH613" t="s">
        <v>1000</v>
      </c>
      <c r="AI613" t="s">
        <v>1001</v>
      </c>
      <c r="AJ613" t="s">
        <v>1002</v>
      </c>
      <c r="AL613">
        <v>0.5</v>
      </c>
      <c r="AM613" t="s">
        <v>1003</v>
      </c>
      <c r="AN613" t="s">
        <v>642</v>
      </c>
      <c r="AO613" t="s">
        <v>1004</v>
      </c>
      <c r="AP613" t="s">
        <v>160</v>
      </c>
      <c r="AQ613" t="s">
        <v>288</v>
      </c>
    </row>
    <row r="614" spans="1:43" hidden="1" x14ac:dyDescent="0.3">
      <c r="A614">
        <v>610</v>
      </c>
      <c r="B614" t="s">
        <v>999</v>
      </c>
      <c r="C614" t="s">
        <v>335</v>
      </c>
      <c r="L614">
        <v>9.9</v>
      </c>
      <c r="AE614">
        <v>10</v>
      </c>
      <c r="AH614" t="s">
        <v>1000</v>
      </c>
      <c r="AI614" t="s">
        <v>1001</v>
      </c>
      <c r="AJ614" t="s">
        <v>1002</v>
      </c>
      <c r="AL614">
        <v>1</v>
      </c>
      <c r="AM614" t="s">
        <v>1003</v>
      </c>
      <c r="AN614" t="s">
        <v>642</v>
      </c>
      <c r="AO614" t="s">
        <v>1004</v>
      </c>
      <c r="AP614" t="s">
        <v>160</v>
      </c>
      <c r="AQ614" t="s">
        <v>288</v>
      </c>
    </row>
    <row r="615" spans="1:43" hidden="1" x14ac:dyDescent="0.3">
      <c r="A615">
        <v>611</v>
      </c>
      <c r="B615" t="s">
        <v>999</v>
      </c>
      <c r="C615" t="s">
        <v>335</v>
      </c>
      <c r="L615">
        <v>15</v>
      </c>
      <c r="AE615">
        <v>10</v>
      </c>
      <c r="AH615" t="s">
        <v>1000</v>
      </c>
      <c r="AI615" t="s">
        <v>1001</v>
      </c>
      <c r="AJ615" t="s">
        <v>1002</v>
      </c>
      <c r="AL615">
        <v>1.5</v>
      </c>
      <c r="AM615" t="s">
        <v>1003</v>
      </c>
      <c r="AN615" t="s">
        <v>642</v>
      </c>
      <c r="AO615" t="s">
        <v>1004</v>
      </c>
      <c r="AP615" t="s">
        <v>160</v>
      </c>
      <c r="AQ615" t="s">
        <v>288</v>
      </c>
    </row>
    <row r="616" spans="1:43" hidden="1" x14ac:dyDescent="0.3">
      <c r="A616">
        <v>612</v>
      </c>
      <c r="B616" t="s">
        <v>999</v>
      </c>
      <c r="C616" t="s">
        <v>335</v>
      </c>
      <c r="L616">
        <v>20</v>
      </c>
      <c r="AE616">
        <v>10</v>
      </c>
      <c r="AH616" t="s">
        <v>1000</v>
      </c>
      <c r="AI616" t="s">
        <v>1001</v>
      </c>
      <c r="AJ616" t="s">
        <v>1002</v>
      </c>
      <c r="AL616">
        <v>2</v>
      </c>
      <c r="AM616" t="s">
        <v>1003</v>
      </c>
      <c r="AN616" t="s">
        <v>642</v>
      </c>
      <c r="AO616" t="s">
        <v>1004</v>
      </c>
      <c r="AP616" t="s">
        <v>160</v>
      </c>
      <c r="AQ616" t="s">
        <v>288</v>
      </c>
    </row>
    <row r="617" spans="1:43" hidden="1" x14ac:dyDescent="0.3">
      <c r="A617">
        <v>613</v>
      </c>
      <c r="B617" t="s">
        <v>999</v>
      </c>
      <c r="C617" t="s">
        <v>335</v>
      </c>
      <c r="L617">
        <v>25</v>
      </c>
      <c r="AE617">
        <v>10</v>
      </c>
      <c r="AH617" t="s">
        <v>1000</v>
      </c>
      <c r="AI617" t="s">
        <v>1001</v>
      </c>
      <c r="AJ617" t="s">
        <v>1002</v>
      </c>
      <c r="AL617">
        <v>2.5</v>
      </c>
      <c r="AM617" t="s">
        <v>1003</v>
      </c>
      <c r="AN617" t="s">
        <v>642</v>
      </c>
      <c r="AO617" t="s">
        <v>1004</v>
      </c>
      <c r="AP617" t="s">
        <v>160</v>
      </c>
      <c r="AQ617" t="s">
        <v>288</v>
      </c>
    </row>
    <row r="618" spans="1:43" hidden="1" x14ac:dyDescent="0.3">
      <c r="A618">
        <v>614</v>
      </c>
      <c r="B618" t="s">
        <v>999</v>
      </c>
      <c r="C618" t="s">
        <v>335</v>
      </c>
      <c r="L618">
        <v>30</v>
      </c>
      <c r="AE618">
        <v>10</v>
      </c>
      <c r="AH618" t="s">
        <v>1000</v>
      </c>
      <c r="AI618" t="s">
        <v>1001</v>
      </c>
      <c r="AJ618" t="s">
        <v>1002</v>
      </c>
      <c r="AL618">
        <v>3</v>
      </c>
      <c r="AM618" t="s">
        <v>1003</v>
      </c>
      <c r="AN618" t="s">
        <v>642</v>
      </c>
      <c r="AO618" t="s">
        <v>1004</v>
      </c>
      <c r="AP618" t="s">
        <v>160</v>
      </c>
      <c r="AQ618" t="s">
        <v>288</v>
      </c>
    </row>
    <row r="619" spans="1:43" hidden="1" x14ac:dyDescent="0.3">
      <c r="A619">
        <v>615</v>
      </c>
      <c r="B619" t="s">
        <v>999</v>
      </c>
      <c r="C619" t="s">
        <v>335</v>
      </c>
      <c r="L619">
        <v>1.6</v>
      </c>
      <c r="AE619">
        <v>15</v>
      </c>
      <c r="AH619" t="s">
        <v>1000</v>
      </c>
      <c r="AI619" t="s">
        <v>1001</v>
      </c>
      <c r="AJ619" t="s">
        <v>1002</v>
      </c>
      <c r="AL619">
        <v>0.25</v>
      </c>
      <c r="AM619" t="s">
        <v>1003</v>
      </c>
      <c r="AN619" t="s">
        <v>642</v>
      </c>
      <c r="AO619" t="s">
        <v>1004</v>
      </c>
      <c r="AP619" t="s">
        <v>160</v>
      </c>
      <c r="AQ619" t="s">
        <v>288</v>
      </c>
    </row>
    <row r="620" spans="1:43" hidden="1" x14ac:dyDescent="0.3">
      <c r="A620">
        <v>616</v>
      </c>
      <c r="B620" t="s">
        <v>999</v>
      </c>
      <c r="C620" t="s">
        <v>335</v>
      </c>
      <c r="L620">
        <v>3.1</v>
      </c>
      <c r="AE620">
        <v>15</v>
      </c>
      <c r="AH620" t="s">
        <v>1000</v>
      </c>
      <c r="AI620" t="s">
        <v>1001</v>
      </c>
      <c r="AJ620" t="s">
        <v>1002</v>
      </c>
      <c r="AL620">
        <v>0.5</v>
      </c>
      <c r="AM620" t="s">
        <v>1003</v>
      </c>
      <c r="AN620" t="s">
        <v>642</v>
      </c>
      <c r="AO620" t="s">
        <v>1004</v>
      </c>
      <c r="AP620" t="s">
        <v>160</v>
      </c>
      <c r="AQ620" t="s">
        <v>288</v>
      </c>
    </row>
    <row r="621" spans="1:43" hidden="1" x14ac:dyDescent="0.3">
      <c r="A621">
        <v>617</v>
      </c>
      <c r="B621" t="s">
        <v>999</v>
      </c>
      <c r="C621" t="s">
        <v>335</v>
      </c>
      <c r="L621">
        <v>6.2</v>
      </c>
      <c r="AE621">
        <v>15</v>
      </c>
      <c r="AH621" t="s">
        <v>1000</v>
      </c>
      <c r="AI621" t="s">
        <v>1001</v>
      </c>
      <c r="AJ621" t="s">
        <v>1002</v>
      </c>
      <c r="AL621">
        <v>1</v>
      </c>
      <c r="AM621" t="s">
        <v>1003</v>
      </c>
      <c r="AN621" t="s">
        <v>642</v>
      </c>
      <c r="AO621" t="s">
        <v>1004</v>
      </c>
      <c r="AP621" t="s">
        <v>160</v>
      </c>
      <c r="AQ621" t="s">
        <v>288</v>
      </c>
    </row>
    <row r="622" spans="1:43" hidden="1" x14ac:dyDescent="0.3">
      <c r="A622">
        <v>618</v>
      </c>
      <c r="B622" t="s">
        <v>999</v>
      </c>
      <c r="C622" t="s">
        <v>335</v>
      </c>
      <c r="L622">
        <v>9.3000000000000007</v>
      </c>
      <c r="AE622">
        <v>15</v>
      </c>
      <c r="AH622" t="s">
        <v>1000</v>
      </c>
      <c r="AI622" t="s">
        <v>1001</v>
      </c>
      <c r="AJ622" t="s">
        <v>1002</v>
      </c>
      <c r="AL622">
        <v>1.5</v>
      </c>
      <c r="AM622" t="s">
        <v>1003</v>
      </c>
      <c r="AN622" t="s">
        <v>642</v>
      </c>
      <c r="AO622" t="s">
        <v>1004</v>
      </c>
      <c r="AP622" t="s">
        <v>160</v>
      </c>
      <c r="AQ622" t="s">
        <v>288</v>
      </c>
    </row>
    <row r="623" spans="1:43" hidden="1" x14ac:dyDescent="0.3">
      <c r="A623">
        <v>619</v>
      </c>
      <c r="B623" t="s">
        <v>999</v>
      </c>
      <c r="C623" t="s">
        <v>335</v>
      </c>
      <c r="L623">
        <v>12</v>
      </c>
      <c r="AE623">
        <v>15</v>
      </c>
      <c r="AH623" t="s">
        <v>1000</v>
      </c>
      <c r="AI623" t="s">
        <v>1001</v>
      </c>
      <c r="AJ623" t="s">
        <v>1002</v>
      </c>
      <c r="AL623">
        <v>2</v>
      </c>
      <c r="AM623" t="s">
        <v>1003</v>
      </c>
      <c r="AN623" t="s">
        <v>642</v>
      </c>
      <c r="AO623" t="s">
        <v>1004</v>
      </c>
      <c r="AP623" t="s">
        <v>160</v>
      </c>
      <c r="AQ623" t="s">
        <v>288</v>
      </c>
    </row>
    <row r="624" spans="1:43" hidden="1" x14ac:dyDescent="0.3">
      <c r="A624">
        <v>620</v>
      </c>
      <c r="B624" t="s">
        <v>999</v>
      </c>
      <c r="C624" t="s">
        <v>335</v>
      </c>
      <c r="L624">
        <v>16</v>
      </c>
      <c r="AE624">
        <v>15</v>
      </c>
      <c r="AH624" t="s">
        <v>1000</v>
      </c>
      <c r="AI624" t="s">
        <v>1001</v>
      </c>
      <c r="AJ624" t="s">
        <v>1002</v>
      </c>
      <c r="AL624">
        <v>2.5</v>
      </c>
      <c r="AM624" t="s">
        <v>1003</v>
      </c>
      <c r="AN624" t="s">
        <v>642</v>
      </c>
      <c r="AO624" t="s">
        <v>1004</v>
      </c>
      <c r="AP624" t="s">
        <v>160</v>
      </c>
      <c r="AQ624" t="s">
        <v>288</v>
      </c>
    </row>
    <row r="625" spans="1:43" hidden="1" x14ac:dyDescent="0.3">
      <c r="A625">
        <v>621</v>
      </c>
      <c r="B625" t="s">
        <v>999</v>
      </c>
      <c r="C625" t="s">
        <v>335</v>
      </c>
      <c r="L625">
        <v>19</v>
      </c>
      <c r="AE625">
        <v>15</v>
      </c>
      <c r="AH625" t="s">
        <v>1000</v>
      </c>
      <c r="AI625" t="s">
        <v>1001</v>
      </c>
      <c r="AJ625" t="s">
        <v>1002</v>
      </c>
      <c r="AL625">
        <v>3</v>
      </c>
      <c r="AM625" t="s">
        <v>1003</v>
      </c>
      <c r="AN625" t="s">
        <v>642</v>
      </c>
      <c r="AO625" t="s">
        <v>1004</v>
      </c>
      <c r="AP625" t="s">
        <v>160</v>
      </c>
      <c r="AQ625" t="s">
        <v>288</v>
      </c>
    </row>
    <row r="626" spans="1:43" hidden="1" x14ac:dyDescent="0.3">
      <c r="A626">
        <v>622</v>
      </c>
      <c r="B626" t="s">
        <v>999</v>
      </c>
      <c r="C626" t="s">
        <v>335</v>
      </c>
      <c r="L626">
        <v>1</v>
      </c>
      <c r="AE626">
        <v>20</v>
      </c>
      <c r="AH626" t="s">
        <v>1000</v>
      </c>
      <c r="AI626" t="s">
        <v>1001</v>
      </c>
      <c r="AJ626" t="s">
        <v>1002</v>
      </c>
      <c r="AL626">
        <v>0.25</v>
      </c>
      <c r="AM626" t="s">
        <v>1003</v>
      </c>
      <c r="AN626" t="s">
        <v>642</v>
      </c>
      <c r="AO626" t="s">
        <v>1004</v>
      </c>
      <c r="AP626" t="s">
        <v>160</v>
      </c>
      <c r="AQ626" t="s">
        <v>288</v>
      </c>
    </row>
    <row r="627" spans="1:43" hidden="1" x14ac:dyDescent="0.3">
      <c r="A627">
        <v>623</v>
      </c>
      <c r="B627" t="s">
        <v>999</v>
      </c>
      <c r="C627" t="s">
        <v>335</v>
      </c>
      <c r="L627">
        <v>2</v>
      </c>
      <c r="AE627">
        <v>20</v>
      </c>
      <c r="AH627" t="s">
        <v>1000</v>
      </c>
      <c r="AI627" t="s">
        <v>1001</v>
      </c>
      <c r="AJ627" t="s">
        <v>1002</v>
      </c>
      <c r="AL627">
        <v>0.5</v>
      </c>
      <c r="AM627" t="s">
        <v>1003</v>
      </c>
      <c r="AN627" t="s">
        <v>642</v>
      </c>
      <c r="AO627" t="s">
        <v>1004</v>
      </c>
      <c r="AP627" t="s">
        <v>160</v>
      </c>
      <c r="AQ627" t="s">
        <v>288</v>
      </c>
    </row>
    <row r="628" spans="1:43" hidden="1" x14ac:dyDescent="0.3">
      <c r="A628">
        <v>624</v>
      </c>
      <c r="B628" t="s">
        <v>999</v>
      </c>
      <c r="C628" t="s">
        <v>335</v>
      </c>
      <c r="L628">
        <v>3.9</v>
      </c>
      <c r="AE628">
        <v>20</v>
      </c>
      <c r="AH628" t="s">
        <v>1000</v>
      </c>
      <c r="AI628" t="s">
        <v>1001</v>
      </c>
      <c r="AJ628" t="s">
        <v>1002</v>
      </c>
      <c r="AL628">
        <v>1</v>
      </c>
      <c r="AM628" t="s">
        <v>1003</v>
      </c>
      <c r="AN628" t="s">
        <v>642</v>
      </c>
      <c r="AO628" t="s">
        <v>1004</v>
      </c>
      <c r="AP628" t="s">
        <v>160</v>
      </c>
      <c r="AQ628" t="s">
        <v>288</v>
      </c>
    </row>
    <row r="629" spans="1:43" hidden="1" x14ac:dyDescent="0.3">
      <c r="A629">
        <v>625</v>
      </c>
      <c r="B629" t="s">
        <v>999</v>
      </c>
      <c r="C629" t="s">
        <v>335</v>
      </c>
      <c r="L629">
        <v>5.9</v>
      </c>
      <c r="AE629">
        <v>20</v>
      </c>
      <c r="AH629" t="s">
        <v>1000</v>
      </c>
      <c r="AI629" t="s">
        <v>1001</v>
      </c>
      <c r="AJ629" t="s">
        <v>1002</v>
      </c>
      <c r="AL629">
        <v>1.5</v>
      </c>
      <c r="AM629" t="s">
        <v>1003</v>
      </c>
      <c r="AN629" t="s">
        <v>642</v>
      </c>
      <c r="AO629" t="s">
        <v>1004</v>
      </c>
      <c r="AP629" t="s">
        <v>160</v>
      </c>
      <c r="AQ629" t="s">
        <v>288</v>
      </c>
    </row>
    <row r="630" spans="1:43" hidden="1" x14ac:dyDescent="0.3">
      <c r="A630">
        <v>626</v>
      </c>
      <c r="B630" t="s">
        <v>999</v>
      </c>
      <c r="C630" t="s">
        <v>335</v>
      </c>
      <c r="L630">
        <v>7.8</v>
      </c>
      <c r="AE630">
        <v>20</v>
      </c>
      <c r="AH630" t="s">
        <v>1000</v>
      </c>
      <c r="AI630" t="s">
        <v>1001</v>
      </c>
      <c r="AJ630" t="s">
        <v>1002</v>
      </c>
      <c r="AL630">
        <v>2</v>
      </c>
      <c r="AM630" t="s">
        <v>1003</v>
      </c>
      <c r="AN630" t="s">
        <v>642</v>
      </c>
      <c r="AO630" t="s">
        <v>1004</v>
      </c>
      <c r="AP630" t="s">
        <v>160</v>
      </c>
      <c r="AQ630" t="s">
        <v>288</v>
      </c>
    </row>
    <row r="631" spans="1:43" hidden="1" x14ac:dyDescent="0.3">
      <c r="A631">
        <v>627</v>
      </c>
      <c r="B631" t="s">
        <v>999</v>
      </c>
      <c r="C631" t="s">
        <v>335</v>
      </c>
      <c r="L631">
        <v>9.8000000000000007</v>
      </c>
      <c r="AE631">
        <v>20</v>
      </c>
      <c r="AH631" t="s">
        <v>1000</v>
      </c>
      <c r="AI631" t="s">
        <v>1001</v>
      </c>
      <c r="AJ631" t="s">
        <v>1002</v>
      </c>
      <c r="AL631">
        <v>2.5</v>
      </c>
      <c r="AM631" t="s">
        <v>1003</v>
      </c>
      <c r="AN631" t="s">
        <v>642</v>
      </c>
      <c r="AO631" t="s">
        <v>1004</v>
      </c>
      <c r="AP631" t="s">
        <v>160</v>
      </c>
      <c r="AQ631" t="s">
        <v>288</v>
      </c>
    </row>
    <row r="632" spans="1:43" hidden="1" x14ac:dyDescent="0.3">
      <c r="A632">
        <v>628</v>
      </c>
      <c r="B632" t="s">
        <v>999</v>
      </c>
      <c r="C632" t="s">
        <v>335</v>
      </c>
      <c r="L632">
        <v>12</v>
      </c>
      <c r="AE632">
        <v>20</v>
      </c>
      <c r="AH632" t="s">
        <v>1000</v>
      </c>
      <c r="AI632" t="s">
        <v>1001</v>
      </c>
      <c r="AJ632" t="s">
        <v>1002</v>
      </c>
      <c r="AL632">
        <v>3</v>
      </c>
      <c r="AM632" t="s">
        <v>1003</v>
      </c>
      <c r="AN632" t="s">
        <v>642</v>
      </c>
      <c r="AO632" t="s">
        <v>1004</v>
      </c>
      <c r="AP632" t="s">
        <v>160</v>
      </c>
      <c r="AQ632" t="s">
        <v>288</v>
      </c>
    </row>
    <row r="633" spans="1:43" hidden="1" x14ac:dyDescent="0.3">
      <c r="A633">
        <v>629</v>
      </c>
      <c r="B633" t="s">
        <v>999</v>
      </c>
      <c r="C633" t="s">
        <v>335</v>
      </c>
      <c r="L633">
        <v>0.6</v>
      </c>
      <c r="AE633">
        <v>25</v>
      </c>
      <c r="AH633" t="s">
        <v>1000</v>
      </c>
      <c r="AI633" t="s">
        <v>1001</v>
      </c>
      <c r="AJ633" t="s">
        <v>1002</v>
      </c>
      <c r="AL633">
        <v>0.25</v>
      </c>
      <c r="AM633" t="s">
        <v>1003</v>
      </c>
      <c r="AN633" t="s">
        <v>642</v>
      </c>
      <c r="AO633" t="s">
        <v>1004</v>
      </c>
      <c r="AP633" t="s">
        <v>160</v>
      </c>
      <c r="AQ633" t="s">
        <v>288</v>
      </c>
    </row>
    <row r="634" spans="1:43" hidden="1" x14ac:dyDescent="0.3">
      <c r="A634">
        <v>630</v>
      </c>
      <c r="B634" t="s">
        <v>999</v>
      </c>
      <c r="C634" t="s">
        <v>335</v>
      </c>
      <c r="L634">
        <v>1.2</v>
      </c>
      <c r="AE634">
        <v>25</v>
      </c>
      <c r="AH634" t="s">
        <v>1000</v>
      </c>
      <c r="AI634" t="s">
        <v>1001</v>
      </c>
      <c r="AJ634" t="s">
        <v>1002</v>
      </c>
      <c r="AL634">
        <v>0.5</v>
      </c>
      <c r="AM634" t="s">
        <v>1003</v>
      </c>
      <c r="AN634" t="s">
        <v>642</v>
      </c>
      <c r="AO634" t="s">
        <v>1004</v>
      </c>
      <c r="AP634" t="s">
        <v>160</v>
      </c>
      <c r="AQ634" t="s">
        <v>288</v>
      </c>
    </row>
    <row r="635" spans="1:43" hidden="1" x14ac:dyDescent="0.3">
      <c r="A635">
        <v>631</v>
      </c>
      <c r="B635" t="s">
        <v>999</v>
      </c>
      <c r="C635" t="s">
        <v>335</v>
      </c>
      <c r="L635">
        <v>2.5</v>
      </c>
      <c r="AE635">
        <v>25</v>
      </c>
      <c r="AH635" t="s">
        <v>1000</v>
      </c>
      <c r="AI635" t="s">
        <v>1001</v>
      </c>
      <c r="AJ635" t="s">
        <v>1002</v>
      </c>
      <c r="AL635">
        <v>1</v>
      </c>
      <c r="AM635" t="s">
        <v>1003</v>
      </c>
      <c r="AN635" t="s">
        <v>642</v>
      </c>
      <c r="AO635" t="s">
        <v>1004</v>
      </c>
      <c r="AP635" t="s">
        <v>160</v>
      </c>
      <c r="AQ635" t="s">
        <v>288</v>
      </c>
    </row>
    <row r="636" spans="1:43" hidden="1" x14ac:dyDescent="0.3">
      <c r="A636">
        <v>632</v>
      </c>
      <c r="B636" t="s">
        <v>999</v>
      </c>
      <c r="C636" t="s">
        <v>335</v>
      </c>
      <c r="L636">
        <v>3.7</v>
      </c>
      <c r="AE636">
        <v>25</v>
      </c>
      <c r="AH636" t="s">
        <v>1000</v>
      </c>
      <c r="AI636" t="s">
        <v>1001</v>
      </c>
      <c r="AJ636" t="s">
        <v>1002</v>
      </c>
      <c r="AL636">
        <v>1.5</v>
      </c>
      <c r="AM636" t="s">
        <v>1003</v>
      </c>
      <c r="AN636" t="s">
        <v>642</v>
      </c>
      <c r="AO636" t="s">
        <v>1004</v>
      </c>
      <c r="AP636" t="s">
        <v>160</v>
      </c>
      <c r="AQ636" t="s">
        <v>288</v>
      </c>
    </row>
    <row r="637" spans="1:43" hidden="1" x14ac:dyDescent="0.3">
      <c r="A637">
        <v>633</v>
      </c>
      <c r="B637" t="s">
        <v>999</v>
      </c>
      <c r="C637" t="s">
        <v>335</v>
      </c>
      <c r="L637">
        <v>4.9000000000000004</v>
      </c>
      <c r="AE637">
        <v>25</v>
      </c>
      <c r="AH637" t="s">
        <v>1000</v>
      </c>
      <c r="AI637" t="s">
        <v>1001</v>
      </c>
      <c r="AJ637" t="s">
        <v>1002</v>
      </c>
      <c r="AL637">
        <v>2</v>
      </c>
      <c r="AM637" t="s">
        <v>1003</v>
      </c>
      <c r="AN637" t="s">
        <v>642</v>
      </c>
      <c r="AO637" t="s">
        <v>1004</v>
      </c>
      <c r="AP637" t="s">
        <v>160</v>
      </c>
      <c r="AQ637" t="s">
        <v>288</v>
      </c>
    </row>
    <row r="638" spans="1:43" hidden="1" x14ac:dyDescent="0.3">
      <c r="A638">
        <v>634</v>
      </c>
      <c r="B638" t="s">
        <v>999</v>
      </c>
      <c r="C638" t="s">
        <v>335</v>
      </c>
      <c r="L638">
        <v>6.2</v>
      </c>
      <c r="AE638">
        <v>25</v>
      </c>
      <c r="AH638" t="s">
        <v>1000</v>
      </c>
      <c r="AI638" t="s">
        <v>1001</v>
      </c>
      <c r="AJ638" t="s">
        <v>1002</v>
      </c>
      <c r="AL638">
        <v>2.5</v>
      </c>
      <c r="AM638" t="s">
        <v>1003</v>
      </c>
      <c r="AN638" t="s">
        <v>642</v>
      </c>
      <c r="AO638" t="s">
        <v>1004</v>
      </c>
      <c r="AP638" t="s">
        <v>160</v>
      </c>
      <c r="AQ638" t="s">
        <v>288</v>
      </c>
    </row>
    <row r="639" spans="1:43" hidden="1" x14ac:dyDescent="0.3">
      <c r="A639">
        <v>635</v>
      </c>
      <c r="B639" t="s">
        <v>999</v>
      </c>
      <c r="C639" t="s">
        <v>335</v>
      </c>
      <c r="L639">
        <v>7.4</v>
      </c>
      <c r="AE639">
        <v>25</v>
      </c>
      <c r="AH639" t="s">
        <v>1000</v>
      </c>
      <c r="AI639" t="s">
        <v>1001</v>
      </c>
      <c r="AJ639" t="s">
        <v>1002</v>
      </c>
      <c r="AL639">
        <v>3</v>
      </c>
      <c r="AM639" t="s">
        <v>1003</v>
      </c>
      <c r="AN639" t="s">
        <v>642</v>
      </c>
      <c r="AO639" t="s">
        <v>1004</v>
      </c>
      <c r="AP639" t="s">
        <v>160</v>
      </c>
      <c r="AQ639" t="s">
        <v>288</v>
      </c>
    </row>
    <row r="640" spans="1:43" hidden="1" x14ac:dyDescent="0.3">
      <c r="A640">
        <v>636</v>
      </c>
      <c r="B640" t="s">
        <v>999</v>
      </c>
      <c r="C640" t="s">
        <v>335</v>
      </c>
      <c r="L640">
        <v>0.39</v>
      </c>
      <c r="AE640">
        <v>30</v>
      </c>
      <c r="AH640" t="s">
        <v>1000</v>
      </c>
      <c r="AI640" t="s">
        <v>1001</v>
      </c>
      <c r="AJ640" t="s">
        <v>1002</v>
      </c>
      <c r="AL640">
        <v>0.25</v>
      </c>
      <c r="AM640" t="s">
        <v>1003</v>
      </c>
      <c r="AN640" t="s">
        <v>642</v>
      </c>
      <c r="AO640" t="s">
        <v>1004</v>
      </c>
      <c r="AP640" t="s">
        <v>160</v>
      </c>
      <c r="AQ640" t="s">
        <v>288</v>
      </c>
    </row>
    <row r="641" spans="1:43" hidden="1" x14ac:dyDescent="0.3">
      <c r="A641">
        <v>637</v>
      </c>
      <c r="B641" t="s">
        <v>999</v>
      </c>
      <c r="C641" t="s">
        <v>335</v>
      </c>
      <c r="L641">
        <v>0.78</v>
      </c>
      <c r="AE641">
        <v>30</v>
      </c>
      <c r="AH641" t="s">
        <v>1000</v>
      </c>
      <c r="AI641" t="s">
        <v>1001</v>
      </c>
      <c r="AJ641" t="s">
        <v>1002</v>
      </c>
      <c r="AL641">
        <v>0.5</v>
      </c>
      <c r="AM641" t="s">
        <v>1003</v>
      </c>
      <c r="AN641" t="s">
        <v>642</v>
      </c>
      <c r="AO641" t="s">
        <v>1004</v>
      </c>
      <c r="AP641" t="s">
        <v>160</v>
      </c>
      <c r="AQ641" t="s">
        <v>288</v>
      </c>
    </row>
    <row r="642" spans="1:43" hidden="1" x14ac:dyDescent="0.3">
      <c r="A642">
        <v>638</v>
      </c>
      <c r="B642" t="s">
        <v>999</v>
      </c>
      <c r="C642" t="s">
        <v>335</v>
      </c>
      <c r="L642">
        <v>1.6</v>
      </c>
      <c r="AE642">
        <v>30</v>
      </c>
      <c r="AH642" t="s">
        <v>1000</v>
      </c>
      <c r="AI642" t="s">
        <v>1001</v>
      </c>
      <c r="AJ642" t="s">
        <v>1002</v>
      </c>
      <c r="AL642">
        <v>1</v>
      </c>
      <c r="AM642" t="s">
        <v>1003</v>
      </c>
      <c r="AN642" t="s">
        <v>642</v>
      </c>
      <c r="AO642" t="s">
        <v>1004</v>
      </c>
      <c r="AP642" t="s">
        <v>160</v>
      </c>
      <c r="AQ642" t="s">
        <v>288</v>
      </c>
    </row>
    <row r="643" spans="1:43" hidden="1" x14ac:dyDescent="0.3">
      <c r="A643">
        <v>639</v>
      </c>
      <c r="B643" t="s">
        <v>999</v>
      </c>
      <c r="C643" t="s">
        <v>335</v>
      </c>
      <c r="L643">
        <v>2.4</v>
      </c>
      <c r="AE643">
        <v>30</v>
      </c>
      <c r="AH643" t="s">
        <v>1000</v>
      </c>
      <c r="AI643" t="s">
        <v>1001</v>
      </c>
      <c r="AJ643" t="s">
        <v>1002</v>
      </c>
      <c r="AL643">
        <v>1.5</v>
      </c>
      <c r="AM643" t="s">
        <v>1003</v>
      </c>
      <c r="AN643" t="s">
        <v>642</v>
      </c>
      <c r="AO643" t="s">
        <v>1004</v>
      </c>
      <c r="AP643" t="s">
        <v>160</v>
      </c>
      <c r="AQ643" t="s">
        <v>288</v>
      </c>
    </row>
    <row r="644" spans="1:43" hidden="1" x14ac:dyDescent="0.3">
      <c r="A644">
        <v>640</v>
      </c>
      <c r="B644" t="s">
        <v>999</v>
      </c>
      <c r="C644" t="s">
        <v>335</v>
      </c>
      <c r="L644">
        <v>3.1</v>
      </c>
      <c r="AE644">
        <v>30</v>
      </c>
      <c r="AH644" t="s">
        <v>1000</v>
      </c>
      <c r="AI644" t="s">
        <v>1001</v>
      </c>
      <c r="AJ644" t="s">
        <v>1002</v>
      </c>
      <c r="AL644">
        <v>2</v>
      </c>
      <c r="AM644" t="s">
        <v>1003</v>
      </c>
      <c r="AN644" t="s">
        <v>642</v>
      </c>
      <c r="AO644" t="s">
        <v>1004</v>
      </c>
      <c r="AP644" t="s">
        <v>160</v>
      </c>
      <c r="AQ644" t="s">
        <v>288</v>
      </c>
    </row>
    <row r="645" spans="1:43" hidden="1" x14ac:dyDescent="0.3">
      <c r="A645">
        <v>641</v>
      </c>
      <c r="B645" t="s">
        <v>999</v>
      </c>
      <c r="C645" t="s">
        <v>335</v>
      </c>
      <c r="L645">
        <v>3.9</v>
      </c>
      <c r="AE645">
        <v>30</v>
      </c>
      <c r="AH645" t="s">
        <v>1000</v>
      </c>
      <c r="AI645" t="s">
        <v>1001</v>
      </c>
      <c r="AJ645" t="s">
        <v>1002</v>
      </c>
      <c r="AL645">
        <v>2.5</v>
      </c>
      <c r="AM645" t="s">
        <v>1003</v>
      </c>
      <c r="AN645" t="s">
        <v>642</v>
      </c>
      <c r="AO645" t="s">
        <v>1004</v>
      </c>
      <c r="AP645" t="s">
        <v>160</v>
      </c>
      <c r="AQ645" t="s">
        <v>288</v>
      </c>
    </row>
    <row r="646" spans="1:43" hidden="1" x14ac:dyDescent="0.3">
      <c r="A646">
        <v>642</v>
      </c>
      <c r="B646" t="s">
        <v>999</v>
      </c>
      <c r="C646" t="s">
        <v>335</v>
      </c>
      <c r="L646">
        <v>4.7</v>
      </c>
      <c r="AE646">
        <v>30</v>
      </c>
      <c r="AH646" t="s">
        <v>1000</v>
      </c>
      <c r="AI646" t="s">
        <v>1001</v>
      </c>
      <c r="AJ646" t="s">
        <v>1002</v>
      </c>
      <c r="AL646">
        <v>3</v>
      </c>
      <c r="AM646" t="s">
        <v>1003</v>
      </c>
      <c r="AN646" t="s">
        <v>642</v>
      </c>
      <c r="AO646" t="s">
        <v>1004</v>
      </c>
      <c r="AP646" t="s">
        <v>160</v>
      </c>
      <c r="AQ646" t="s">
        <v>288</v>
      </c>
    </row>
    <row r="647" spans="1:43" hidden="1" x14ac:dyDescent="0.3">
      <c r="A647">
        <v>643</v>
      </c>
      <c r="B647" t="s">
        <v>999</v>
      </c>
      <c r="C647" t="s">
        <v>335</v>
      </c>
      <c r="L647">
        <v>0.56000000000000005</v>
      </c>
      <c r="X647">
        <v>7.6</v>
      </c>
      <c r="AE647">
        <v>16</v>
      </c>
      <c r="AH647" t="s">
        <v>992</v>
      </c>
      <c r="AI647" t="s">
        <v>749</v>
      </c>
      <c r="AJ647" t="s">
        <v>997</v>
      </c>
      <c r="AL647">
        <v>1</v>
      </c>
      <c r="AM647" t="s">
        <v>1005</v>
      </c>
      <c r="AN647" t="s">
        <v>647</v>
      </c>
      <c r="AO647" t="s">
        <v>1006</v>
      </c>
      <c r="AP647" t="s">
        <v>160</v>
      </c>
      <c r="AQ647" t="s">
        <v>288</v>
      </c>
    </row>
    <row r="648" spans="1:43" hidden="1" x14ac:dyDescent="0.3">
      <c r="A648">
        <v>644</v>
      </c>
      <c r="B648" t="s">
        <v>999</v>
      </c>
      <c r="C648" t="s">
        <v>335</v>
      </c>
      <c r="L648">
        <v>0.81</v>
      </c>
      <c r="X648">
        <v>7.6</v>
      </c>
      <c r="AE648">
        <v>16</v>
      </c>
      <c r="AH648" t="s">
        <v>992</v>
      </c>
      <c r="AI648" t="s">
        <v>749</v>
      </c>
      <c r="AJ648" t="s">
        <v>997</v>
      </c>
      <c r="AL648">
        <v>2</v>
      </c>
      <c r="AM648" t="s">
        <v>1005</v>
      </c>
      <c r="AN648" t="s">
        <v>647</v>
      </c>
      <c r="AO648" t="s">
        <v>1007</v>
      </c>
      <c r="AP648" t="s">
        <v>160</v>
      </c>
      <c r="AQ648" t="s">
        <v>288</v>
      </c>
    </row>
    <row r="649" spans="1:43" hidden="1" x14ac:dyDescent="0.3">
      <c r="A649">
        <v>645</v>
      </c>
      <c r="B649" t="s">
        <v>999</v>
      </c>
      <c r="C649" t="s">
        <v>335</v>
      </c>
      <c r="L649">
        <v>1.07</v>
      </c>
      <c r="X649">
        <v>7.6</v>
      </c>
      <c r="AE649">
        <v>16</v>
      </c>
      <c r="AH649" t="s">
        <v>992</v>
      </c>
      <c r="AI649" t="s">
        <v>749</v>
      </c>
      <c r="AJ649" t="s">
        <v>997</v>
      </c>
      <c r="AL649">
        <v>3</v>
      </c>
      <c r="AM649" t="s">
        <v>1005</v>
      </c>
      <c r="AN649" t="s">
        <v>647</v>
      </c>
      <c r="AO649" t="s">
        <v>1008</v>
      </c>
      <c r="AP649" t="s">
        <v>160</v>
      </c>
      <c r="AQ649" t="s">
        <v>288</v>
      </c>
    </row>
    <row r="650" spans="1:43" hidden="1" x14ac:dyDescent="0.3">
      <c r="A650">
        <v>646</v>
      </c>
      <c r="B650" t="s">
        <v>999</v>
      </c>
      <c r="C650" t="s">
        <v>335</v>
      </c>
      <c r="L650">
        <v>1.32</v>
      </c>
      <c r="X650">
        <v>7.6</v>
      </c>
      <c r="AE650">
        <v>16</v>
      </c>
      <c r="AH650" t="s">
        <v>992</v>
      </c>
      <c r="AI650" t="s">
        <v>749</v>
      </c>
      <c r="AJ650" t="s">
        <v>997</v>
      </c>
      <c r="AL650">
        <v>4</v>
      </c>
      <c r="AM650" t="s">
        <v>1005</v>
      </c>
      <c r="AN650" t="s">
        <v>647</v>
      </c>
      <c r="AO650" t="s">
        <v>1009</v>
      </c>
      <c r="AP650" t="s">
        <v>160</v>
      </c>
      <c r="AQ650" t="s">
        <v>288</v>
      </c>
    </row>
    <row r="651" spans="1:43" hidden="1" x14ac:dyDescent="0.3">
      <c r="A651">
        <f>A650+1</f>
        <v>647</v>
      </c>
      <c r="B651" t="s">
        <v>999</v>
      </c>
      <c r="C651" t="s">
        <v>335</v>
      </c>
      <c r="L651">
        <v>1.21</v>
      </c>
      <c r="AE651">
        <v>5</v>
      </c>
      <c r="AH651" t="s">
        <v>992</v>
      </c>
      <c r="AI651" t="s">
        <v>749</v>
      </c>
      <c r="AJ651" t="s">
        <v>997</v>
      </c>
      <c r="AL651">
        <v>1</v>
      </c>
      <c r="AM651" t="s">
        <v>1010</v>
      </c>
      <c r="AN651" t="s">
        <v>725</v>
      </c>
      <c r="AO651" t="s">
        <v>1011</v>
      </c>
      <c r="AP651" t="s">
        <v>160</v>
      </c>
      <c r="AQ651" t="s">
        <v>288</v>
      </c>
    </row>
    <row r="652" spans="1:43" hidden="1" x14ac:dyDescent="0.3">
      <c r="A652">
        <f t="shared" ref="A652:A674" si="0">A651+1</f>
        <v>648</v>
      </c>
      <c r="B652" t="s">
        <v>999</v>
      </c>
      <c r="C652" t="s">
        <v>335</v>
      </c>
      <c r="L652">
        <v>1.75</v>
      </c>
      <c r="AE652">
        <v>5</v>
      </c>
      <c r="AH652" t="s">
        <v>992</v>
      </c>
      <c r="AI652" t="s">
        <v>749</v>
      </c>
      <c r="AJ652" t="s">
        <v>997</v>
      </c>
      <c r="AL652">
        <v>2</v>
      </c>
      <c r="AM652" t="s">
        <v>1010</v>
      </c>
      <c r="AN652" t="s">
        <v>725</v>
      </c>
      <c r="AO652" t="s">
        <v>1012</v>
      </c>
      <c r="AP652" t="s">
        <v>160</v>
      </c>
      <c r="AQ652" t="s">
        <v>288</v>
      </c>
    </row>
    <row r="653" spans="1:43" hidden="1" x14ac:dyDescent="0.3">
      <c r="A653">
        <f t="shared" si="0"/>
        <v>649</v>
      </c>
      <c r="B653" t="s">
        <v>999</v>
      </c>
      <c r="C653" t="s">
        <v>335</v>
      </c>
      <c r="L653">
        <v>2.31</v>
      </c>
      <c r="AE653">
        <v>5</v>
      </c>
      <c r="AH653" t="s">
        <v>992</v>
      </c>
      <c r="AI653" t="s">
        <v>749</v>
      </c>
      <c r="AJ653" t="s">
        <v>997</v>
      </c>
      <c r="AL653">
        <v>3</v>
      </c>
      <c r="AM653" t="s">
        <v>1010</v>
      </c>
      <c r="AN653" t="s">
        <v>725</v>
      </c>
      <c r="AO653" t="s">
        <v>1013</v>
      </c>
      <c r="AP653" t="s">
        <v>160</v>
      </c>
      <c r="AQ653" t="s">
        <v>288</v>
      </c>
    </row>
    <row r="654" spans="1:43" hidden="1" x14ac:dyDescent="0.3">
      <c r="A654">
        <f t="shared" si="0"/>
        <v>650</v>
      </c>
      <c r="B654" t="s">
        <v>999</v>
      </c>
      <c r="C654" t="s">
        <v>335</v>
      </c>
      <c r="L654">
        <v>2.85</v>
      </c>
      <c r="AE654">
        <v>5</v>
      </c>
      <c r="AH654" t="s">
        <v>992</v>
      </c>
      <c r="AI654" t="s">
        <v>749</v>
      </c>
      <c r="AJ654" t="s">
        <v>997</v>
      </c>
      <c r="AL654">
        <v>4</v>
      </c>
      <c r="AM654" t="s">
        <v>1010</v>
      </c>
      <c r="AN654" t="s">
        <v>725</v>
      </c>
      <c r="AO654" t="s">
        <v>1014</v>
      </c>
      <c r="AP654" t="s">
        <v>160</v>
      </c>
      <c r="AQ654" t="s">
        <v>288</v>
      </c>
    </row>
    <row r="655" spans="1:43" hidden="1" x14ac:dyDescent="0.3">
      <c r="A655">
        <f t="shared" si="0"/>
        <v>651</v>
      </c>
      <c r="B655" t="s">
        <v>999</v>
      </c>
      <c r="C655" t="s">
        <v>335</v>
      </c>
      <c r="L655">
        <v>0.85</v>
      </c>
      <c r="AE655">
        <v>10</v>
      </c>
      <c r="AH655" t="s">
        <v>992</v>
      </c>
      <c r="AI655" t="s">
        <v>749</v>
      </c>
      <c r="AJ655" t="s">
        <v>997</v>
      </c>
      <c r="AL655">
        <v>1</v>
      </c>
      <c r="AM655" t="s">
        <v>1010</v>
      </c>
      <c r="AN655" t="s">
        <v>725</v>
      </c>
      <c r="AO655" t="s">
        <v>1015</v>
      </c>
      <c r="AP655" t="s">
        <v>160</v>
      </c>
      <c r="AQ655" t="s">
        <v>288</v>
      </c>
    </row>
    <row r="656" spans="1:43" hidden="1" x14ac:dyDescent="0.3">
      <c r="A656">
        <f t="shared" si="0"/>
        <v>652</v>
      </c>
      <c r="B656" t="s">
        <v>999</v>
      </c>
      <c r="C656" t="s">
        <v>335</v>
      </c>
      <c r="L656">
        <v>1.23</v>
      </c>
      <c r="AE656">
        <v>10</v>
      </c>
      <c r="AH656" t="s">
        <v>992</v>
      </c>
      <c r="AI656" t="s">
        <v>749</v>
      </c>
      <c r="AJ656" t="s">
        <v>997</v>
      </c>
      <c r="AL656">
        <v>2</v>
      </c>
      <c r="AM656" t="s">
        <v>1010</v>
      </c>
      <c r="AN656" t="s">
        <v>725</v>
      </c>
      <c r="AO656" t="s">
        <v>1016</v>
      </c>
      <c r="AP656" t="s">
        <v>160</v>
      </c>
      <c r="AQ656" t="s">
        <v>288</v>
      </c>
    </row>
    <row r="657" spans="1:43" hidden="1" x14ac:dyDescent="0.3">
      <c r="A657">
        <f t="shared" si="0"/>
        <v>653</v>
      </c>
      <c r="B657" t="s">
        <v>999</v>
      </c>
      <c r="C657" t="s">
        <v>335</v>
      </c>
      <c r="L657">
        <v>1.63</v>
      </c>
      <c r="AE657">
        <v>10</v>
      </c>
      <c r="AH657" t="s">
        <v>992</v>
      </c>
      <c r="AI657" t="s">
        <v>749</v>
      </c>
      <c r="AJ657" t="s">
        <v>997</v>
      </c>
      <c r="AL657">
        <v>3</v>
      </c>
      <c r="AM657" t="s">
        <v>1010</v>
      </c>
      <c r="AN657" t="s">
        <v>725</v>
      </c>
      <c r="AO657" t="s">
        <v>1017</v>
      </c>
      <c r="AP657" t="s">
        <v>160</v>
      </c>
      <c r="AQ657" t="s">
        <v>288</v>
      </c>
    </row>
    <row r="658" spans="1:43" hidden="1" x14ac:dyDescent="0.3">
      <c r="A658">
        <f t="shared" si="0"/>
        <v>654</v>
      </c>
      <c r="B658" t="s">
        <v>999</v>
      </c>
      <c r="C658" t="s">
        <v>335</v>
      </c>
      <c r="L658">
        <v>2.0099999999999998</v>
      </c>
      <c r="AE658">
        <v>10</v>
      </c>
      <c r="AH658" t="s">
        <v>992</v>
      </c>
      <c r="AI658" t="s">
        <v>749</v>
      </c>
      <c r="AJ658" t="s">
        <v>997</v>
      </c>
      <c r="AL658">
        <v>4</v>
      </c>
      <c r="AM658" t="s">
        <v>1010</v>
      </c>
      <c r="AN658" t="s">
        <v>725</v>
      </c>
      <c r="AO658" t="s">
        <v>1018</v>
      </c>
      <c r="AP658" t="s">
        <v>160</v>
      </c>
      <c r="AQ658" t="s">
        <v>288</v>
      </c>
    </row>
    <row r="659" spans="1:43" hidden="1" x14ac:dyDescent="0.3">
      <c r="A659">
        <f t="shared" si="0"/>
        <v>655</v>
      </c>
      <c r="B659" t="s">
        <v>999</v>
      </c>
      <c r="C659" t="s">
        <v>335</v>
      </c>
      <c r="L659">
        <v>0.6</v>
      </c>
      <c r="AE659">
        <v>15</v>
      </c>
      <c r="AH659" t="s">
        <v>992</v>
      </c>
      <c r="AI659" t="s">
        <v>749</v>
      </c>
      <c r="AJ659" t="s">
        <v>997</v>
      </c>
      <c r="AL659">
        <v>1</v>
      </c>
      <c r="AM659" t="s">
        <v>1010</v>
      </c>
      <c r="AN659" t="s">
        <v>725</v>
      </c>
      <c r="AO659" t="s">
        <v>1019</v>
      </c>
      <c r="AP659" t="s">
        <v>160</v>
      </c>
      <c r="AQ659" t="s">
        <v>288</v>
      </c>
    </row>
    <row r="660" spans="1:43" hidden="1" x14ac:dyDescent="0.3">
      <c r="A660">
        <f t="shared" si="0"/>
        <v>656</v>
      </c>
      <c r="B660" t="s">
        <v>999</v>
      </c>
      <c r="C660" t="s">
        <v>335</v>
      </c>
      <c r="L660">
        <v>0.87</v>
      </c>
      <c r="AE660">
        <v>15</v>
      </c>
      <c r="AH660" t="s">
        <v>992</v>
      </c>
      <c r="AI660" t="s">
        <v>749</v>
      </c>
      <c r="AJ660" t="s">
        <v>997</v>
      </c>
      <c r="AL660">
        <v>2</v>
      </c>
      <c r="AM660" t="s">
        <v>1010</v>
      </c>
      <c r="AN660" t="s">
        <v>725</v>
      </c>
      <c r="AO660" t="s">
        <v>1020</v>
      </c>
      <c r="AP660" t="s">
        <v>160</v>
      </c>
      <c r="AQ660" t="s">
        <v>288</v>
      </c>
    </row>
    <row r="661" spans="1:43" hidden="1" x14ac:dyDescent="0.3">
      <c r="A661">
        <f t="shared" si="0"/>
        <v>657</v>
      </c>
      <c r="B661" t="s">
        <v>999</v>
      </c>
      <c r="C661" t="s">
        <v>335</v>
      </c>
      <c r="L661">
        <v>1.1499999999999999</v>
      </c>
      <c r="AE661">
        <v>15</v>
      </c>
      <c r="AH661" t="s">
        <v>992</v>
      </c>
      <c r="AI661" t="s">
        <v>749</v>
      </c>
      <c r="AJ661" t="s">
        <v>997</v>
      </c>
      <c r="AL661">
        <v>3</v>
      </c>
      <c r="AM661" t="s">
        <v>1010</v>
      </c>
      <c r="AN661" t="s">
        <v>725</v>
      </c>
      <c r="AO661" t="s">
        <v>1021</v>
      </c>
      <c r="AP661" t="s">
        <v>160</v>
      </c>
      <c r="AQ661" t="s">
        <v>288</v>
      </c>
    </row>
    <row r="662" spans="1:43" hidden="1" x14ac:dyDescent="0.3">
      <c r="A662">
        <f t="shared" si="0"/>
        <v>658</v>
      </c>
      <c r="B662" t="s">
        <v>999</v>
      </c>
      <c r="C662" t="s">
        <v>335</v>
      </c>
      <c r="L662">
        <v>1.42</v>
      </c>
      <c r="AE662">
        <v>15</v>
      </c>
      <c r="AH662" t="s">
        <v>992</v>
      </c>
      <c r="AI662" t="s">
        <v>749</v>
      </c>
      <c r="AJ662" t="s">
        <v>997</v>
      </c>
      <c r="AL662">
        <v>4</v>
      </c>
      <c r="AM662" t="s">
        <v>1010</v>
      </c>
      <c r="AN662" t="s">
        <v>725</v>
      </c>
      <c r="AO662" t="s">
        <v>1022</v>
      </c>
      <c r="AP662" t="s">
        <v>160</v>
      </c>
      <c r="AQ662" t="s">
        <v>288</v>
      </c>
    </row>
    <row r="663" spans="1:43" hidden="1" x14ac:dyDescent="0.3">
      <c r="A663">
        <f t="shared" si="0"/>
        <v>659</v>
      </c>
      <c r="B663" t="s">
        <v>999</v>
      </c>
      <c r="C663" t="s">
        <v>335</v>
      </c>
      <c r="L663">
        <v>0.42</v>
      </c>
      <c r="AE663">
        <v>20</v>
      </c>
      <c r="AH663" t="s">
        <v>992</v>
      </c>
      <c r="AI663" t="s">
        <v>749</v>
      </c>
      <c r="AJ663" t="s">
        <v>997</v>
      </c>
      <c r="AL663">
        <v>1</v>
      </c>
      <c r="AM663" t="s">
        <v>1010</v>
      </c>
      <c r="AN663" t="s">
        <v>725</v>
      </c>
      <c r="AO663" t="s">
        <v>1023</v>
      </c>
      <c r="AP663" t="s">
        <v>160</v>
      </c>
      <c r="AQ663" t="s">
        <v>288</v>
      </c>
    </row>
    <row r="664" spans="1:43" hidden="1" x14ac:dyDescent="0.3">
      <c r="A664">
        <f t="shared" si="0"/>
        <v>660</v>
      </c>
      <c r="B664" t="s">
        <v>999</v>
      </c>
      <c r="C664" t="s">
        <v>335</v>
      </c>
      <c r="L664">
        <v>0.61</v>
      </c>
      <c r="AE664">
        <v>20</v>
      </c>
      <c r="AH664" t="s">
        <v>992</v>
      </c>
      <c r="AI664" t="s">
        <v>749</v>
      </c>
      <c r="AJ664" t="s">
        <v>997</v>
      </c>
      <c r="AL664">
        <v>2</v>
      </c>
      <c r="AM664" t="s">
        <v>1010</v>
      </c>
      <c r="AN664" t="s">
        <v>725</v>
      </c>
      <c r="AO664" t="s">
        <v>1024</v>
      </c>
      <c r="AP664" t="s">
        <v>160</v>
      </c>
      <c r="AQ664" t="s">
        <v>288</v>
      </c>
    </row>
    <row r="665" spans="1:43" hidden="1" x14ac:dyDescent="0.3">
      <c r="A665">
        <f t="shared" si="0"/>
        <v>661</v>
      </c>
      <c r="B665" t="s">
        <v>999</v>
      </c>
      <c r="C665" t="s">
        <v>335</v>
      </c>
      <c r="L665">
        <v>0.81</v>
      </c>
      <c r="AE665">
        <v>20</v>
      </c>
      <c r="AH665" t="s">
        <v>992</v>
      </c>
      <c r="AI665" t="s">
        <v>749</v>
      </c>
      <c r="AJ665" t="s">
        <v>997</v>
      </c>
      <c r="AL665">
        <v>3</v>
      </c>
      <c r="AM665" t="s">
        <v>1010</v>
      </c>
      <c r="AN665" t="s">
        <v>725</v>
      </c>
      <c r="AO665" t="s">
        <v>1025</v>
      </c>
      <c r="AP665" t="s">
        <v>160</v>
      </c>
      <c r="AQ665" t="s">
        <v>288</v>
      </c>
    </row>
    <row r="666" spans="1:43" hidden="1" x14ac:dyDescent="0.3">
      <c r="A666">
        <f t="shared" si="0"/>
        <v>662</v>
      </c>
      <c r="B666" t="s">
        <v>999</v>
      </c>
      <c r="C666" t="s">
        <v>335</v>
      </c>
      <c r="L666">
        <v>1</v>
      </c>
      <c r="AE666">
        <v>20</v>
      </c>
      <c r="AH666" t="s">
        <v>992</v>
      </c>
      <c r="AI666" t="s">
        <v>749</v>
      </c>
      <c r="AJ666" t="s">
        <v>997</v>
      </c>
      <c r="AL666">
        <v>4</v>
      </c>
      <c r="AM666" t="s">
        <v>1010</v>
      </c>
      <c r="AN666" t="s">
        <v>725</v>
      </c>
      <c r="AO666" t="s">
        <v>1026</v>
      </c>
      <c r="AP666" t="s">
        <v>160</v>
      </c>
      <c r="AQ666" t="s">
        <v>288</v>
      </c>
    </row>
    <row r="667" spans="1:43" hidden="1" x14ac:dyDescent="0.3">
      <c r="A667">
        <f t="shared" si="0"/>
        <v>663</v>
      </c>
      <c r="B667" t="s">
        <v>999</v>
      </c>
      <c r="C667" t="s">
        <v>335</v>
      </c>
      <c r="L667">
        <v>0.3</v>
      </c>
      <c r="AE667">
        <v>25</v>
      </c>
      <c r="AH667" t="s">
        <v>992</v>
      </c>
      <c r="AI667" t="s">
        <v>749</v>
      </c>
      <c r="AJ667" t="s">
        <v>997</v>
      </c>
      <c r="AL667">
        <v>1</v>
      </c>
      <c r="AM667" t="s">
        <v>1010</v>
      </c>
      <c r="AN667" t="s">
        <v>725</v>
      </c>
      <c r="AO667" t="s">
        <v>1027</v>
      </c>
      <c r="AP667" t="s">
        <v>160</v>
      </c>
      <c r="AQ667" t="s">
        <v>288</v>
      </c>
    </row>
    <row r="668" spans="1:43" hidden="1" x14ac:dyDescent="0.3">
      <c r="A668">
        <f t="shared" si="0"/>
        <v>664</v>
      </c>
      <c r="B668" t="s">
        <v>999</v>
      </c>
      <c r="C668" t="s">
        <v>335</v>
      </c>
      <c r="L668">
        <v>0.43</v>
      </c>
      <c r="AE668">
        <v>25</v>
      </c>
      <c r="AH668" t="s">
        <v>992</v>
      </c>
      <c r="AI668" t="s">
        <v>749</v>
      </c>
      <c r="AJ668" t="s">
        <v>997</v>
      </c>
      <c r="AL668">
        <v>2</v>
      </c>
      <c r="AM668" t="s">
        <v>1010</v>
      </c>
      <c r="AN668" t="s">
        <v>725</v>
      </c>
      <c r="AO668" t="s">
        <v>1028</v>
      </c>
      <c r="AP668" t="s">
        <v>160</v>
      </c>
      <c r="AQ668" t="s">
        <v>288</v>
      </c>
    </row>
    <row r="669" spans="1:43" hidden="1" x14ac:dyDescent="0.3">
      <c r="A669">
        <f t="shared" si="0"/>
        <v>665</v>
      </c>
      <c r="B669" t="s">
        <v>999</v>
      </c>
      <c r="C669" t="s">
        <v>335</v>
      </c>
      <c r="L669">
        <v>0.56999999999999995</v>
      </c>
      <c r="AE669">
        <v>25</v>
      </c>
      <c r="AH669" t="s">
        <v>992</v>
      </c>
      <c r="AI669" t="s">
        <v>749</v>
      </c>
      <c r="AJ669" t="s">
        <v>997</v>
      </c>
      <c r="AL669">
        <v>3</v>
      </c>
      <c r="AM669" t="s">
        <v>1010</v>
      </c>
      <c r="AN669" t="s">
        <v>725</v>
      </c>
      <c r="AO669" t="s">
        <v>1029</v>
      </c>
      <c r="AP669" t="s">
        <v>160</v>
      </c>
      <c r="AQ669" t="s">
        <v>288</v>
      </c>
    </row>
    <row r="670" spans="1:43" hidden="1" x14ac:dyDescent="0.3">
      <c r="A670">
        <f t="shared" si="0"/>
        <v>666</v>
      </c>
      <c r="B670" t="s">
        <v>999</v>
      </c>
      <c r="C670" t="s">
        <v>335</v>
      </c>
      <c r="L670">
        <v>0.7</v>
      </c>
      <c r="AE670">
        <v>25</v>
      </c>
      <c r="AH670" t="s">
        <v>992</v>
      </c>
      <c r="AI670" t="s">
        <v>749</v>
      </c>
      <c r="AJ670" t="s">
        <v>997</v>
      </c>
      <c r="AL670">
        <v>4</v>
      </c>
      <c r="AM670" t="s">
        <v>1010</v>
      </c>
      <c r="AN670" t="s">
        <v>725</v>
      </c>
      <c r="AO670" t="s">
        <v>1030</v>
      </c>
      <c r="AP670" t="s">
        <v>160</v>
      </c>
      <c r="AQ670" t="s">
        <v>288</v>
      </c>
    </row>
    <row r="671" spans="1:43" hidden="1" x14ac:dyDescent="0.3">
      <c r="A671">
        <f t="shared" si="0"/>
        <v>667</v>
      </c>
      <c r="B671" t="s">
        <v>999</v>
      </c>
      <c r="C671" t="s">
        <v>335</v>
      </c>
      <c r="L671">
        <v>0.21</v>
      </c>
      <c r="AE671">
        <v>30</v>
      </c>
      <c r="AH671" t="s">
        <v>992</v>
      </c>
      <c r="AI671" t="s">
        <v>749</v>
      </c>
      <c r="AJ671" t="s">
        <v>997</v>
      </c>
      <c r="AL671">
        <v>1</v>
      </c>
      <c r="AM671" t="s">
        <v>1010</v>
      </c>
      <c r="AN671" t="s">
        <v>725</v>
      </c>
      <c r="AO671" t="s">
        <v>1031</v>
      </c>
      <c r="AP671" t="s">
        <v>160</v>
      </c>
      <c r="AQ671" t="s">
        <v>288</v>
      </c>
    </row>
    <row r="672" spans="1:43" hidden="1" x14ac:dyDescent="0.3">
      <c r="A672">
        <f t="shared" si="0"/>
        <v>668</v>
      </c>
      <c r="B672" t="s">
        <v>999</v>
      </c>
      <c r="C672" t="s">
        <v>335</v>
      </c>
      <c r="L672">
        <v>0.3</v>
      </c>
      <c r="AE672">
        <v>30</v>
      </c>
      <c r="AH672" t="s">
        <v>992</v>
      </c>
      <c r="AI672" t="s">
        <v>749</v>
      </c>
      <c r="AJ672" t="s">
        <v>997</v>
      </c>
      <c r="AL672">
        <v>2</v>
      </c>
      <c r="AM672" t="s">
        <v>1010</v>
      </c>
      <c r="AN672" t="s">
        <v>725</v>
      </c>
      <c r="AO672" t="s">
        <v>1032</v>
      </c>
      <c r="AP672" t="s">
        <v>160</v>
      </c>
      <c r="AQ672" t="s">
        <v>288</v>
      </c>
    </row>
    <row r="673" spans="1:43" hidden="1" x14ac:dyDescent="0.3">
      <c r="A673">
        <f t="shared" si="0"/>
        <v>669</v>
      </c>
      <c r="B673" t="s">
        <v>999</v>
      </c>
      <c r="C673" t="s">
        <v>335</v>
      </c>
      <c r="L673">
        <v>0.4</v>
      </c>
      <c r="AE673">
        <v>30</v>
      </c>
      <c r="AH673" t="s">
        <v>992</v>
      </c>
      <c r="AI673" t="s">
        <v>749</v>
      </c>
      <c r="AJ673" t="s">
        <v>997</v>
      </c>
      <c r="AL673">
        <v>3</v>
      </c>
      <c r="AM673" t="s">
        <v>1010</v>
      </c>
      <c r="AN673" t="s">
        <v>725</v>
      </c>
      <c r="AO673" t="s">
        <v>1033</v>
      </c>
      <c r="AP673" t="s">
        <v>160</v>
      </c>
      <c r="AQ673" t="s">
        <v>288</v>
      </c>
    </row>
    <row r="674" spans="1:43" hidden="1" x14ac:dyDescent="0.3">
      <c r="A674">
        <f t="shared" si="0"/>
        <v>670</v>
      </c>
      <c r="B674" t="s">
        <v>999</v>
      </c>
      <c r="C674" t="s">
        <v>335</v>
      </c>
      <c r="L674">
        <v>0.49</v>
      </c>
      <c r="AE674">
        <v>30</v>
      </c>
      <c r="AH674" t="s">
        <v>992</v>
      </c>
      <c r="AI674" t="s">
        <v>749</v>
      </c>
      <c r="AJ674" t="s">
        <v>997</v>
      </c>
      <c r="AL674">
        <v>4</v>
      </c>
      <c r="AM674" t="s">
        <v>1010</v>
      </c>
      <c r="AN674" t="s">
        <v>725</v>
      </c>
      <c r="AO674" t="s">
        <v>1034</v>
      </c>
      <c r="AP674" t="s">
        <v>160</v>
      </c>
      <c r="AQ674" t="s">
        <v>288</v>
      </c>
    </row>
    <row r="675" spans="1:43" hidden="1" x14ac:dyDescent="0.3">
      <c r="A675">
        <f>A674+1</f>
        <v>671</v>
      </c>
      <c r="B675" t="s">
        <v>999</v>
      </c>
      <c r="C675" t="s">
        <v>335</v>
      </c>
      <c r="L675">
        <v>1.21</v>
      </c>
      <c r="AE675">
        <v>5</v>
      </c>
      <c r="AH675" t="s">
        <v>996</v>
      </c>
      <c r="AI675" t="s">
        <v>997</v>
      </c>
      <c r="AJ675" t="s">
        <v>997</v>
      </c>
      <c r="AL675">
        <v>1</v>
      </c>
      <c r="AM675" t="s">
        <v>1010</v>
      </c>
      <c r="AN675" t="s">
        <v>725</v>
      </c>
      <c r="AO675" t="s">
        <v>1035</v>
      </c>
      <c r="AP675" t="s">
        <v>160</v>
      </c>
      <c r="AQ675" t="s">
        <v>288</v>
      </c>
    </row>
    <row r="676" spans="1:43" hidden="1" x14ac:dyDescent="0.3">
      <c r="A676">
        <f t="shared" ref="A676:A698" si="1">A675+1</f>
        <v>672</v>
      </c>
      <c r="B676" t="s">
        <v>999</v>
      </c>
      <c r="C676" t="s">
        <v>335</v>
      </c>
      <c r="L676">
        <v>1.75</v>
      </c>
      <c r="AE676">
        <v>5</v>
      </c>
      <c r="AH676" t="s">
        <v>996</v>
      </c>
      <c r="AI676" t="s">
        <v>997</v>
      </c>
      <c r="AJ676" t="s">
        <v>997</v>
      </c>
      <c r="AL676">
        <v>2</v>
      </c>
      <c r="AM676" t="s">
        <v>1010</v>
      </c>
      <c r="AN676" t="s">
        <v>725</v>
      </c>
      <c r="AO676" t="s">
        <v>1035</v>
      </c>
      <c r="AP676" t="s">
        <v>160</v>
      </c>
      <c r="AQ676" t="s">
        <v>288</v>
      </c>
    </row>
    <row r="677" spans="1:43" hidden="1" x14ac:dyDescent="0.3">
      <c r="A677">
        <f t="shared" si="1"/>
        <v>673</v>
      </c>
      <c r="B677" t="s">
        <v>999</v>
      </c>
      <c r="C677" t="s">
        <v>335</v>
      </c>
      <c r="L677">
        <v>2.31</v>
      </c>
      <c r="AE677">
        <v>5</v>
      </c>
      <c r="AH677" t="s">
        <v>996</v>
      </c>
      <c r="AI677" t="s">
        <v>997</v>
      </c>
      <c r="AJ677" t="s">
        <v>997</v>
      </c>
      <c r="AL677">
        <v>3</v>
      </c>
      <c r="AM677" t="s">
        <v>1010</v>
      </c>
      <c r="AN677" t="s">
        <v>725</v>
      </c>
      <c r="AO677" t="s">
        <v>1035</v>
      </c>
      <c r="AP677" t="s">
        <v>160</v>
      </c>
      <c r="AQ677" t="s">
        <v>288</v>
      </c>
    </row>
    <row r="678" spans="1:43" hidden="1" x14ac:dyDescent="0.3">
      <c r="A678">
        <f t="shared" si="1"/>
        <v>674</v>
      </c>
      <c r="B678" t="s">
        <v>999</v>
      </c>
      <c r="C678" t="s">
        <v>335</v>
      </c>
      <c r="L678">
        <v>2.85</v>
      </c>
      <c r="AE678">
        <v>5</v>
      </c>
      <c r="AH678" t="s">
        <v>996</v>
      </c>
      <c r="AI678" t="s">
        <v>997</v>
      </c>
      <c r="AJ678" t="s">
        <v>997</v>
      </c>
      <c r="AL678">
        <v>4</v>
      </c>
      <c r="AM678" t="s">
        <v>1010</v>
      </c>
      <c r="AN678" t="s">
        <v>725</v>
      </c>
      <c r="AO678" t="s">
        <v>1035</v>
      </c>
      <c r="AP678" t="s">
        <v>160</v>
      </c>
      <c r="AQ678" t="s">
        <v>288</v>
      </c>
    </row>
    <row r="679" spans="1:43" hidden="1" x14ac:dyDescent="0.3">
      <c r="A679">
        <f t="shared" si="1"/>
        <v>675</v>
      </c>
      <c r="B679" t="s">
        <v>999</v>
      </c>
      <c r="C679" t="s">
        <v>335</v>
      </c>
      <c r="L679">
        <v>0.85</v>
      </c>
      <c r="AE679">
        <v>10</v>
      </c>
      <c r="AH679" t="s">
        <v>996</v>
      </c>
      <c r="AI679" t="s">
        <v>997</v>
      </c>
      <c r="AJ679" t="s">
        <v>997</v>
      </c>
      <c r="AL679">
        <v>1</v>
      </c>
      <c r="AM679" t="s">
        <v>1010</v>
      </c>
      <c r="AN679" t="s">
        <v>725</v>
      </c>
      <c r="AO679" t="s">
        <v>1035</v>
      </c>
      <c r="AP679" t="s">
        <v>160</v>
      </c>
      <c r="AQ679" t="s">
        <v>288</v>
      </c>
    </row>
    <row r="680" spans="1:43" hidden="1" x14ac:dyDescent="0.3">
      <c r="A680">
        <f t="shared" si="1"/>
        <v>676</v>
      </c>
      <c r="B680" t="s">
        <v>999</v>
      </c>
      <c r="C680" t="s">
        <v>335</v>
      </c>
      <c r="L680">
        <v>1.23</v>
      </c>
      <c r="AE680">
        <v>10</v>
      </c>
      <c r="AH680" t="s">
        <v>996</v>
      </c>
      <c r="AI680" t="s">
        <v>997</v>
      </c>
      <c r="AJ680" t="s">
        <v>997</v>
      </c>
      <c r="AL680">
        <v>2</v>
      </c>
      <c r="AM680" t="s">
        <v>1010</v>
      </c>
      <c r="AN680" t="s">
        <v>725</v>
      </c>
      <c r="AO680" t="s">
        <v>1035</v>
      </c>
      <c r="AP680" t="s">
        <v>160</v>
      </c>
      <c r="AQ680" t="s">
        <v>288</v>
      </c>
    </row>
    <row r="681" spans="1:43" hidden="1" x14ac:dyDescent="0.3">
      <c r="A681">
        <f t="shared" si="1"/>
        <v>677</v>
      </c>
      <c r="B681" t="s">
        <v>999</v>
      </c>
      <c r="C681" t="s">
        <v>335</v>
      </c>
      <c r="L681">
        <v>1.63</v>
      </c>
      <c r="AE681">
        <v>10</v>
      </c>
      <c r="AH681" t="s">
        <v>996</v>
      </c>
      <c r="AI681" t="s">
        <v>997</v>
      </c>
      <c r="AJ681" t="s">
        <v>997</v>
      </c>
      <c r="AL681">
        <v>3</v>
      </c>
      <c r="AM681" t="s">
        <v>1010</v>
      </c>
      <c r="AN681" t="s">
        <v>725</v>
      </c>
      <c r="AO681" t="s">
        <v>1035</v>
      </c>
      <c r="AP681" t="s">
        <v>160</v>
      </c>
      <c r="AQ681" t="s">
        <v>288</v>
      </c>
    </row>
    <row r="682" spans="1:43" hidden="1" x14ac:dyDescent="0.3">
      <c r="A682">
        <f t="shared" si="1"/>
        <v>678</v>
      </c>
      <c r="B682" t="s">
        <v>999</v>
      </c>
      <c r="C682" t="s">
        <v>335</v>
      </c>
      <c r="L682">
        <v>2.0099999999999998</v>
      </c>
      <c r="AE682">
        <v>10</v>
      </c>
      <c r="AH682" t="s">
        <v>996</v>
      </c>
      <c r="AI682" t="s">
        <v>997</v>
      </c>
      <c r="AJ682" t="s">
        <v>997</v>
      </c>
      <c r="AL682">
        <v>4</v>
      </c>
      <c r="AM682" t="s">
        <v>1010</v>
      </c>
      <c r="AN682" t="s">
        <v>725</v>
      </c>
      <c r="AO682" t="s">
        <v>1035</v>
      </c>
      <c r="AP682" t="s">
        <v>160</v>
      </c>
      <c r="AQ682" t="s">
        <v>288</v>
      </c>
    </row>
    <row r="683" spans="1:43" hidden="1" x14ac:dyDescent="0.3">
      <c r="A683">
        <f t="shared" si="1"/>
        <v>679</v>
      </c>
      <c r="B683" t="s">
        <v>999</v>
      </c>
      <c r="C683" t="s">
        <v>335</v>
      </c>
      <c r="L683">
        <v>0.6</v>
      </c>
      <c r="AE683">
        <v>15</v>
      </c>
      <c r="AH683" t="s">
        <v>996</v>
      </c>
      <c r="AI683" t="s">
        <v>997</v>
      </c>
      <c r="AJ683" t="s">
        <v>997</v>
      </c>
      <c r="AL683">
        <v>1</v>
      </c>
      <c r="AM683" t="s">
        <v>1010</v>
      </c>
      <c r="AN683" t="s">
        <v>725</v>
      </c>
      <c r="AO683" t="s">
        <v>1035</v>
      </c>
      <c r="AP683" t="s">
        <v>160</v>
      </c>
      <c r="AQ683" t="s">
        <v>288</v>
      </c>
    </row>
    <row r="684" spans="1:43" hidden="1" x14ac:dyDescent="0.3">
      <c r="A684">
        <f t="shared" si="1"/>
        <v>680</v>
      </c>
      <c r="B684" t="s">
        <v>999</v>
      </c>
      <c r="C684" t="s">
        <v>335</v>
      </c>
      <c r="L684">
        <v>0.87</v>
      </c>
      <c r="AE684">
        <v>15</v>
      </c>
      <c r="AH684" t="s">
        <v>996</v>
      </c>
      <c r="AI684" t="s">
        <v>997</v>
      </c>
      <c r="AJ684" t="s">
        <v>997</v>
      </c>
      <c r="AL684">
        <v>2</v>
      </c>
      <c r="AM684" t="s">
        <v>1010</v>
      </c>
      <c r="AN684" t="s">
        <v>725</v>
      </c>
      <c r="AO684" t="s">
        <v>1035</v>
      </c>
      <c r="AP684" t="s">
        <v>160</v>
      </c>
      <c r="AQ684" t="s">
        <v>288</v>
      </c>
    </row>
    <row r="685" spans="1:43" hidden="1" x14ac:dyDescent="0.3">
      <c r="A685">
        <f t="shared" si="1"/>
        <v>681</v>
      </c>
      <c r="B685" t="s">
        <v>999</v>
      </c>
      <c r="C685" t="s">
        <v>335</v>
      </c>
      <c r="L685">
        <v>1.1499999999999999</v>
      </c>
      <c r="AE685">
        <v>15</v>
      </c>
      <c r="AH685" t="s">
        <v>996</v>
      </c>
      <c r="AI685" t="s">
        <v>997</v>
      </c>
      <c r="AJ685" t="s">
        <v>997</v>
      </c>
      <c r="AL685">
        <v>3</v>
      </c>
      <c r="AM685" t="s">
        <v>1010</v>
      </c>
      <c r="AN685" t="s">
        <v>725</v>
      </c>
      <c r="AO685" t="s">
        <v>1035</v>
      </c>
      <c r="AP685" t="s">
        <v>160</v>
      </c>
      <c r="AQ685" t="s">
        <v>288</v>
      </c>
    </row>
    <row r="686" spans="1:43" hidden="1" x14ac:dyDescent="0.3">
      <c r="A686">
        <f t="shared" si="1"/>
        <v>682</v>
      </c>
      <c r="B686" t="s">
        <v>999</v>
      </c>
      <c r="C686" t="s">
        <v>335</v>
      </c>
      <c r="L686">
        <v>1.42</v>
      </c>
      <c r="AE686">
        <v>15</v>
      </c>
      <c r="AH686" t="s">
        <v>996</v>
      </c>
      <c r="AI686" t="s">
        <v>997</v>
      </c>
      <c r="AJ686" t="s">
        <v>997</v>
      </c>
      <c r="AL686">
        <v>4</v>
      </c>
      <c r="AM686" t="s">
        <v>1010</v>
      </c>
      <c r="AN686" t="s">
        <v>725</v>
      </c>
      <c r="AO686" t="s">
        <v>1035</v>
      </c>
      <c r="AP686" t="s">
        <v>160</v>
      </c>
      <c r="AQ686" t="s">
        <v>288</v>
      </c>
    </row>
    <row r="687" spans="1:43" hidden="1" x14ac:dyDescent="0.3">
      <c r="A687">
        <f t="shared" si="1"/>
        <v>683</v>
      </c>
      <c r="B687" t="s">
        <v>999</v>
      </c>
      <c r="C687" t="s">
        <v>335</v>
      </c>
      <c r="L687">
        <v>0.42</v>
      </c>
      <c r="AE687">
        <v>20</v>
      </c>
      <c r="AH687" t="s">
        <v>996</v>
      </c>
      <c r="AI687" t="s">
        <v>997</v>
      </c>
      <c r="AJ687" t="s">
        <v>997</v>
      </c>
      <c r="AL687">
        <v>1</v>
      </c>
      <c r="AM687" t="s">
        <v>1010</v>
      </c>
      <c r="AN687" t="s">
        <v>725</v>
      </c>
      <c r="AO687" t="s">
        <v>1035</v>
      </c>
      <c r="AP687" t="s">
        <v>160</v>
      </c>
      <c r="AQ687" t="s">
        <v>288</v>
      </c>
    </row>
    <row r="688" spans="1:43" hidden="1" x14ac:dyDescent="0.3">
      <c r="A688">
        <f t="shared" si="1"/>
        <v>684</v>
      </c>
      <c r="B688" t="s">
        <v>999</v>
      </c>
      <c r="C688" t="s">
        <v>335</v>
      </c>
      <c r="L688">
        <v>0.61</v>
      </c>
      <c r="AE688">
        <v>20</v>
      </c>
      <c r="AH688" t="s">
        <v>996</v>
      </c>
      <c r="AI688" t="s">
        <v>997</v>
      </c>
      <c r="AJ688" t="s">
        <v>997</v>
      </c>
      <c r="AL688">
        <v>2</v>
      </c>
      <c r="AM688" t="s">
        <v>1010</v>
      </c>
      <c r="AN688" t="s">
        <v>725</v>
      </c>
      <c r="AO688" t="s">
        <v>1035</v>
      </c>
      <c r="AP688" t="s">
        <v>160</v>
      </c>
      <c r="AQ688" t="s">
        <v>288</v>
      </c>
    </row>
    <row r="689" spans="1:43" hidden="1" x14ac:dyDescent="0.3">
      <c r="A689">
        <f t="shared" si="1"/>
        <v>685</v>
      </c>
      <c r="B689" t="s">
        <v>999</v>
      </c>
      <c r="C689" t="s">
        <v>335</v>
      </c>
      <c r="L689">
        <v>0.81</v>
      </c>
      <c r="AE689">
        <v>20</v>
      </c>
      <c r="AH689" t="s">
        <v>996</v>
      </c>
      <c r="AI689" t="s">
        <v>997</v>
      </c>
      <c r="AJ689" t="s">
        <v>997</v>
      </c>
      <c r="AL689">
        <v>3</v>
      </c>
      <c r="AM689" t="s">
        <v>1010</v>
      </c>
      <c r="AN689" t="s">
        <v>725</v>
      </c>
      <c r="AO689" t="s">
        <v>1035</v>
      </c>
      <c r="AP689" t="s">
        <v>160</v>
      </c>
      <c r="AQ689" t="s">
        <v>288</v>
      </c>
    </row>
    <row r="690" spans="1:43" hidden="1" x14ac:dyDescent="0.3">
      <c r="A690">
        <f t="shared" si="1"/>
        <v>686</v>
      </c>
      <c r="B690" t="s">
        <v>999</v>
      </c>
      <c r="C690" t="s">
        <v>335</v>
      </c>
      <c r="L690">
        <v>1</v>
      </c>
      <c r="AE690">
        <v>20</v>
      </c>
      <c r="AH690" t="s">
        <v>996</v>
      </c>
      <c r="AI690" t="s">
        <v>997</v>
      </c>
      <c r="AJ690" t="s">
        <v>997</v>
      </c>
      <c r="AL690">
        <v>4</v>
      </c>
      <c r="AM690" t="s">
        <v>1010</v>
      </c>
      <c r="AN690" t="s">
        <v>725</v>
      </c>
      <c r="AO690" t="s">
        <v>1035</v>
      </c>
      <c r="AP690" t="s">
        <v>160</v>
      </c>
      <c r="AQ690" t="s">
        <v>288</v>
      </c>
    </row>
    <row r="691" spans="1:43" hidden="1" x14ac:dyDescent="0.3">
      <c r="A691">
        <f t="shared" si="1"/>
        <v>687</v>
      </c>
      <c r="B691" t="s">
        <v>999</v>
      </c>
      <c r="C691" t="s">
        <v>335</v>
      </c>
      <c r="L691">
        <v>0.3</v>
      </c>
      <c r="AE691">
        <v>25</v>
      </c>
      <c r="AH691" t="s">
        <v>996</v>
      </c>
      <c r="AI691" t="s">
        <v>997</v>
      </c>
      <c r="AJ691" t="s">
        <v>997</v>
      </c>
      <c r="AL691">
        <v>1</v>
      </c>
      <c r="AM691" t="s">
        <v>1010</v>
      </c>
      <c r="AN691" t="s">
        <v>725</v>
      </c>
      <c r="AO691" t="s">
        <v>1035</v>
      </c>
      <c r="AP691" t="s">
        <v>160</v>
      </c>
      <c r="AQ691" t="s">
        <v>288</v>
      </c>
    </row>
    <row r="692" spans="1:43" hidden="1" x14ac:dyDescent="0.3">
      <c r="A692">
        <f t="shared" si="1"/>
        <v>688</v>
      </c>
      <c r="B692" t="s">
        <v>999</v>
      </c>
      <c r="C692" t="s">
        <v>335</v>
      </c>
      <c r="L692">
        <v>0.43</v>
      </c>
      <c r="AE692">
        <v>25</v>
      </c>
      <c r="AH692" t="s">
        <v>996</v>
      </c>
      <c r="AI692" t="s">
        <v>997</v>
      </c>
      <c r="AJ692" t="s">
        <v>997</v>
      </c>
      <c r="AL692">
        <v>2</v>
      </c>
      <c r="AM692" t="s">
        <v>1010</v>
      </c>
      <c r="AN692" t="s">
        <v>725</v>
      </c>
      <c r="AO692" t="s">
        <v>1035</v>
      </c>
      <c r="AP692" t="s">
        <v>160</v>
      </c>
      <c r="AQ692" t="s">
        <v>288</v>
      </c>
    </row>
    <row r="693" spans="1:43" hidden="1" x14ac:dyDescent="0.3">
      <c r="A693">
        <f t="shared" si="1"/>
        <v>689</v>
      </c>
      <c r="B693" t="s">
        <v>999</v>
      </c>
      <c r="C693" t="s">
        <v>335</v>
      </c>
      <c r="L693">
        <v>0.56999999999999995</v>
      </c>
      <c r="AE693">
        <v>25</v>
      </c>
      <c r="AH693" t="s">
        <v>996</v>
      </c>
      <c r="AI693" t="s">
        <v>997</v>
      </c>
      <c r="AJ693" t="s">
        <v>997</v>
      </c>
      <c r="AL693">
        <v>3</v>
      </c>
      <c r="AM693" t="s">
        <v>1010</v>
      </c>
      <c r="AN693" t="s">
        <v>725</v>
      </c>
      <c r="AO693" t="s">
        <v>1035</v>
      </c>
      <c r="AP693" t="s">
        <v>160</v>
      </c>
      <c r="AQ693" t="s">
        <v>288</v>
      </c>
    </row>
    <row r="694" spans="1:43" hidden="1" x14ac:dyDescent="0.3">
      <c r="A694">
        <f t="shared" si="1"/>
        <v>690</v>
      </c>
      <c r="B694" t="s">
        <v>999</v>
      </c>
      <c r="C694" t="s">
        <v>335</v>
      </c>
      <c r="L694">
        <v>0.7</v>
      </c>
      <c r="AE694">
        <v>25</v>
      </c>
      <c r="AH694" t="s">
        <v>996</v>
      </c>
      <c r="AI694" t="s">
        <v>997</v>
      </c>
      <c r="AJ694" t="s">
        <v>997</v>
      </c>
      <c r="AL694">
        <v>4</v>
      </c>
      <c r="AM694" t="s">
        <v>1010</v>
      </c>
      <c r="AN694" t="s">
        <v>725</v>
      </c>
      <c r="AO694" t="s">
        <v>1035</v>
      </c>
      <c r="AP694" t="s">
        <v>160</v>
      </c>
      <c r="AQ694" t="s">
        <v>288</v>
      </c>
    </row>
    <row r="695" spans="1:43" hidden="1" x14ac:dyDescent="0.3">
      <c r="A695">
        <f t="shared" si="1"/>
        <v>691</v>
      </c>
      <c r="B695" t="s">
        <v>999</v>
      </c>
      <c r="C695" t="s">
        <v>335</v>
      </c>
      <c r="L695">
        <v>0.21</v>
      </c>
      <c r="AE695">
        <v>30</v>
      </c>
      <c r="AH695" t="s">
        <v>996</v>
      </c>
      <c r="AI695" t="s">
        <v>997</v>
      </c>
      <c r="AJ695" t="s">
        <v>997</v>
      </c>
      <c r="AL695">
        <v>1</v>
      </c>
      <c r="AM695" t="s">
        <v>1010</v>
      </c>
      <c r="AN695" t="s">
        <v>725</v>
      </c>
      <c r="AO695" t="s">
        <v>1035</v>
      </c>
      <c r="AP695" t="s">
        <v>160</v>
      </c>
      <c r="AQ695" t="s">
        <v>288</v>
      </c>
    </row>
    <row r="696" spans="1:43" hidden="1" x14ac:dyDescent="0.3">
      <c r="A696">
        <f t="shared" si="1"/>
        <v>692</v>
      </c>
      <c r="B696" t="s">
        <v>999</v>
      </c>
      <c r="C696" t="s">
        <v>335</v>
      </c>
      <c r="L696">
        <v>0.3</v>
      </c>
      <c r="AE696">
        <v>30</v>
      </c>
      <c r="AH696" t="s">
        <v>996</v>
      </c>
      <c r="AI696" t="s">
        <v>997</v>
      </c>
      <c r="AJ696" t="s">
        <v>997</v>
      </c>
      <c r="AL696">
        <v>2</v>
      </c>
      <c r="AM696" t="s">
        <v>1010</v>
      </c>
      <c r="AN696" t="s">
        <v>725</v>
      </c>
      <c r="AO696" t="s">
        <v>1035</v>
      </c>
      <c r="AP696" t="s">
        <v>160</v>
      </c>
      <c r="AQ696" t="s">
        <v>288</v>
      </c>
    </row>
    <row r="697" spans="1:43" hidden="1" x14ac:dyDescent="0.3">
      <c r="A697">
        <f t="shared" si="1"/>
        <v>693</v>
      </c>
      <c r="B697" t="s">
        <v>999</v>
      </c>
      <c r="C697" t="s">
        <v>335</v>
      </c>
      <c r="L697">
        <v>0.4</v>
      </c>
      <c r="AE697">
        <v>30</v>
      </c>
      <c r="AH697" t="s">
        <v>996</v>
      </c>
      <c r="AI697" t="s">
        <v>997</v>
      </c>
      <c r="AJ697" t="s">
        <v>997</v>
      </c>
      <c r="AL697">
        <v>3</v>
      </c>
      <c r="AM697" t="s">
        <v>1010</v>
      </c>
      <c r="AN697" t="s">
        <v>725</v>
      </c>
      <c r="AO697" t="s">
        <v>1035</v>
      </c>
      <c r="AP697" t="s">
        <v>160</v>
      </c>
      <c r="AQ697" t="s">
        <v>288</v>
      </c>
    </row>
    <row r="698" spans="1:43" hidden="1" x14ac:dyDescent="0.3">
      <c r="A698">
        <f t="shared" si="1"/>
        <v>694</v>
      </c>
      <c r="B698" t="s">
        <v>999</v>
      </c>
      <c r="C698" t="s">
        <v>335</v>
      </c>
      <c r="L698">
        <v>0.49</v>
      </c>
      <c r="AE698">
        <v>30</v>
      </c>
      <c r="AH698" t="s">
        <v>996</v>
      </c>
      <c r="AI698" t="s">
        <v>997</v>
      </c>
      <c r="AJ698" t="s">
        <v>997</v>
      </c>
      <c r="AL698">
        <v>4</v>
      </c>
      <c r="AM698" t="s">
        <v>1010</v>
      </c>
      <c r="AN698" t="s">
        <v>725</v>
      </c>
      <c r="AO698" t="s">
        <v>1035</v>
      </c>
      <c r="AP698" t="s">
        <v>160</v>
      </c>
      <c r="AQ698" t="s">
        <v>288</v>
      </c>
    </row>
    <row r="699" spans="1:43" hidden="1" x14ac:dyDescent="0.3">
      <c r="A699">
        <f>A698+1</f>
        <v>695</v>
      </c>
      <c r="B699" t="s">
        <v>1036</v>
      </c>
      <c r="C699" t="s">
        <v>330</v>
      </c>
      <c r="D699" t="s">
        <v>1037</v>
      </c>
      <c r="E699" t="s">
        <v>1038</v>
      </c>
      <c r="G699" t="s">
        <v>1039</v>
      </c>
      <c r="H699" t="s">
        <v>1040</v>
      </c>
      <c r="S699" t="s">
        <v>1041</v>
      </c>
      <c r="T699" t="s">
        <v>1042</v>
      </c>
      <c r="U699">
        <v>3000</v>
      </c>
      <c r="X699" s="25" t="s">
        <v>1043</v>
      </c>
      <c r="Y699" s="25" t="s">
        <v>1044</v>
      </c>
      <c r="AB699" t="s">
        <v>1045</v>
      </c>
      <c r="AE699" s="26" t="s">
        <v>1046</v>
      </c>
      <c r="AH699" t="s">
        <v>992</v>
      </c>
      <c r="AI699" t="s">
        <v>1047</v>
      </c>
      <c r="AJ699" t="s">
        <v>1048</v>
      </c>
      <c r="AL699">
        <v>1.5</v>
      </c>
      <c r="AM699" t="s">
        <v>1049</v>
      </c>
      <c r="AN699" t="s">
        <v>1050</v>
      </c>
      <c r="AO699" t="s">
        <v>1051</v>
      </c>
      <c r="AP699" t="s">
        <v>160</v>
      </c>
      <c r="AQ699" t="s">
        <v>288</v>
      </c>
    </row>
    <row r="700" spans="1:43" hidden="1" x14ac:dyDescent="0.3">
      <c r="A700">
        <f t="shared" ref="A700:A701" si="2">A699+1</f>
        <v>696</v>
      </c>
      <c r="B700" t="s">
        <v>1036</v>
      </c>
      <c r="C700" t="s">
        <v>330</v>
      </c>
      <c r="D700" t="s">
        <v>1037</v>
      </c>
      <c r="E700" t="s">
        <v>1038</v>
      </c>
      <c r="G700" t="s">
        <v>1039</v>
      </c>
      <c r="H700" t="s">
        <v>1040</v>
      </c>
      <c r="S700" t="s">
        <v>1041</v>
      </c>
      <c r="T700" t="s">
        <v>1042</v>
      </c>
      <c r="U700">
        <v>3000</v>
      </c>
      <c r="X700" s="25" t="s">
        <v>1043</v>
      </c>
      <c r="Y700" s="25" t="s">
        <v>1044</v>
      </c>
      <c r="AB700" t="s">
        <v>1045</v>
      </c>
      <c r="AE700" s="26" t="s">
        <v>1046</v>
      </c>
      <c r="AH700" t="s">
        <v>1000</v>
      </c>
      <c r="AI700" t="s">
        <v>1052</v>
      </c>
      <c r="AJ700" t="s">
        <v>997</v>
      </c>
      <c r="AL700">
        <v>2</v>
      </c>
      <c r="AM700" t="s">
        <v>1049</v>
      </c>
      <c r="AN700" t="s">
        <v>1050</v>
      </c>
      <c r="AO700" t="s">
        <v>1051</v>
      </c>
      <c r="AP700" t="s">
        <v>160</v>
      </c>
      <c r="AQ700" t="s">
        <v>288</v>
      </c>
    </row>
    <row r="701" spans="1:43" hidden="1" x14ac:dyDescent="0.3">
      <c r="A701">
        <f t="shared" si="2"/>
        <v>697</v>
      </c>
      <c r="B701" t="s">
        <v>1036</v>
      </c>
      <c r="C701" t="s">
        <v>330</v>
      </c>
      <c r="D701" t="s">
        <v>1037</v>
      </c>
      <c r="E701" t="s">
        <v>1038</v>
      </c>
      <c r="G701" t="s">
        <v>1039</v>
      </c>
      <c r="H701" t="s">
        <v>1040</v>
      </c>
      <c r="S701" t="s">
        <v>1041</v>
      </c>
      <c r="T701" t="s">
        <v>1042</v>
      </c>
      <c r="U701">
        <v>3000</v>
      </c>
      <c r="X701" s="25" t="s">
        <v>1043</v>
      </c>
      <c r="Y701" s="25" t="s">
        <v>1044</v>
      </c>
      <c r="AB701" t="s">
        <v>1045</v>
      </c>
      <c r="AE701" s="26" t="s">
        <v>1046</v>
      </c>
      <c r="AH701" t="s">
        <v>996</v>
      </c>
      <c r="AI701" t="s">
        <v>1001</v>
      </c>
      <c r="AJ701" t="s">
        <v>623</v>
      </c>
      <c r="AL701">
        <v>4</v>
      </c>
      <c r="AM701" t="s">
        <v>1049</v>
      </c>
      <c r="AN701" t="s">
        <v>1050</v>
      </c>
      <c r="AO701" t="s">
        <v>1051</v>
      </c>
      <c r="AP701" t="s">
        <v>160</v>
      </c>
      <c r="AQ701" t="s">
        <v>288</v>
      </c>
    </row>
    <row r="702" spans="1:43" hidden="1" x14ac:dyDescent="0.3">
      <c r="A702">
        <f t="shared" ref="A702:A765" si="3">A701+1</f>
        <v>698</v>
      </c>
      <c r="B702" t="s">
        <v>267</v>
      </c>
      <c r="C702" t="s">
        <v>329</v>
      </c>
      <c r="M702">
        <v>22</v>
      </c>
      <c r="AH702" t="s">
        <v>1000</v>
      </c>
      <c r="AI702" t="s">
        <v>1001</v>
      </c>
      <c r="AL702">
        <v>4</v>
      </c>
      <c r="AM702" t="s">
        <v>1128</v>
      </c>
      <c r="AN702" t="s">
        <v>1053</v>
      </c>
      <c r="AP702" t="s">
        <v>288</v>
      </c>
      <c r="AQ702" t="s">
        <v>160</v>
      </c>
    </row>
    <row r="703" spans="1:43" hidden="1" x14ac:dyDescent="0.3">
      <c r="A703">
        <f t="shared" si="3"/>
        <v>699</v>
      </c>
      <c r="B703" t="s">
        <v>267</v>
      </c>
      <c r="C703" t="s">
        <v>329</v>
      </c>
      <c r="M703">
        <v>15</v>
      </c>
      <c r="X703" s="27"/>
      <c r="Y703" s="27"/>
      <c r="AH703" t="s">
        <v>1000</v>
      </c>
      <c r="AI703" t="s">
        <v>1001</v>
      </c>
      <c r="AL703">
        <v>3.5</v>
      </c>
      <c r="AM703" t="s">
        <v>1128</v>
      </c>
      <c r="AN703" t="s">
        <v>1053</v>
      </c>
      <c r="AP703" t="s">
        <v>288</v>
      </c>
      <c r="AQ703" t="s">
        <v>160</v>
      </c>
    </row>
    <row r="704" spans="1:43" hidden="1" x14ac:dyDescent="0.3">
      <c r="A704">
        <f t="shared" si="3"/>
        <v>700</v>
      </c>
      <c r="B704" t="s">
        <v>267</v>
      </c>
      <c r="C704" t="s">
        <v>329</v>
      </c>
      <c r="M704">
        <v>12</v>
      </c>
      <c r="X704" s="27"/>
      <c r="Y704" s="27"/>
      <c r="AH704" t="s">
        <v>1000</v>
      </c>
      <c r="AI704" t="s">
        <v>1001</v>
      </c>
      <c r="AL704">
        <v>3</v>
      </c>
      <c r="AM704" t="s">
        <v>1128</v>
      </c>
      <c r="AN704" t="s">
        <v>1053</v>
      </c>
      <c r="AP704" t="s">
        <v>288</v>
      </c>
      <c r="AQ704" t="s">
        <v>160</v>
      </c>
    </row>
    <row r="705" spans="1:43" hidden="1" x14ac:dyDescent="0.3">
      <c r="A705">
        <f t="shared" si="3"/>
        <v>701</v>
      </c>
      <c r="B705" t="s">
        <v>267</v>
      </c>
      <c r="C705" t="s">
        <v>329</v>
      </c>
      <c r="M705">
        <v>8.5</v>
      </c>
      <c r="X705" s="27"/>
      <c r="Y705" s="27"/>
      <c r="AH705" t="s">
        <v>1000</v>
      </c>
      <c r="AI705" t="s">
        <v>1001</v>
      </c>
      <c r="AL705">
        <v>2.5</v>
      </c>
      <c r="AM705" t="s">
        <v>1128</v>
      </c>
      <c r="AN705" t="s">
        <v>1053</v>
      </c>
      <c r="AP705" t="s">
        <v>288</v>
      </c>
      <c r="AQ705" t="s">
        <v>160</v>
      </c>
    </row>
    <row r="706" spans="1:43" hidden="1" x14ac:dyDescent="0.3">
      <c r="A706">
        <f t="shared" si="3"/>
        <v>702</v>
      </c>
      <c r="B706" t="s">
        <v>267</v>
      </c>
      <c r="C706" t="s">
        <v>329</v>
      </c>
      <c r="M706">
        <v>5.8</v>
      </c>
      <c r="X706" s="27"/>
      <c r="Y706" s="27"/>
      <c r="AH706" t="s">
        <v>1000</v>
      </c>
      <c r="AI706" t="s">
        <v>1001</v>
      </c>
      <c r="AL706">
        <v>2</v>
      </c>
      <c r="AM706" t="s">
        <v>1128</v>
      </c>
      <c r="AN706" t="s">
        <v>1053</v>
      </c>
      <c r="AP706" t="s">
        <v>288</v>
      </c>
      <c r="AQ706" t="s">
        <v>160</v>
      </c>
    </row>
    <row r="707" spans="1:43" hidden="1" x14ac:dyDescent="0.3">
      <c r="A707">
        <f t="shared" si="3"/>
        <v>703</v>
      </c>
      <c r="B707" t="s">
        <v>267</v>
      </c>
      <c r="C707" t="s">
        <v>329</v>
      </c>
      <c r="M707">
        <v>3.9</v>
      </c>
      <c r="X707" s="27"/>
      <c r="Y707" s="27"/>
      <c r="AH707" t="s">
        <v>1000</v>
      </c>
      <c r="AI707" t="s">
        <v>1001</v>
      </c>
      <c r="AL707">
        <v>1.5</v>
      </c>
      <c r="AM707" t="s">
        <v>1128</v>
      </c>
      <c r="AN707" t="s">
        <v>1053</v>
      </c>
      <c r="AP707" t="s">
        <v>288</v>
      </c>
      <c r="AQ707" t="s">
        <v>160</v>
      </c>
    </row>
    <row r="708" spans="1:43" hidden="1" x14ac:dyDescent="0.3">
      <c r="A708">
        <f t="shared" si="3"/>
        <v>704</v>
      </c>
      <c r="B708" t="s">
        <v>267</v>
      </c>
      <c r="C708" t="s">
        <v>329</v>
      </c>
      <c r="M708">
        <v>2.5</v>
      </c>
      <c r="X708" s="27"/>
      <c r="Y708" s="27"/>
      <c r="AH708" t="s">
        <v>1000</v>
      </c>
      <c r="AI708" t="s">
        <v>1001</v>
      </c>
      <c r="AL708">
        <v>1</v>
      </c>
      <c r="AM708" t="s">
        <v>1128</v>
      </c>
      <c r="AN708" t="s">
        <v>1053</v>
      </c>
      <c r="AP708" t="s">
        <v>288</v>
      </c>
      <c r="AQ708" t="s">
        <v>160</v>
      </c>
    </row>
    <row r="709" spans="1:43" hidden="1" x14ac:dyDescent="0.3">
      <c r="A709">
        <f t="shared" si="3"/>
        <v>705</v>
      </c>
      <c r="B709" t="s">
        <v>267</v>
      </c>
      <c r="C709" t="s">
        <v>329</v>
      </c>
      <c r="M709">
        <v>1.6</v>
      </c>
      <c r="X709" s="27"/>
      <c r="Y709" s="27"/>
      <c r="AH709" t="s">
        <v>1000</v>
      </c>
      <c r="AI709" t="s">
        <v>1001</v>
      </c>
      <c r="AL709">
        <v>0.5</v>
      </c>
      <c r="AM709" t="s">
        <v>1128</v>
      </c>
      <c r="AN709" t="s">
        <v>1053</v>
      </c>
      <c r="AP709" t="s">
        <v>288</v>
      </c>
      <c r="AQ709" t="s">
        <v>160</v>
      </c>
    </row>
    <row r="710" spans="1:43" hidden="1" x14ac:dyDescent="0.3">
      <c r="A710">
        <f t="shared" si="3"/>
        <v>706</v>
      </c>
      <c r="B710" t="s">
        <v>267</v>
      </c>
      <c r="C710" t="s">
        <v>329</v>
      </c>
      <c r="M710">
        <v>22</v>
      </c>
      <c r="X710" s="27"/>
      <c r="Y710" s="27"/>
      <c r="AH710" t="s">
        <v>1000</v>
      </c>
      <c r="AI710" t="s">
        <v>694</v>
      </c>
      <c r="AL710">
        <v>4</v>
      </c>
      <c r="AM710" t="s">
        <v>1128</v>
      </c>
      <c r="AN710" t="s">
        <v>1053</v>
      </c>
      <c r="AP710" t="s">
        <v>288</v>
      </c>
      <c r="AQ710" t="s">
        <v>160</v>
      </c>
    </row>
    <row r="711" spans="1:43" hidden="1" x14ac:dyDescent="0.3">
      <c r="A711">
        <f t="shared" si="3"/>
        <v>707</v>
      </c>
      <c r="B711" t="s">
        <v>267</v>
      </c>
      <c r="C711" t="s">
        <v>329</v>
      </c>
      <c r="M711">
        <v>15</v>
      </c>
      <c r="X711" s="27"/>
      <c r="Y711" s="27"/>
      <c r="AH711" t="s">
        <v>1000</v>
      </c>
      <c r="AI711" t="s">
        <v>694</v>
      </c>
      <c r="AL711">
        <v>3.5</v>
      </c>
      <c r="AM711" t="s">
        <v>1128</v>
      </c>
      <c r="AN711" t="s">
        <v>1053</v>
      </c>
      <c r="AP711" t="s">
        <v>288</v>
      </c>
      <c r="AQ711" t="s">
        <v>160</v>
      </c>
    </row>
    <row r="712" spans="1:43" hidden="1" x14ac:dyDescent="0.3">
      <c r="A712">
        <f t="shared" si="3"/>
        <v>708</v>
      </c>
      <c r="B712" t="s">
        <v>267</v>
      </c>
      <c r="C712" t="s">
        <v>329</v>
      </c>
      <c r="M712">
        <v>11</v>
      </c>
      <c r="X712" s="27"/>
      <c r="Y712" s="27"/>
      <c r="AH712" t="s">
        <v>1000</v>
      </c>
      <c r="AI712" t="s">
        <v>694</v>
      </c>
      <c r="AL712">
        <v>3</v>
      </c>
      <c r="AM712" t="s">
        <v>1128</v>
      </c>
      <c r="AN712" t="s">
        <v>1053</v>
      </c>
      <c r="AP712" t="s">
        <v>288</v>
      </c>
      <c r="AQ712" t="s">
        <v>160</v>
      </c>
    </row>
    <row r="713" spans="1:43" hidden="1" x14ac:dyDescent="0.3">
      <c r="A713">
        <f t="shared" si="3"/>
        <v>709</v>
      </c>
      <c r="B713" t="s">
        <v>267</v>
      </c>
      <c r="C713" t="s">
        <v>329</v>
      </c>
      <c r="M713">
        <v>7.7</v>
      </c>
      <c r="X713" s="27"/>
      <c r="Y713" s="27"/>
      <c r="AH713" t="s">
        <v>1000</v>
      </c>
      <c r="AI713" t="s">
        <v>694</v>
      </c>
      <c r="AL713">
        <v>2.5</v>
      </c>
      <c r="AM713" t="s">
        <v>1128</v>
      </c>
      <c r="AN713" t="s">
        <v>1053</v>
      </c>
      <c r="AP713" t="s">
        <v>288</v>
      </c>
      <c r="AQ713" t="s">
        <v>160</v>
      </c>
    </row>
    <row r="714" spans="1:43" hidden="1" x14ac:dyDescent="0.3">
      <c r="A714">
        <f t="shared" si="3"/>
        <v>710</v>
      </c>
      <c r="B714" t="s">
        <v>267</v>
      </c>
      <c r="C714" t="s">
        <v>329</v>
      </c>
      <c r="M714">
        <v>5.2</v>
      </c>
      <c r="X714" s="27"/>
      <c r="Y714" s="27"/>
      <c r="AH714" t="s">
        <v>1000</v>
      </c>
      <c r="AI714" t="s">
        <v>694</v>
      </c>
      <c r="AL714">
        <v>2</v>
      </c>
      <c r="AM714" t="s">
        <v>1128</v>
      </c>
      <c r="AN714" t="s">
        <v>1053</v>
      </c>
      <c r="AP714" t="s">
        <v>288</v>
      </c>
      <c r="AQ714" t="s">
        <v>160</v>
      </c>
    </row>
    <row r="715" spans="1:43" hidden="1" x14ac:dyDescent="0.3">
      <c r="A715">
        <f t="shared" si="3"/>
        <v>711</v>
      </c>
      <c r="B715" t="s">
        <v>267</v>
      </c>
      <c r="C715" t="s">
        <v>329</v>
      </c>
      <c r="M715">
        <v>3</v>
      </c>
      <c r="X715" s="27"/>
      <c r="Y715" s="27"/>
      <c r="AH715" t="s">
        <v>1000</v>
      </c>
      <c r="AI715" t="s">
        <v>694</v>
      </c>
      <c r="AL715">
        <v>1.5</v>
      </c>
      <c r="AM715" t="s">
        <v>1128</v>
      </c>
      <c r="AN715" t="s">
        <v>1053</v>
      </c>
      <c r="AP715" t="s">
        <v>288</v>
      </c>
      <c r="AQ715" t="s">
        <v>160</v>
      </c>
    </row>
    <row r="716" spans="1:43" hidden="1" x14ac:dyDescent="0.3">
      <c r="A716">
        <f t="shared" si="3"/>
        <v>712</v>
      </c>
      <c r="B716" t="s">
        <v>267</v>
      </c>
      <c r="C716" t="s">
        <v>329</v>
      </c>
      <c r="M716">
        <v>2.1</v>
      </c>
      <c r="X716" s="27"/>
      <c r="Y716" s="27"/>
      <c r="AH716" t="s">
        <v>1000</v>
      </c>
      <c r="AI716" t="s">
        <v>694</v>
      </c>
      <c r="AL716">
        <v>1</v>
      </c>
      <c r="AM716" t="s">
        <v>1128</v>
      </c>
      <c r="AN716" t="s">
        <v>1053</v>
      </c>
      <c r="AP716" t="s">
        <v>288</v>
      </c>
      <c r="AQ716" t="s">
        <v>160</v>
      </c>
    </row>
    <row r="717" spans="1:43" hidden="1" x14ac:dyDescent="0.3">
      <c r="A717">
        <f t="shared" si="3"/>
        <v>713</v>
      </c>
      <c r="B717" t="s">
        <v>267</v>
      </c>
      <c r="C717" t="s">
        <v>329</v>
      </c>
      <c r="M717">
        <v>1.5</v>
      </c>
      <c r="X717" s="27"/>
      <c r="Y717" s="27"/>
      <c r="AH717" t="s">
        <v>1000</v>
      </c>
      <c r="AI717" t="s">
        <v>694</v>
      </c>
      <c r="AL717">
        <v>0.5</v>
      </c>
      <c r="AM717" t="s">
        <v>1128</v>
      </c>
      <c r="AN717" t="s">
        <v>1053</v>
      </c>
      <c r="AP717" t="s">
        <v>288</v>
      </c>
      <c r="AQ717" t="s">
        <v>160</v>
      </c>
    </row>
    <row r="718" spans="1:43" hidden="1" x14ac:dyDescent="0.3">
      <c r="A718">
        <f t="shared" si="3"/>
        <v>714</v>
      </c>
      <c r="B718" t="s">
        <v>267</v>
      </c>
      <c r="C718" t="s">
        <v>329</v>
      </c>
      <c r="M718">
        <v>186</v>
      </c>
      <c r="X718" s="27"/>
      <c r="Y718" s="27"/>
      <c r="AH718" t="s">
        <v>992</v>
      </c>
      <c r="AL718">
        <v>4</v>
      </c>
      <c r="AM718" t="s">
        <v>1128</v>
      </c>
      <c r="AN718" t="s">
        <v>1053</v>
      </c>
      <c r="AP718" t="s">
        <v>288</v>
      </c>
      <c r="AQ718" t="s">
        <v>160</v>
      </c>
    </row>
    <row r="719" spans="1:43" hidden="1" x14ac:dyDescent="0.3">
      <c r="A719">
        <f t="shared" si="3"/>
        <v>715</v>
      </c>
      <c r="B719" t="s">
        <v>267</v>
      </c>
      <c r="C719" t="s">
        <v>329</v>
      </c>
      <c r="M719">
        <v>163</v>
      </c>
      <c r="X719" s="27"/>
      <c r="Y719" s="27"/>
      <c r="AH719" t="s">
        <v>992</v>
      </c>
      <c r="AL719">
        <v>3.5</v>
      </c>
      <c r="AM719" t="s">
        <v>1128</v>
      </c>
      <c r="AN719" t="s">
        <v>1053</v>
      </c>
      <c r="AP719" t="s">
        <v>288</v>
      </c>
      <c r="AQ719" t="s">
        <v>160</v>
      </c>
    </row>
    <row r="720" spans="1:43" hidden="1" x14ac:dyDescent="0.3">
      <c r="A720">
        <f t="shared" si="3"/>
        <v>716</v>
      </c>
      <c r="B720" t="s">
        <v>267</v>
      </c>
      <c r="C720" t="s">
        <v>329</v>
      </c>
      <c r="M720">
        <v>143</v>
      </c>
      <c r="X720" s="27"/>
      <c r="Y720" s="27"/>
      <c r="AH720" t="s">
        <v>992</v>
      </c>
      <c r="AL720">
        <v>3</v>
      </c>
      <c r="AM720" t="s">
        <v>1128</v>
      </c>
      <c r="AN720" t="s">
        <v>1053</v>
      </c>
      <c r="AP720" t="s">
        <v>288</v>
      </c>
      <c r="AQ720" t="s">
        <v>160</v>
      </c>
    </row>
    <row r="721" spans="1:43" hidden="1" x14ac:dyDescent="0.3">
      <c r="A721">
        <f t="shared" si="3"/>
        <v>717</v>
      </c>
      <c r="B721" t="s">
        <v>267</v>
      </c>
      <c r="C721" t="s">
        <v>329</v>
      </c>
      <c r="M721">
        <v>121</v>
      </c>
      <c r="X721" s="27"/>
      <c r="Y721" s="27"/>
      <c r="AH721" t="s">
        <v>992</v>
      </c>
      <c r="AL721">
        <v>2.5</v>
      </c>
      <c r="AM721" t="s">
        <v>1128</v>
      </c>
      <c r="AN721" t="s">
        <v>1053</v>
      </c>
      <c r="AP721" t="s">
        <v>288</v>
      </c>
      <c r="AQ721" t="s">
        <v>160</v>
      </c>
    </row>
    <row r="722" spans="1:43" hidden="1" x14ac:dyDescent="0.3">
      <c r="A722">
        <f t="shared" si="3"/>
        <v>718</v>
      </c>
      <c r="B722" t="s">
        <v>267</v>
      </c>
      <c r="C722" t="s">
        <v>329</v>
      </c>
      <c r="M722">
        <v>100</v>
      </c>
      <c r="X722" s="27"/>
      <c r="Y722" s="27"/>
      <c r="AH722" t="s">
        <v>992</v>
      </c>
      <c r="AL722">
        <v>2</v>
      </c>
      <c r="AM722" t="s">
        <v>1128</v>
      </c>
      <c r="AN722" t="s">
        <v>1053</v>
      </c>
      <c r="AP722" t="s">
        <v>288</v>
      </c>
      <c r="AQ722" t="s">
        <v>160</v>
      </c>
    </row>
    <row r="723" spans="1:43" hidden="1" x14ac:dyDescent="0.3">
      <c r="A723">
        <f t="shared" si="3"/>
        <v>719</v>
      </c>
      <c r="B723" t="s">
        <v>267</v>
      </c>
      <c r="C723" t="s">
        <v>329</v>
      </c>
      <c r="M723">
        <v>79</v>
      </c>
      <c r="X723" s="27"/>
      <c r="Y723" s="27"/>
      <c r="AH723" t="s">
        <v>992</v>
      </c>
      <c r="AL723">
        <v>1.5</v>
      </c>
      <c r="AM723" t="s">
        <v>1128</v>
      </c>
      <c r="AN723" t="s">
        <v>1053</v>
      </c>
      <c r="AP723" t="s">
        <v>288</v>
      </c>
      <c r="AQ723" t="s">
        <v>160</v>
      </c>
    </row>
    <row r="724" spans="1:43" hidden="1" x14ac:dyDescent="0.3">
      <c r="A724">
        <f t="shared" si="3"/>
        <v>720</v>
      </c>
      <c r="B724" t="s">
        <v>267</v>
      </c>
      <c r="C724" t="s">
        <v>329</v>
      </c>
      <c r="M724">
        <v>58</v>
      </c>
      <c r="X724" s="27"/>
      <c r="Y724" s="27"/>
      <c r="AH724" t="s">
        <v>992</v>
      </c>
      <c r="AL724">
        <v>1</v>
      </c>
      <c r="AM724" t="s">
        <v>1128</v>
      </c>
      <c r="AN724" t="s">
        <v>1053</v>
      </c>
      <c r="AP724" t="s">
        <v>288</v>
      </c>
      <c r="AQ724" t="s">
        <v>160</v>
      </c>
    </row>
    <row r="725" spans="1:43" hidden="1" x14ac:dyDescent="0.3">
      <c r="A725">
        <f t="shared" si="3"/>
        <v>721</v>
      </c>
      <c r="B725" t="s">
        <v>267</v>
      </c>
      <c r="C725" t="s">
        <v>329</v>
      </c>
      <c r="M725">
        <v>39</v>
      </c>
      <c r="X725" s="27"/>
      <c r="Y725" s="27"/>
      <c r="AH725" t="s">
        <v>992</v>
      </c>
      <c r="AL725">
        <v>0.5</v>
      </c>
      <c r="AM725" t="s">
        <v>1128</v>
      </c>
      <c r="AN725" t="s">
        <v>1053</v>
      </c>
      <c r="AP725" t="s">
        <v>288</v>
      </c>
      <c r="AQ725" t="s">
        <v>160</v>
      </c>
    </row>
    <row r="726" spans="1:43" hidden="1" x14ac:dyDescent="0.3">
      <c r="A726">
        <f t="shared" si="3"/>
        <v>722</v>
      </c>
      <c r="B726" t="s">
        <v>1219</v>
      </c>
      <c r="C726" t="s">
        <v>1215</v>
      </c>
      <c r="X726" s="27"/>
      <c r="Y726" s="27"/>
      <c r="AH726" t="s">
        <v>311</v>
      </c>
      <c r="AL726">
        <v>1.9</v>
      </c>
      <c r="AM726" t="s">
        <v>1130</v>
      </c>
      <c r="AN726" t="s">
        <v>1055</v>
      </c>
      <c r="AO726" t="s">
        <v>1129</v>
      </c>
      <c r="AP726" t="s">
        <v>288</v>
      </c>
      <c r="AQ726" t="s">
        <v>160</v>
      </c>
    </row>
    <row r="727" spans="1:43" hidden="1" x14ac:dyDescent="0.3">
      <c r="A727">
        <f t="shared" si="3"/>
        <v>723</v>
      </c>
      <c r="B727" t="s">
        <v>1219</v>
      </c>
      <c r="C727" t="s">
        <v>1215</v>
      </c>
      <c r="X727" s="27"/>
      <c r="Y727" s="27"/>
      <c r="AH727" t="s">
        <v>1000</v>
      </c>
      <c r="AI727" t="s">
        <v>1001</v>
      </c>
      <c r="AL727">
        <v>1.2</v>
      </c>
      <c r="AM727" t="s">
        <v>1130</v>
      </c>
      <c r="AN727" t="s">
        <v>1055</v>
      </c>
      <c r="AO727" t="s">
        <v>1129</v>
      </c>
      <c r="AP727" t="s">
        <v>288</v>
      </c>
      <c r="AQ727" t="s">
        <v>160</v>
      </c>
    </row>
    <row r="728" spans="1:43" hidden="1" x14ac:dyDescent="0.3">
      <c r="A728">
        <f t="shared" si="3"/>
        <v>724</v>
      </c>
      <c r="B728" t="s">
        <v>1219</v>
      </c>
      <c r="C728" t="s">
        <v>1215</v>
      </c>
      <c r="X728" s="27"/>
      <c r="Y728" s="27"/>
      <c r="AH728" t="s">
        <v>1000</v>
      </c>
      <c r="AI728" t="s">
        <v>694</v>
      </c>
      <c r="AL728">
        <v>0.8</v>
      </c>
      <c r="AM728" t="s">
        <v>1130</v>
      </c>
      <c r="AN728" t="s">
        <v>1055</v>
      </c>
      <c r="AO728" t="s">
        <v>1129</v>
      </c>
      <c r="AP728" t="s">
        <v>288</v>
      </c>
      <c r="AQ728" t="s">
        <v>160</v>
      </c>
    </row>
    <row r="729" spans="1:43" hidden="1" x14ac:dyDescent="0.3">
      <c r="A729">
        <f t="shared" si="3"/>
        <v>725</v>
      </c>
      <c r="B729" t="s">
        <v>1219</v>
      </c>
      <c r="C729" t="s">
        <v>1056</v>
      </c>
      <c r="X729" s="27"/>
      <c r="Y729" s="27"/>
      <c r="AH729" t="s">
        <v>311</v>
      </c>
      <c r="AL729">
        <v>0</v>
      </c>
      <c r="AM729" t="s">
        <v>1131</v>
      </c>
      <c r="AN729" t="s">
        <v>1055</v>
      </c>
      <c r="AO729" t="s">
        <v>1129</v>
      </c>
      <c r="AP729" t="s">
        <v>288</v>
      </c>
      <c r="AQ729" t="s">
        <v>160</v>
      </c>
    </row>
    <row r="730" spans="1:43" hidden="1" x14ac:dyDescent="0.3">
      <c r="A730">
        <f t="shared" si="3"/>
        <v>726</v>
      </c>
      <c r="B730" t="s">
        <v>1219</v>
      </c>
      <c r="C730" t="s">
        <v>1056</v>
      </c>
      <c r="X730" s="27"/>
      <c r="Y730" s="27"/>
      <c r="AH730" t="s">
        <v>1000</v>
      </c>
      <c r="AI730" t="s">
        <v>1001</v>
      </c>
      <c r="AL730">
        <v>4</v>
      </c>
      <c r="AM730" t="s">
        <v>1131</v>
      </c>
      <c r="AN730" t="s">
        <v>1055</v>
      </c>
      <c r="AO730" t="s">
        <v>1129</v>
      </c>
      <c r="AP730" t="s">
        <v>288</v>
      </c>
      <c r="AQ730" t="s">
        <v>160</v>
      </c>
    </row>
    <row r="731" spans="1:43" hidden="1" x14ac:dyDescent="0.3">
      <c r="A731">
        <f t="shared" si="3"/>
        <v>727</v>
      </c>
      <c r="B731" t="s">
        <v>1219</v>
      </c>
      <c r="C731" t="s">
        <v>1056</v>
      </c>
      <c r="X731" s="27"/>
      <c r="Y731" s="27"/>
      <c r="AH731" t="s">
        <v>1000</v>
      </c>
      <c r="AI731" t="s">
        <v>694</v>
      </c>
      <c r="AL731">
        <v>4</v>
      </c>
      <c r="AM731" t="s">
        <v>1131</v>
      </c>
      <c r="AN731" t="s">
        <v>1055</v>
      </c>
      <c r="AO731" t="s">
        <v>1129</v>
      </c>
      <c r="AP731" t="s">
        <v>288</v>
      </c>
      <c r="AQ731" t="s">
        <v>160</v>
      </c>
    </row>
    <row r="732" spans="1:43" x14ac:dyDescent="0.3">
      <c r="A732">
        <f t="shared" si="3"/>
        <v>728</v>
      </c>
      <c r="B732" t="s">
        <v>1219</v>
      </c>
      <c r="C732" t="s">
        <v>379</v>
      </c>
      <c r="X732" s="27"/>
      <c r="Y732" s="27"/>
      <c r="AH732" t="s">
        <v>311</v>
      </c>
      <c r="AL732">
        <v>2</v>
      </c>
      <c r="AM732" t="s">
        <v>1057</v>
      </c>
      <c r="AN732" t="s">
        <v>1055</v>
      </c>
      <c r="AO732" t="s">
        <v>1132</v>
      </c>
      <c r="AP732" t="s">
        <v>288</v>
      </c>
      <c r="AQ732" t="s">
        <v>160</v>
      </c>
    </row>
    <row r="733" spans="1:43" x14ac:dyDescent="0.3">
      <c r="A733">
        <f t="shared" si="3"/>
        <v>729</v>
      </c>
      <c r="B733" t="s">
        <v>1219</v>
      </c>
      <c r="C733" t="s">
        <v>379</v>
      </c>
      <c r="X733" s="27"/>
      <c r="Y733" s="27"/>
      <c r="AH733" t="s">
        <v>1000</v>
      </c>
      <c r="AI733" t="s">
        <v>1001</v>
      </c>
      <c r="AL733">
        <v>2</v>
      </c>
      <c r="AM733" t="s">
        <v>1057</v>
      </c>
      <c r="AN733" t="s">
        <v>1055</v>
      </c>
      <c r="AO733" t="s">
        <v>1132</v>
      </c>
      <c r="AP733" t="s">
        <v>288</v>
      </c>
      <c r="AQ733" t="s">
        <v>160</v>
      </c>
    </row>
    <row r="734" spans="1:43" x14ac:dyDescent="0.3">
      <c r="A734">
        <f t="shared" si="3"/>
        <v>730</v>
      </c>
      <c r="B734" t="s">
        <v>1219</v>
      </c>
      <c r="C734" t="s">
        <v>379</v>
      </c>
      <c r="X734" s="27"/>
      <c r="Y734" s="27"/>
      <c r="AH734" t="s">
        <v>1000</v>
      </c>
      <c r="AI734" t="s">
        <v>694</v>
      </c>
      <c r="AL734">
        <v>2</v>
      </c>
      <c r="AM734" t="s">
        <v>1057</v>
      </c>
      <c r="AN734" t="s">
        <v>1055</v>
      </c>
      <c r="AO734" t="s">
        <v>1132</v>
      </c>
      <c r="AP734" t="s">
        <v>288</v>
      </c>
      <c r="AQ734" t="s">
        <v>160</v>
      </c>
    </row>
    <row r="735" spans="1:43" hidden="1" x14ac:dyDescent="0.3">
      <c r="A735">
        <f t="shared" si="3"/>
        <v>731</v>
      </c>
      <c r="B735" t="s">
        <v>1219</v>
      </c>
      <c r="C735" t="s">
        <v>6</v>
      </c>
      <c r="X735" s="27"/>
      <c r="Y735" s="27"/>
      <c r="AH735" t="s">
        <v>311</v>
      </c>
      <c r="AL735">
        <v>4</v>
      </c>
      <c r="AM735" t="s">
        <v>1058</v>
      </c>
      <c r="AN735" t="s">
        <v>1055</v>
      </c>
      <c r="AO735" t="s">
        <v>1129</v>
      </c>
      <c r="AP735" t="s">
        <v>288</v>
      </c>
      <c r="AQ735" t="s">
        <v>160</v>
      </c>
    </row>
    <row r="736" spans="1:43" hidden="1" x14ac:dyDescent="0.3">
      <c r="A736">
        <f t="shared" si="3"/>
        <v>732</v>
      </c>
      <c r="B736" t="s">
        <v>1219</v>
      </c>
      <c r="C736" t="s">
        <v>6</v>
      </c>
      <c r="X736" s="27"/>
      <c r="Y736" s="27"/>
      <c r="AH736" t="s">
        <v>1000</v>
      </c>
      <c r="AI736" t="s">
        <v>1001</v>
      </c>
      <c r="AL736">
        <v>0</v>
      </c>
      <c r="AM736" t="s">
        <v>1058</v>
      </c>
      <c r="AN736" t="s">
        <v>1055</v>
      </c>
      <c r="AO736" t="s">
        <v>1129</v>
      </c>
      <c r="AP736" t="s">
        <v>288</v>
      </c>
      <c r="AQ736" t="s">
        <v>160</v>
      </c>
    </row>
    <row r="737" spans="1:43" hidden="1" x14ac:dyDescent="0.3">
      <c r="A737">
        <f t="shared" si="3"/>
        <v>733</v>
      </c>
      <c r="B737" t="s">
        <v>1219</v>
      </c>
      <c r="C737" t="s">
        <v>6</v>
      </c>
      <c r="X737" s="27"/>
      <c r="Y737" s="27"/>
      <c r="AH737" t="s">
        <v>1000</v>
      </c>
      <c r="AI737" t="s">
        <v>694</v>
      </c>
      <c r="AL737">
        <v>3</v>
      </c>
      <c r="AM737" t="s">
        <v>1058</v>
      </c>
      <c r="AN737" t="s">
        <v>1055</v>
      </c>
      <c r="AO737" t="s">
        <v>1129</v>
      </c>
      <c r="AP737" t="s">
        <v>288</v>
      </c>
      <c r="AQ737" t="s">
        <v>160</v>
      </c>
    </row>
    <row r="738" spans="1:43" hidden="1" x14ac:dyDescent="0.3">
      <c r="A738">
        <f t="shared" si="3"/>
        <v>734</v>
      </c>
      <c r="B738" t="s">
        <v>1219</v>
      </c>
      <c r="C738" t="s">
        <v>333</v>
      </c>
      <c r="M738" t="s">
        <v>1059</v>
      </c>
      <c r="X738" s="27"/>
      <c r="Y738" s="27"/>
      <c r="AH738" t="s">
        <v>311</v>
      </c>
      <c r="AL738">
        <v>6</v>
      </c>
      <c r="AN738" t="s">
        <v>1055</v>
      </c>
      <c r="AO738" t="s">
        <v>1129</v>
      </c>
      <c r="AP738" t="s">
        <v>288</v>
      </c>
      <c r="AQ738" t="s">
        <v>160</v>
      </c>
    </row>
    <row r="739" spans="1:43" hidden="1" x14ac:dyDescent="0.3">
      <c r="A739">
        <f t="shared" si="3"/>
        <v>735</v>
      </c>
      <c r="B739" t="s">
        <v>1219</v>
      </c>
      <c r="C739" t="s">
        <v>333</v>
      </c>
      <c r="M739" t="s">
        <v>1059</v>
      </c>
      <c r="X739" s="27"/>
      <c r="Y739" s="27"/>
      <c r="AH739" t="s">
        <v>1000</v>
      </c>
      <c r="AI739" t="s">
        <v>1001</v>
      </c>
      <c r="AL739">
        <v>6</v>
      </c>
      <c r="AN739" t="s">
        <v>1055</v>
      </c>
      <c r="AO739" t="s">
        <v>1129</v>
      </c>
      <c r="AP739" t="s">
        <v>288</v>
      </c>
      <c r="AQ739" t="s">
        <v>160</v>
      </c>
    </row>
    <row r="740" spans="1:43" hidden="1" x14ac:dyDescent="0.3">
      <c r="A740">
        <f t="shared" si="3"/>
        <v>736</v>
      </c>
      <c r="B740" t="s">
        <v>1219</v>
      </c>
      <c r="C740" t="s">
        <v>333</v>
      </c>
      <c r="M740" t="s">
        <v>1059</v>
      </c>
      <c r="X740" s="27"/>
      <c r="Y740" s="27"/>
      <c r="AH740" t="s">
        <v>1000</v>
      </c>
      <c r="AI740" t="s">
        <v>694</v>
      </c>
      <c r="AL740">
        <v>6</v>
      </c>
      <c r="AN740" t="s">
        <v>1055</v>
      </c>
      <c r="AO740" t="s">
        <v>1129</v>
      </c>
      <c r="AP740" t="s">
        <v>288</v>
      </c>
      <c r="AQ740" t="s">
        <v>160</v>
      </c>
    </row>
    <row r="741" spans="1:43" x14ac:dyDescent="0.3">
      <c r="A741">
        <f t="shared" si="3"/>
        <v>737</v>
      </c>
      <c r="B741" t="s">
        <v>1060</v>
      </c>
      <c r="C741" s="7" t="s">
        <v>1061</v>
      </c>
      <c r="F741" t="s">
        <v>1062</v>
      </c>
      <c r="X741" s="27"/>
      <c r="Y741" s="27"/>
      <c r="AH741" t="s">
        <v>992</v>
      </c>
      <c r="AJ741" t="s">
        <v>315</v>
      </c>
      <c r="AL741">
        <v>2</v>
      </c>
      <c r="AN741" t="s">
        <v>642</v>
      </c>
      <c r="AO741" t="s">
        <v>1063</v>
      </c>
      <c r="AP741" t="s">
        <v>288</v>
      </c>
      <c r="AQ741" t="s">
        <v>160</v>
      </c>
    </row>
    <row r="742" spans="1:43" x14ac:dyDescent="0.3">
      <c r="A742">
        <f t="shared" si="3"/>
        <v>738</v>
      </c>
      <c r="B742" t="s">
        <v>1060</v>
      </c>
      <c r="C742" s="7" t="s">
        <v>1061</v>
      </c>
      <c r="F742" t="s">
        <v>1062</v>
      </c>
      <c r="X742" s="27"/>
      <c r="Y742" s="27"/>
      <c r="AH742" t="s">
        <v>992</v>
      </c>
      <c r="AJ742" t="s">
        <v>315</v>
      </c>
      <c r="AL742">
        <v>2</v>
      </c>
      <c r="AN742" t="s">
        <v>642</v>
      </c>
      <c r="AO742" t="s">
        <v>1064</v>
      </c>
      <c r="AP742" t="s">
        <v>288</v>
      </c>
      <c r="AQ742" t="s">
        <v>160</v>
      </c>
    </row>
    <row r="743" spans="1:43" x14ac:dyDescent="0.3">
      <c r="A743">
        <f t="shared" si="3"/>
        <v>739</v>
      </c>
      <c r="B743" t="s">
        <v>1060</v>
      </c>
      <c r="C743" s="7" t="s">
        <v>1061</v>
      </c>
      <c r="F743" t="s">
        <v>1062</v>
      </c>
      <c r="X743" s="27"/>
      <c r="Y743" s="27"/>
      <c r="AH743" t="s">
        <v>992</v>
      </c>
      <c r="AJ743" t="s">
        <v>315</v>
      </c>
      <c r="AL743">
        <v>2</v>
      </c>
      <c r="AN743" t="s">
        <v>642</v>
      </c>
      <c r="AO743" t="s">
        <v>1065</v>
      </c>
      <c r="AP743" t="s">
        <v>288</v>
      </c>
      <c r="AQ743" t="s">
        <v>160</v>
      </c>
    </row>
    <row r="744" spans="1:43" x14ac:dyDescent="0.3">
      <c r="A744">
        <f t="shared" si="3"/>
        <v>740</v>
      </c>
      <c r="B744" t="s">
        <v>1060</v>
      </c>
      <c r="C744" s="7" t="s">
        <v>1061</v>
      </c>
      <c r="F744" t="s">
        <v>1062</v>
      </c>
      <c r="X744" s="27"/>
      <c r="Y744" s="27"/>
      <c r="AH744" t="s">
        <v>992</v>
      </c>
      <c r="AJ744" t="s">
        <v>315</v>
      </c>
      <c r="AL744">
        <v>3</v>
      </c>
      <c r="AN744" t="s">
        <v>642</v>
      </c>
      <c r="AO744" t="s">
        <v>1066</v>
      </c>
      <c r="AP744" t="s">
        <v>288</v>
      </c>
      <c r="AQ744" t="s">
        <v>160</v>
      </c>
    </row>
    <row r="745" spans="1:43" x14ac:dyDescent="0.3">
      <c r="A745">
        <f t="shared" si="3"/>
        <v>741</v>
      </c>
      <c r="B745" t="s">
        <v>1060</v>
      </c>
      <c r="C745" s="7" t="s">
        <v>1061</v>
      </c>
      <c r="F745" t="s">
        <v>1062</v>
      </c>
      <c r="X745" s="27"/>
      <c r="Y745" s="27"/>
      <c r="AH745" t="s">
        <v>992</v>
      </c>
      <c r="AJ745" t="s">
        <v>315</v>
      </c>
      <c r="AL745">
        <v>4</v>
      </c>
      <c r="AN745" t="s">
        <v>642</v>
      </c>
      <c r="AO745" t="s">
        <v>1067</v>
      </c>
      <c r="AP745" t="s">
        <v>288</v>
      </c>
      <c r="AQ745" t="s">
        <v>160</v>
      </c>
    </row>
    <row r="746" spans="1:43" x14ac:dyDescent="0.3">
      <c r="A746">
        <f t="shared" si="3"/>
        <v>742</v>
      </c>
      <c r="B746" t="s">
        <v>1060</v>
      </c>
      <c r="C746" s="7" t="s">
        <v>1061</v>
      </c>
      <c r="F746" t="s">
        <v>1062</v>
      </c>
      <c r="X746" s="27"/>
      <c r="Y746" s="27"/>
      <c r="AH746" t="s">
        <v>1000</v>
      </c>
      <c r="AJ746" t="s">
        <v>315</v>
      </c>
      <c r="AL746">
        <v>2</v>
      </c>
      <c r="AN746" t="s">
        <v>642</v>
      </c>
      <c r="AO746" t="s">
        <v>1063</v>
      </c>
      <c r="AP746" t="s">
        <v>288</v>
      </c>
      <c r="AQ746" t="s">
        <v>160</v>
      </c>
    </row>
    <row r="747" spans="1:43" x14ac:dyDescent="0.3">
      <c r="A747">
        <f t="shared" si="3"/>
        <v>743</v>
      </c>
      <c r="B747" t="s">
        <v>1060</v>
      </c>
      <c r="C747" s="7" t="s">
        <v>1061</v>
      </c>
      <c r="F747" t="s">
        <v>1062</v>
      </c>
      <c r="X747" s="27"/>
      <c r="Y747" s="27"/>
      <c r="AH747" t="s">
        <v>1000</v>
      </c>
      <c r="AJ747" t="s">
        <v>315</v>
      </c>
      <c r="AL747">
        <v>2</v>
      </c>
      <c r="AN747" t="s">
        <v>642</v>
      </c>
      <c r="AO747" t="s">
        <v>1064</v>
      </c>
      <c r="AP747" t="s">
        <v>288</v>
      </c>
      <c r="AQ747" t="s">
        <v>160</v>
      </c>
    </row>
    <row r="748" spans="1:43" x14ac:dyDescent="0.3">
      <c r="A748">
        <f t="shared" si="3"/>
        <v>744</v>
      </c>
      <c r="B748" t="s">
        <v>1060</v>
      </c>
      <c r="C748" s="7" t="s">
        <v>1061</v>
      </c>
      <c r="F748" t="s">
        <v>1062</v>
      </c>
      <c r="X748" s="27"/>
      <c r="Y748" s="27"/>
      <c r="AH748" t="s">
        <v>1000</v>
      </c>
      <c r="AJ748" t="s">
        <v>315</v>
      </c>
      <c r="AL748">
        <v>2</v>
      </c>
      <c r="AN748" t="s">
        <v>642</v>
      </c>
      <c r="AO748" t="s">
        <v>1065</v>
      </c>
      <c r="AP748" t="s">
        <v>288</v>
      </c>
      <c r="AQ748" t="s">
        <v>160</v>
      </c>
    </row>
    <row r="749" spans="1:43" x14ac:dyDescent="0.3">
      <c r="A749">
        <f t="shared" si="3"/>
        <v>745</v>
      </c>
      <c r="B749" t="s">
        <v>1060</v>
      </c>
      <c r="C749" s="7" t="s">
        <v>1061</v>
      </c>
      <c r="F749" t="s">
        <v>1062</v>
      </c>
      <c r="X749" s="27"/>
      <c r="Y749" s="27"/>
      <c r="AH749" t="s">
        <v>1000</v>
      </c>
      <c r="AJ749" t="s">
        <v>315</v>
      </c>
      <c r="AL749">
        <v>3</v>
      </c>
      <c r="AN749" t="s">
        <v>642</v>
      </c>
      <c r="AO749" t="s">
        <v>1066</v>
      </c>
      <c r="AP749" t="s">
        <v>288</v>
      </c>
      <c r="AQ749" t="s">
        <v>160</v>
      </c>
    </row>
    <row r="750" spans="1:43" x14ac:dyDescent="0.3">
      <c r="A750">
        <f t="shared" si="3"/>
        <v>746</v>
      </c>
      <c r="B750" t="s">
        <v>1060</v>
      </c>
      <c r="C750" s="7" t="s">
        <v>1061</v>
      </c>
      <c r="F750" t="s">
        <v>1062</v>
      </c>
      <c r="X750" s="27"/>
      <c r="Y750" s="27"/>
      <c r="AH750" t="s">
        <v>1000</v>
      </c>
      <c r="AJ750" t="s">
        <v>315</v>
      </c>
      <c r="AL750">
        <v>4</v>
      </c>
      <c r="AN750" t="s">
        <v>642</v>
      </c>
      <c r="AO750" t="s">
        <v>1067</v>
      </c>
      <c r="AP750" t="s">
        <v>288</v>
      </c>
      <c r="AQ750" t="s">
        <v>160</v>
      </c>
    </row>
    <row r="751" spans="1:43" x14ac:dyDescent="0.3">
      <c r="A751">
        <f t="shared" si="3"/>
        <v>747</v>
      </c>
      <c r="B751" t="s">
        <v>1060</v>
      </c>
      <c r="C751" s="7" t="s">
        <v>1061</v>
      </c>
      <c r="F751" t="s">
        <v>1062</v>
      </c>
      <c r="X751" s="27"/>
      <c r="Y751" s="27"/>
      <c r="AH751" t="s">
        <v>996</v>
      </c>
      <c r="AJ751" t="s">
        <v>315</v>
      </c>
      <c r="AL751">
        <v>2</v>
      </c>
      <c r="AN751" t="s">
        <v>642</v>
      </c>
      <c r="AO751" t="s">
        <v>1063</v>
      </c>
      <c r="AP751" t="s">
        <v>288</v>
      </c>
      <c r="AQ751" t="s">
        <v>160</v>
      </c>
    </row>
    <row r="752" spans="1:43" x14ac:dyDescent="0.3">
      <c r="A752">
        <f t="shared" si="3"/>
        <v>748</v>
      </c>
      <c r="B752" t="s">
        <v>1060</v>
      </c>
      <c r="C752" s="7" t="s">
        <v>1061</v>
      </c>
      <c r="F752" t="s">
        <v>1062</v>
      </c>
      <c r="X752" s="27"/>
      <c r="Y752" s="27"/>
      <c r="AH752" t="s">
        <v>996</v>
      </c>
      <c r="AJ752" t="s">
        <v>315</v>
      </c>
      <c r="AL752">
        <v>2</v>
      </c>
      <c r="AN752" t="s">
        <v>642</v>
      </c>
      <c r="AO752" t="s">
        <v>1064</v>
      </c>
      <c r="AP752" t="s">
        <v>288</v>
      </c>
      <c r="AQ752" t="s">
        <v>160</v>
      </c>
    </row>
    <row r="753" spans="1:43" x14ac:dyDescent="0.3">
      <c r="A753">
        <f t="shared" si="3"/>
        <v>749</v>
      </c>
      <c r="B753" t="s">
        <v>1060</v>
      </c>
      <c r="C753" s="7" t="s">
        <v>1061</v>
      </c>
      <c r="F753" t="s">
        <v>1062</v>
      </c>
      <c r="X753" s="27"/>
      <c r="Y753" s="27"/>
      <c r="AH753" t="s">
        <v>996</v>
      </c>
      <c r="AJ753" t="s">
        <v>315</v>
      </c>
      <c r="AL753">
        <v>2</v>
      </c>
      <c r="AN753" t="s">
        <v>642</v>
      </c>
      <c r="AO753" t="s">
        <v>1065</v>
      </c>
      <c r="AP753" t="s">
        <v>288</v>
      </c>
      <c r="AQ753" t="s">
        <v>160</v>
      </c>
    </row>
    <row r="754" spans="1:43" x14ac:dyDescent="0.3">
      <c r="A754">
        <f t="shared" si="3"/>
        <v>750</v>
      </c>
      <c r="B754" t="s">
        <v>1060</v>
      </c>
      <c r="C754" s="7" t="s">
        <v>1061</v>
      </c>
      <c r="F754" t="s">
        <v>1062</v>
      </c>
      <c r="X754" s="27"/>
      <c r="Y754" s="27"/>
      <c r="AH754" t="s">
        <v>996</v>
      </c>
      <c r="AJ754" t="s">
        <v>315</v>
      </c>
      <c r="AL754">
        <v>3</v>
      </c>
      <c r="AN754" t="s">
        <v>642</v>
      </c>
      <c r="AO754" t="s">
        <v>1066</v>
      </c>
      <c r="AP754" t="s">
        <v>288</v>
      </c>
      <c r="AQ754" t="s">
        <v>160</v>
      </c>
    </row>
    <row r="755" spans="1:43" x14ac:dyDescent="0.3">
      <c r="A755">
        <f t="shared" si="3"/>
        <v>751</v>
      </c>
      <c r="B755" t="s">
        <v>1060</v>
      </c>
      <c r="C755" s="7" t="s">
        <v>1061</v>
      </c>
      <c r="F755" t="s">
        <v>1062</v>
      </c>
      <c r="X755" s="27"/>
      <c r="Y755" s="27"/>
      <c r="AH755" t="s">
        <v>996</v>
      </c>
      <c r="AJ755" t="s">
        <v>315</v>
      </c>
      <c r="AL755">
        <v>4</v>
      </c>
      <c r="AN755" t="s">
        <v>642</v>
      </c>
      <c r="AO755" t="s">
        <v>1067</v>
      </c>
      <c r="AP755" t="s">
        <v>288</v>
      </c>
      <c r="AQ755" t="s">
        <v>160</v>
      </c>
    </row>
    <row r="756" spans="1:43" hidden="1" x14ac:dyDescent="0.3">
      <c r="A756">
        <f t="shared" si="3"/>
        <v>752</v>
      </c>
      <c r="B756" t="s">
        <v>1216</v>
      </c>
      <c r="C756" t="s">
        <v>330</v>
      </c>
      <c r="E756" t="s">
        <v>1068</v>
      </c>
      <c r="X756" s="27"/>
      <c r="Y756" s="27"/>
      <c r="AB756" t="s">
        <v>1127</v>
      </c>
      <c r="AH756" t="s">
        <v>311</v>
      </c>
      <c r="AJ756" t="s">
        <v>1069</v>
      </c>
      <c r="AL756">
        <v>1</v>
      </c>
      <c r="AM756" t="s">
        <v>1126</v>
      </c>
      <c r="AN756" t="s">
        <v>1070</v>
      </c>
      <c r="AO756" t="s">
        <v>1125</v>
      </c>
      <c r="AP756" t="s">
        <v>288</v>
      </c>
      <c r="AQ756" t="s">
        <v>160</v>
      </c>
    </row>
    <row r="757" spans="1:43" hidden="1" x14ac:dyDescent="0.3">
      <c r="A757">
        <f t="shared" si="3"/>
        <v>753</v>
      </c>
      <c r="B757" t="s">
        <v>1216</v>
      </c>
      <c r="C757" t="s">
        <v>330</v>
      </c>
      <c r="E757" t="s">
        <v>1068</v>
      </c>
      <c r="X757" s="27"/>
      <c r="Y757" s="27"/>
      <c r="AB757" t="s">
        <v>1127</v>
      </c>
      <c r="AH757" t="s">
        <v>1000</v>
      </c>
      <c r="AJ757" t="s">
        <v>1069</v>
      </c>
      <c r="AL757">
        <v>2.5</v>
      </c>
      <c r="AM757" t="s">
        <v>1126</v>
      </c>
      <c r="AN757" t="s">
        <v>1070</v>
      </c>
      <c r="AO757" t="s">
        <v>1125</v>
      </c>
      <c r="AP757" t="s">
        <v>288</v>
      </c>
      <c r="AQ757" t="s">
        <v>160</v>
      </c>
    </row>
    <row r="758" spans="1:43" hidden="1" x14ac:dyDescent="0.3">
      <c r="A758">
        <f t="shared" si="3"/>
        <v>754</v>
      </c>
      <c r="B758" t="s">
        <v>1218</v>
      </c>
      <c r="C758" t="s">
        <v>329</v>
      </c>
      <c r="M758">
        <v>1.6</v>
      </c>
      <c r="X758" s="27"/>
      <c r="Y758" s="27"/>
      <c r="AH758" t="s">
        <v>1000</v>
      </c>
      <c r="AI758" t="s">
        <v>1001</v>
      </c>
      <c r="AL758">
        <v>0.5</v>
      </c>
      <c r="AN758" t="s">
        <v>1202</v>
      </c>
      <c r="AO758" t="s">
        <v>1203</v>
      </c>
      <c r="AP758" t="s">
        <v>160</v>
      </c>
      <c r="AQ758" t="s">
        <v>288</v>
      </c>
    </row>
    <row r="759" spans="1:43" hidden="1" x14ac:dyDescent="0.3">
      <c r="A759">
        <f t="shared" si="3"/>
        <v>755</v>
      </c>
      <c r="B759" t="s">
        <v>1218</v>
      </c>
      <c r="C759" t="s">
        <v>329</v>
      </c>
      <c r="M759">
        <v>2.5</v>
      </c>
      <c r="X759" s="27"/>
      <c r="Y759" s="27"/>
      <c r="AH759" t="s">
        <v>1000</v>
      </c>
      <c r="AI759" t="s">
        <v>1001</v>
      </c>
      <c r="AL759">
        <v>1</v>
      </c>
      <c r="AN759" t="s">
        <v>1202</v>
      </c>
      <c r="AO759" t="s">
        <v>1203</v>
      </c>
      <c r="AP759" t="s">
        <v>160</v>
      </c>
      <c r="AQ759" t="s">
        <v>288</v>
      </c>
    </row>
    <row r="760" spans="1:43" hidden="1" x14ac:dyDescent="0.3">
      <c r="A760">
        <f t="shared" si="3"/>
        <v>756</v>
      </c>
      <c r="B760" t="s">
        <v>1218</v>
      </c>
      <c r="C760" t="s">
        <v>329</v>
      </c>
      <c r="M760">
        <v>3.9</v>
      </c>
      <c r="X760" s="27"/>
      <c r="Y760" s="27"/>
      <c r="AH760" t="s">
        <v>1000</v>
      </c>
      <c r="AI760" t="s">
        <v>1001</v>
      </c>
      <c r="AL760">
        <v>1.5</v>
      </c>
      <c r="AN760" t="s">
        <v>1202</v>
      </c>
      <c r="AO760" t="s">
        <v>1203</v>
      </c>
      <c r="AP760" t="s">
        <v>160</v>
      </c>
      <c r="AQ760" t="s">
        <v>288</v>
      </c>
    </row>
    <row r="761" spans="1:43" hidden="1" x14ac:dyDescent="0.3">
      <c r="A761">
        <f t="shared" si="3"/>
        <v>757</v>
      </c>
      <c r="B761" t="s">
        <v>1218</v>
      </c>
      <c r="C761" t="s">
        <v>329</v>
      </c>
      <c r="M761">
        <v>5.8</v>
      </c>
      <c r="X761" s="27"/>
      <c r="Y761" s="27"/>
      <c r="AH761" t="s">
        <v>1000</v>
      </c>
      <c r="AI761" t="s">
        <v>1001</v>
      </c>
      <c r="AL761">
        <v>2</v>
      </c>
      <c r="AN761" t="s">
        <v>1202</v>
      </c>
      <c r="AO761" t="s">
        <v>1203</v>
      </c>
      <c r="AP761" t="s">
        <v>160</v>
      </c>
      <c r="AQ761" t="s">
        <v>288</v>
      </c>
    </row>
    <row r="762" spans="1:43" hidden="1" x14ac:dyDescent="0.3">
      <c r="A762">
        <f t="shared" si="3"/>
        <v>758</v>
      </c>
      <c r="B762" t="s">
        <v>1218</v>
      </c>
      <c r="C762" t="s">
        <v>329</v>
      </c>
      <c r="M762">
        <v>8.5</v>
      </c>
      <c r="X762" s="27"/>
      <c r="Y762" s="27"/>
      <c r="AH762" t="s">
        <v>1000</v>
      </c>
      <c r="AI762" t="s">
        <v>1001</v>
      </c>
      <c r="AL762">
        <v>2.5</v>
      </c>
      <c r="AN762" t="s">
        <v>1202</v>
      </c>
      <c r="AO762" t="s">
        <v>1203</v>
      </c>
      <c r="AP762" t="s">
        <v>160</v>
      </c>
      <c r="AQ762" t="s">
        <v>288</v>
      </c>
    </row>
    <row r="763" spans="1:43" hidden="1" x14ac:dyDescent="0.3">
      <c r="A763">
        <f t="shared" si="3"/>
        <v>759</v>
      </c>
      <c r="B763" t="s">
        <v>1218</v>
      </c>
      <c r="C763" t="s">
        <v>329</v>
      </c>
      <c r="M763">
        <v>12</v>
      </c>
      <c r="X763" s="27"/>
      <c r="Y763" s="27"/>
      <c r="AH763" t="s">
        <v>1000</v>
      </c>
      <c r="AI763" t="s">
        <v>1001</v>
      </c>
      <c r="AL763">
        <v>3</v>
      </c>
      <c r="AN763" t="s">
        <v>1202</v>
      </c>
      <c r="AO763" t="s">
        <v>1203</v>
      </c>
      <c r="AP763" t="s">
        <v>160</v>
      </c>
      <c r="AQ763" t="s">
        <v>288</v>
      </c>
    </row>
    <row r="764" spans="1:43" hidden="1" x14ac:dyDescent="0.3">
      <c r="A764">
        <f t="shared" si="3"/>
        <v>760</v>
      </c>
      <c r="B764" t="s">
        <v>1218</v>
      </c>
      <c r="C764" t="s">
        <v>329</v>
      </c>
      <c r="M764">
        <v>15</v>
      </c>
      <c r="X764" s="27"/>
      <c r="Y764" s="27"/>
      <c r="AH764" t="s">
        <v>1000</v>
      </c>
      <c r="AI764" t="s">
        <v>1001</v>
      </c>
      <c r="AL764">
        <v>3.5</v>
      </c>
      <c r="AN764" t="s">
        <v>1202</v>
      </c>
      <c r="AO764" t="s">
        <v>1203</v>
      </c>
      <c r="AP764" t="s">
        <v>160</v>
      </c>
      <c r="AQ764" t="s">
        <v>288</v>
      </c>
    </row>
    <row r="765" spans="1:43" hidden="1" x14ac:dyDescent="0.3">
      <c r="A765">
        <f t="shared" si="3"/>
        <v>761</v>
      </c>
      <c r="B765" t="s">
        <v>1218</v>
      </c>
      <c r="C765" t="s">
        <v>329</v>
      </c>
      <c r="M765">
        <v>22</v>
      </c>
      <c r="X765" s="27"/>
      <c r="Y765" s="27"/>
      <c r="AH765" t="s">
        <v>1000</v>
      </c>
      <c r="AI765" t="s">
        <v>1001</v>
      </c>
      <c r="AL765">
        <v>4</v>
      </c>
      <c r="AN765" t="s">
        <v>1202</v>
      </c>
      <c r="AO765" t="s">
        <v>1203</v>
      </c>
      <c r="AP765" t="s">
        <v>160</v>
      </c>
      <c r="AQ765" t="s">
        <v>288</v>
      </c>
    </row>
    <row r="766" spans="1:43" hidden="1" x14ac:dyDescent="0.3">
      <c r="A766">
        <f t="shared" ref="A766:A793" si="4">A765+1</f>
        <v>762</v>
      </c>
      <c r="B766" t="s">
        <v>1218</v>
      </c>
      <c r="C766" t="s">
        <v>329</v>
      </c>
      <c r="M766">
        <v>30</v>
      </c>
      <c r="X766" s="27"/>
      <c r="Y766" s="27"/>
      <c r="AH766" t="s">
        <v>1000</v>
      </c>
      <c r="AI766" t="s">
        <v>1001</v>
      </c>
      <c r="AL766">
        <v>4.5</v>
      </c>
      <c r="AN766" t="s">
        <v>1202</v>
      </c>
      <c r="AO766" t="s">
        <v>1203</v>
      </c>
      <c r="AP766" t="s">
        <v>160</v>
      </c>
      <c r="AQ766" t="s">
        <v>288</v>
      </c>
    </row>
    <row r="767" spans="1:43" hidden="1" x14ac:dyDescent="0.3">
      <c r="A767">
        <f t="shared" si="4"/>
        <v>763</v>
      </c>
      <c r="B767" t="s">
        <v>1218</v>
      </c>
      <c r="C767" t="s">
        <v>329</v>
      </c>
      <c r="M767">
        <v>45</v>
      </c>
      <c r="X767" s="27"/>
      <c r="Y767" s="27"/>
      <c r="AH767" t="s">
        <v>1000</v>
      </c>
      <c r="AI767" t="s">
        <v>1001</v>
      </c>
      <c r="AL767">
        <v>5</v>
      </c>
      <c r="AN767" t="s">
        <v>1202</v>
      </c>
      <c r="AO767" t="s">
        <v>1203</v>
      </c>
      <c r="AP767" t="s">
        <v>160</v>
      </c>
      <c r="AQ767" t="s">
        <v>288</v>
      </c>
    </row>
    <row r="768" spans="1:43" hidden="1" x14ac:dyDescent="0.3">
      <c r="A768">
        <f t="shared" si="4"/>
        <v>764</v>
      </c>
      <c r="B768" t="s">
        <v>1218</v>
      </c>
      <c r="C768" t="s">
        <v>329</v>
      </c>
      <c r="M768">
        <v>64</v>
      </c>
      <c r="X768" s="27"/>
      <c r="Y768" s="27"/>
      <c r="AH768" t="s">
        <v>1000</v>
      </c>
      <c r="AI768" t="s">
        <v>1001</v>
      </c>
      <c r="AL768">
        <v>5.5</v>
      </c>
      <c r="AN768" t="s">
        <v>1202</v>
      </c>
      <c r="AO768" t="s">
        <v>1203</v>
      </c>
      <c r="AP768" t="s">
        <v>160</v>
      </c>
      <c r="AQ768" t="s">
        <v>288</v>
      </c>
    </row>
    <row r="769" spans="1:43" hidden="1" x14ac:dyDescent="0.3">
      <c r="A769">
        <f t="shared" si="4"/>
        <v>765</v>
      </c>
      <c r="B769" t="s">
        <v>1218</v>
      </c>
      <c r="C769" t="s">
        <v>329</v>
      </c>
      <c r="M769">
        <v>85</v>
      </c>
      <c r="X769" s="27"/>
      <c r="Y769" s="27"/>
      <c r="AH769" t="s">
        <v>1000</v>
      </c>
      <c r="AI769" t="s">
        <v>1001</v>
      </c>
      <c r="AL769">
        <v>6</v>
      </c>
      <c r="AN769" t="s">
        <v>1202</v>
      </c>
      <c r="AO769" t="s">
        <v>1203</v>
      </c>
      <c r="AP769" t="s">
        <v>160</v>
      </c>
      <c r="AQ769" t="s">
        <v>288</v>
      </c>
    </row>
    <row r="770" spans="1:43" hidden="1" x14ac:dyDescent="0.3">
      <c r="A770">
        <f t="shared" si="4"/>
        <v>766</v>
      </c>
      <c r="B770" t="s">
        <v>1218</v>
      </c>
      <c r="C770" t="s">
        <v>329</v>
      </c>
      <c r="M770">
        <v>1.5</v>
      </c>
      <c r="X770" s="27"/>
      <c r="Y770" s="27"/>
      <c r="AH770" t="s">
        <v>1000</v>
      </c>
      <c r="AI770" t="s">
        <v>694</v>
      </c>
      <c r="AL770">
        <v>0.5</v>
      </c>
      <c r="AN770" t="s">
        <v>1202</v>
      </c>
      <c r="AO770" t="s">
        <v>1203</v>
      </c>
      <c r="AP770" t="s">
        <v>160</v>
      </c>
      <c r="AQ770" t="s">
        <v>288</v>
      </c>
    </row>
    <row r="771" spans="1:43" hidden="1" x14ac:dyDescent="0.3">
      <c r="A771">
        <f t="shared" si="4"/>
        <v>767</v>
      </c>
      <c r="B771" t="s">
        <v>1218</v>
      </c>
      <c r="C771" t="s">
        <v>329</v>
      </c>
      <c r="M771">
        <v>2.1</v>
      </c>
      <c r="X771" s="27"/>
      <c r="Y771" s="27"/>
      <c r="AH771" t="s">
        <v>1000</v>
      </c>
      <c r="AI771" t="s">
        <v>694</v>
      </c>
      <c r="AL771">
        <v>1</v>
      </c>
      <c r="AN771" t="s">
        <v>1202</v>
      </c>
      <c r="AO771" t="s">
        <v>1203</v>
      </c>
      <c r="AP771" t="s">
        <v>160</v>
      </c>
      <c r="AQ771" t="s">
        <v>288</v>
      </c>
    </row>
    <row r="772" spans="1:43" hidden="1" x14ac:dyDescent="0.3">
      <c r="A772">
        <f t="shared" si="4"/>
        <v>768</v>
      </c>
      <c r="B772" t="s">
        <v>1218</v>
      </c>
      <c r="C772" t="s">
        <v>329</v>
      </c>
      <c r="M772">
        <v>3</v>
      </c>
      <c r="X772" s="27"/>
      <c r="Y772" s="27"/>
      <c r="AH772" t="s">
        <v>1000</v>
      </c>
      <c r="AI772" t="s">
        <v>694</v>
      </c>
      <c r="AL772">
        <v>1.5</v>
      </c>
      <c r="AN772" t="s">
        <v>1202</v>
      </c>
      <c r="AO772" t="s">
        <v>1203</v>
      </c>
      <c r="AP772" t="s">
        <v>160</v>
      </c>
      <c r="AQ772" t="s">
        <v>288</v>
      </c>
    </row>
    <row r="773" spans="1:43" hidden="1" x14ac:dyDescent="0.3">
      <c r="A773">
        <f t="shared" si="4"/>
        <v>769</v>
      </c>
      <c r="B773" t="s">
        <v>1218</v>
      </c>
      <c r="C773" t="s">
        <v>329</v>
      </c>
      <c r="M773">
        <v>5.2</v>
      </c>
      <c r="X773" s="27"/>
      <c r="Y773" s="27"/>
      <c r="AH773" t="s">
        <v>1000</v>
      </c>
      <c r="AI773" t="s">
        <v>694</v>
      </c>
      <c r="AL773">
        <v>2</v>
      </c>
      <c r="AN773" t="s">
        <v>1202</v>
      </c>
      <c r="AO773" t="s">
        <v>1203</v>
      </c>
      <c r="AP773" t="s">
        <v>160</v>
      </c>
      <c r="AQ773" t="s">
        <v>288</v>
      </c>
    </row>
    <row r="774" spans="1:43" hidden="1" x14ac:dyDescent="0.3">
      <c r="A774">
        <f t="shared" si="4"/>
        <v>770</v>
      </c>
      <c r="B774" t="s">
        <v>1218</v>
      </c>
      <c r="C774" t="s">
        <v>329</v>
      </c>
      <c r="M774">
        <v>7.7</v>
      </c>
      <c r="X774" s="27"/>
      <c r="Y774" s="27"/>
      <c r="AH774" t="s">
        <v>1000</v>
      </c>
      <c r="AI774" t="s">
        <v>694</v>
      </c>
      <c r="AL774">
        <v>2.5</v>
      </c>
      <c r="AN774" t="s">
        <v>1202</v>
      </c>
      <c r="AO774" t="s">
        <v>1203</v>
      </c>
      <c r="AP774" t="s">
        <v>160</v>
      </c>
      <c r="AQ774" t="s">
        <v>288</v>
      </c>
    </row>
    <row r="775" spans="1:43" hidden="1" x14ac:dyDescent="0.3">
      <c r="A775">
        <f t="shared" si="4"/>
        <v>771</v>
      </c>
      <c r="B775" t="s">
        <v>1218</v>
      </c>
      <c r="C775" t="s">
        <v>329</v>
      </c>
      <c r="M775">
        <v>11</v>
      </c>
      <c r="X775" s="27"/>
      <c r="Y775" s="27"/>
      <c r="AH775" t="s">
        <v>1000</v>
      </c>
      <c r="AI775" t="s">
        <v>694</v>
      </c>
      <c r="AL775">
        <v>3</v>
      </c>
      <c r="AN775" t="s">
        <v>1202</v>
      </c>
      <c r="AO775" t="s">
        <v>1203</v>
      </c>
      <c r="AP775" t="s">
        <v>160</v>
      </c>
      <c r="AQ775" t="s">
        <v>288</v>
      </c>
    </row>
    <row r="776" spans="1:43" hidden="1" x14ac:dyDescent="0.3">
      <c r="A776">
        <f t="shared" si="4"/>
        <v>772</v>
      </c>
      <c r="B776" t="s">
        <v>1218</v>
      </c>
      <c r="C776" t="s">
        <v>329</v>
      </c>
      <c r="M776">
        <v>15</v>
      </c>
      <c r="X776" s="27"/>
      <c r="Y776" s="27"/>
      <c r="AH776" t="s">
        <v>1000</v>
      </c>
      <c r="AI776" t="s">
        <v>694</v>
      </c>
      <c r="AL776">
        <v>3.5</v>
      </c>
      <c r="AN776" t="s">
        <v>1202</v>
      </c>
      <c r="AO776" t="s">
        <v>1203</v>
      </c>
      <c r="AP776" t="s">
        <v>160</v>
      </c>
      <c r="AQ776" t="s">
        <v>288</v>
      </c>
    </row>
    <row r="777" spans="1:43" hidden="1" x14ac:dyDescent="0.3">
      <c r="A777">
        <f t="shared" si="4"/>
        <v>773</v>
      </c>
      <c r="B777" t="s">
        <v>1218</v>
      </c>
      <c r="C777" t="s">
        <v>329</v>
      </c>
      <c r="M777">
        <v>22</v>
      </c>
      <c r="X777" s="27"/>
      <c r="Y777" s="27"/>
      <c r="AH777" t="s">
        <v>1000</v>
      </c>
      <c r="AI777" t="s">
        <v>694</v>
      </c>
      <c r="AL777">
        <v>4</v>
      </c>
      <c r="AN777" t="s">
        <v>1202</v>
      </c>
      <c r="AO777" t="s">
        <v>1203</v>
      </c>
      <c r="AP777" t="s">
        <v>160</v>
      </c>
      <c r="AQ777" t="s">
        <v>288</v>
      </c>
    </row>
    <row r="778" spans="1:43" hidden="1" x14ac:dyDescent="0.3">
      <c r="A778">
        <f t="shared" si="4"/>
        <v>774</v>
      </c>
      <c r="B778" t="s">
        <v>1218</v>
      </c>
      <c r="C778" t="s">
        <v>329</v>
      </c>
      <c r="M778">
        <v>28</v>
      </c>
      <c r="X778" s="27"/>
      <c r="Y778" s="27"/>
      <c r="AH778" t="s">
        <v>1000</v>
      </c>
      <c r="AI778" t="s">
        <v>694</v>
      </c>
      <c r="AL778">
        <v>4.5</v>
      </c>
      <c r="AN778" t="s">
        <v>1202</v>
      </c>
      <c r="AO778" t="s">
        <v>1203</v>
      </c>
      <c r="AP778" t="s">
        <v>160</v>
      </c>
      <c r="AQ778" t="s">
        <v>288</v>
      </c>
    </row>
    <row r="779" spans="1:43" hidden="1" x14ac:dyDescent="0.3">
      <c r="A779">
        <f t="shared" si="4"/>
        <v>775</v>
      </c>
      <c r="B779" t="s">
        <v>1218</v>
      </c>
      <c r="C779" t="s">
        <v>329</v>
      </c>
      <c r="M779">
        <v>42</v>
      </c>
      <c r="X779" s="27"/>
      <c r="Y779" s="27"/>
      <c r="AH779" t="s">
        <v>1000</v>
      </c>
      <c r="AI779" t="s">
        <v>694</v>
      </c>
      <c r="AL779">
        <v>5</v>
      </c>
      <c r="AN779" t="s">
        <v>1202</v>
      </c>
      <c r="AO779" t="s">
        <v>1203</v>
      </c>
      <c r="AP779" t="s">
        <v>160</v>
      </c>
      <c r="AQ779" t="s">
        <v>288</v>
      </c>
    </row>
    <row r="780" spans="1:43" hidden="1" x14ac:dyDescent="0.3">
      <c r="A780">
        <f t="shared" si="4"/>
        <v>776</v>
      </c>
      <c r="B780" t="s">
        <v>1218</v>
      </c>
      <c r="C780" t="s">
        <v>329</v>
      </c>
      <c r="M780">
        <v>60</v>
      </c>
      <c r="X780" s="27"/>
      <c r="Y780" s="27"/>
      <c r="AH780" t="s">
        <v>1000</v>
      </c>
      <c r="AI780" t="s">
        <v>694</v>
      </c>
      <c r="AL780">
        <v>5.5</v>
      </c>
      <c r="AN780" t="s">
        <v>1202</v>
      </c>
      <c r="AO780" t="s">
        <v>1203</v>
      </c>
      <c r="AP780" t="s">
        <v>160</v>
      </c>
      <c r="AQ780" t="s">
        <v>288</v>
      </c>
    </row>
    <row r="781" spans="1:43" hidden="1" x14ac:dyDescent="0.3">
      <c r="A781">
        <f t="shared" si="4"/>
        <v>777</v>
      </c>
      <c r="B781" t="s">
        <v>1218</v>
      </c>
      <c r="C781" t="s">
        <v>329</v>
      </c>
      <c r="M781">
        <v>84</v>
      </c>
      <c r="X781" s="27"/>
      <c r="Y781" s="27"/>
      <c r="AH781" t="s">
        <v>1000</v>
      </c>
      <c r="AI781" t="s">
        <v>694</v>
      </c>
      <c r="AL781">
        <v>6</v>
      </c>
      <c r="AN781" t="s">
        <v>1202</v>
      </c>
      <c r="AO781" t="s">
        <v>1203</v>
      </c>
      <c r="AP781" t="s">
        <v>160</v>
      </c>
      <c r="AQ781" t="s">
        <v>288</v>
      </c>
    </row>
    <row r="782" spans="1:43" hidden="1" x14ac:dyDescent="0.3">
      <c r="A782">
        <f t="shared" si="4"/>
        <v>778</v>
      </c>
      <c r="B782" t="s">
        <v>1218</v>
      </c>
      <c r="C782" t="s">
        <v>329</v>
      </c>
      <c r="M782">
        <v>39</v>
      </c>
      <c r="X782" s="27"/>
      <c r="Y782" s="27"/>
      <c r="AH782" t="s">
        <v>992</v>
      </c>
      <c r="AI782" t="s">
        <v>316</v>
      </c>
      <c r="AL782">
        <v>0.5</v>
      </c>
      <c r="AN782" t="s">
        <v>1202</v>
      </c>
      <c r="AO782" t="s">
        <v>1203</v>
      </c>
      <c r="AP782" t="s">
        <v>160</v>
      </c>
      <c r="AQ782" t="s">
        <v>288</v>
      </c>
    </row>
    <row r="783" spans="1:43" hidden="1" x14ac:dyDescent="0.3">
      <c r="A783">
        <f t="shared" si="4"/>
        <v>779</v>
      </c>
      <c r="B783" t="s">
        <v>1218</v>
      </c>
      <c r="C783" t="s">
        <v>329</v>
      </c>
      <c r="M783">
        <v>58</v>
      </c>
      <c r="X783" s="27"/>
      <c r="Y783" s="27"/>
      <c r="AH783" t="s">
        <v>992</v>
      </c>
      <c r="AI783" t="s">
        <v>316</v>
      </c>
      <c r="AL783">
        <v>1</v>
      </c>
      <c r="AN783" t="s">
        <v>1202</v>
      </c>
      <c r="AO783" t="s">
        <v>1203</v>
      </c>
      <c r="AP783" t="s">
        <v>160</v>
      </c>
      <c r="AQ783" t="s">
        <v>288</v>
      </c>
    </row>
    <row r="784" spans="1:43" hidden="1" x14ac:dyDescent="0.3">
      <c r="A784">
        <f t="shared" si="4"/>
        <v>780</v>
      </c>
      <c r="B784" t="s">
        <v>1218</v>
      </c>
      <c r="C784" t="s">
        <v>329</v>
      </c>
      <c r="M784">
        <v>79</v>
      </c>
      <c r="X784" s="27"/>
      <c r="Y784" s="27"/>
      <c r="AH784" t="s">
        <v>992</v>
      </c>
      <c r="AI784" t="s">
        <v>316</v>
      </c>
      <c r="AL784">
        <v>1.5</v>
      </c>
      <c r="AN784" t="s">
        <v>1202</v>
      </c>
      <c r="AO784" t="s">
        <v>1203</v>
      </c>
      <c r="AP784" t="s">
        <v>160</v>
      </c>
      <c r="AQ784" t="s">
        <v>288</v>
      </c>
    </row>
    <row r="785" spans="1:43" hidden="1" x14ac:dyDescent="0.3">
      <c r="A785">
        <f t="shared" si="4"/>
        <v>781</v>
      </c>
      <c r="B785" t="s">
        <v>1218</v>
      </c>
      <c r="C785" t="s">
        <v>329</v>
      </c>
      <c r="M785">
        <v>100</v>
      </c>
      <c r="X785" s="27"/>
      <c r="Y785" s="27"/>
      <c r="AH785" t="s">
        <v>992</v>
      </c>
      <c r="AI785" t="s">
        <v>316</v>
      </c>
      <c r="AL785">
        <v>2</v>
      </c>
      <c r="AN785" t="s">
        <v>1202</v>
      </c>
      <c r="AO785" t="s">
        <v>1203</v>
      </c>
      <c r="AP785" t="s">
        <v>160</v>
      </c>
      <c r="AQ785" t="s">
        <v>288</v>
      </c>
    </row>
    <row r="786" spans="1:43" hidden="1" x14ac:dyDescent="0.3">
      <c r="A786">
        <f t="shared" si="4"/>
        <v>782</v>
      </c>
      <c r="B786" t="s">
        <v>1218</v>
      </c>
      <c r="C786" t="s">
        <v>329</v>
      </c>
      <c r="M786">
        <v>121</v>
      </c>
      <c r="X786" s="27"/>
      <c r="Y786" s="27"/>
      <c r="AH786" t="s">
        <v>992</v>
      </c>
      <c r="AI786" t="s">
        <v>316</v>
      </c>
      <c r="AL786">
        <v>2.5</v>
      </c>
      <c r="AN786" t="s">
        <v>1202</v>
      </c>
      <c r="AO786" t="s">
        <v>1203</v>
      </c>
      <c r="AP786" t="s">
        <v>160</v>
      </c>
      <c r="AQ786" t="s">
        <v>288</v>
      </c>
    </row>
    <row r="787" spans="1:43" hidden="1" x14ac:dyDescent="0.3">
      <c r="A787">
        <f t="shared" si="4"/>
        <v>783</v>
      </c>
      <c r="B787" t="s">
        <v>1218</v>
      </c>
      <c r="C787" t="s">
        <v>329</v>
      </c>
      <c r="M787">
        <v>143</v>
      </c>
      <c r="X787" s="27"/>
      <c r="Y787" s="27"/>
      <c r="AH787" t="s">
        <v>992</v>
      </c>
      <c r="AI787" t="s">
        <v>316</v>
      </c>
      <c r="AL787">
        <v>3</v>
      </c>
      <c r="AN787" t="s">
        <v>1202</v>
      </c>
      <c r="AO787" t="s">
        <v>1203</v>
      </c>
      <c r="AP787" t="s">
        <v>160</v>
      </c>
      <c r="AQ787" t="s">
        <v>288</v>
      </c>
    </row>
    <row r="788" spans="1:43" hidden="1" x14ac:dyDescent="0.3">
      <c r="A788">
        <f t="shared" si="4"/>
        <v>784</v>
      </c>
      <c r="B788" t="s">
        <v>1218</v>
      </c>
      <c r="C788" t="s">
        <v>329</v>
      </c>
      <c r="M788">
        <v>163</v>
      </c>
      <c r="X788" s="27"/>
      <c r="Y788" s="27"/>
      <c r="AH788" t="s">
        <v>992</v>
      </c>
      <c r="AI788" t="s">
        <v>316</v>
      </c>
      <c r="AL788">
        <v>3.5</v>
      </c>
      <c r="AN788" t="s">
        <v>1202</v>
      </c>
      <c r="AO788" t="s">
        <v>1203</v>
      </c>
      <c r="AP788" t="s">
        <v>160</v>
      </c>
      <c r="AQ788" t="s">
        <v>288</v>
      </c>
    </row>
    <row r="789" spans="1:43" hidden="1" x14ac:dyDescent="0.3">
      <c r="A789">
        <f t="shared" si="4"/>
        <v>785</v>
      </c>
      <c r="B789" t="s">
        <v>1218</v>
      </c>
      <c r="C789" t="s">
        <v>329</v>
      </c>
      <c r="M789">
        <v>186</v>
      </c>
      <c r="X789" s="27"/>
      <c r="Y789" s="27"/>
      <c r="AH789" t="s">
        <v>992</v>
      </c>
      <c r="AI789" t="s">
        <v>316</v>
      </c>
      <c r="AL789">
        <v>4</v>
      </c>
      <c r="AN789" t="s">
        <v>1202</v>
      </c>
      <c r="AO789" t="s">
        <v>1203</v>
      </c>
      <c r="AP789" t="s">
        <v>160</v>
      </c>
      <c r="AQ789" t="s">
        <v>288</v>
      </c>
    </row>
    <row r="790" spans="1:43" hidden="1" x14ac:dyDescent="0.3">
      <c r="A790">
        <f t="shared" si="4"/>
        <v>786</v>
      </c>
      <c r="B790" t="s">
        <v>1218</v>
      </c>
      <c r="C790" t="s">
        <v>329</v>
      </c>
      <c r="M790">
        <v>208</v>
      </c>
      <c r="X790" s="27"/>
      <c r="Y790" s="27"/>
      <c r="AH790" t="s">
        <v>992</v>
      </c>
      <c r="AI790" t="s">
        <v>316</v>
      </c>
      <c r="AL790">
        <v>4.5</v>
      </c>
      <c r="AN790" t="s">
        <v>1202</v>
      </c>
      <c r="AO790" t="s">
        <v>1203</v>
      </c>
      <c r="AP790" t="s">
        <v>160</v>
      </c>
      <c r="AQ790" t="s">
        <v>288</v>
      </c>
    </row>
    <row r="791" spans="1:43" hidden="1" x14ac:dyDescent="0.3">
      <c r="A791">
        <f t="shared" si="4"/>
        <v>787</v>
      </c>
      <c r="B791" t="s">
        <v>1218</v>
      </c>
      <c r="C791" t="s">
        <v>329</v>
      </c>
      <c r="M791">
        <v>231</v>
      </c>
      <c r="X791" s="27"/>
      <c r="Y791" s="27"/>
      <c r="AH791" t="s">
        <v>992</v>
      </c>
      <c r="AI791" t="s">
        <v>316</v>
      </c>
      <c r="AL791">
        <v>5</v>
      </c>
      <c r="AN791" t="s">
        <v>1202</v>
      </c>
      <c r="AO791" t="s">
        <v>1203</v>
      </c>
      <c r="AP791" t="s">
        <v>160</v>
      </c>
      <c r="AQ791" t="s">
        <v>288</v>
      </c>
    </row>
    <row r="792" spans="1:43" hidden="1" x14ac:dyDescent="0.3">
      <c r="A792">
        <f t="shared" si="4"/>
        <v>788</v>
      </c>
      <c r="B792" t="s">
        <v>1218</v>
      </c>
      <c r="C792" t="s">
        <v>329</v>
      </c>
      <c r="M792">
        <v>253</v>
      </c>
      <c r="X792" s="27"/>
      <c r="Y792" s="27"/>
      <c r="AH792" t="s">
        <v>992</v>
      </c>
      <c r="AI792" t="s">
        <v>316</v>
      </c>
      <c r="AL792">
        <v>5.5</v>
      </c>
      <c r="AN792" t="s">
        <v>1202</v>
      </c>
      <c r="AO792" t="s">
        <v>1203</v>
      </c>
      <c r="AP792" t="s">
        <v>160</v>
      </c>
      <c r="AQ792" t="s">
        <v>288</v>
      </c>
    </row>
    <row r="793" spans="1:43" hidden="1" x14ac:dyDescent="0.3">
      <c r="A793">
        <f t="shared" si="4"/>
        <v>789</v>
      </c>
      <c r="B793" t="s">
        <v>1218</v>
      </c>
      <c r="C793" t="s">
        <v>329</v>
      </c>
      <c r="M793">
        <v>276</v>
      </c>
      <c r="X793" s="27"/>
      <c r="Y793" s="27"/>
      <c r="AH793" t="s">
        <v>992</v>
      </c>
      <c r="AI793" t="s">
        <v>316</v>
      </c>
      <c r="AL793">
        <v>6</v>
      </c>
      <c r="AN793" t="s">
        <v>1202</v>
      </c>
      <c r="AO793" t="s">
        <v>1203</v>
      </c>
      <c r="AP793" t="s">
        <v>160</v>
      </c>
      <c r="AQ793" t="s">
        <v>288</v>
      </c>
    </row>
    <row r="794" spans="1:43" hidden="1" x14ac:dyDescent="0.3">
      <c r="X794" s="27"/>
      <c r="Y794" s="27"/>
    </row>
    <row r="795" spans="1:43" hidden="1" x14ac:dyDescent="0.3">
      <c r="X795" s="27"/>
      <c r="Y795" s="27"/>
    </row>
    <row r="796" spans="1:43" hidden="1" x14ac:dyDescent="0.3">
      <c r="X796" s="27"/>
      <c r="Y796" s="27"/>
    </row>
    <row r="797" spans="1:43" hidden="1" x14ac:dyDescent="0.3">
      <c r="X797" s="27"/>
      <c r="Y797" s="27"/>
    </row>
    <row r="798" spans="1:43" hidden="1" x14ac:dyDescent="0.3">
      <c r="X798" s="27"/>
      <c r="Y798" s="27"/>
    </row>
    <row r="799" spans="1:43" hidden="1" x14ac:dyDescent="0.3">
      <c r="X799" s="27"/>
      <c r="Y799" s="27"/>
    </row>
    <row r="800" spans="1:43" hidden="1" x14ac:dyDescent="0.3">
      <c r="X800" s="27"/>
      <c r="Y800" s="27"/>
    </row>
    <row r="801" spans="24:25" hidden="1" x14ac:dyDescent="0.3">
      <c r="X801" s="27"/>
      <c r="Y801" s="27"/>
    </row>
    <row r="802" spans="24:25" hidden="1" x14ac:dyDescent="0.3">
      <c r="X802" s="27"/>
      <c r="Y802" s="27"/>
    </row>
    <row r="803" spans="24:25" hidden="1" x14ac:dyDescent="0.3">
      <c r="X803" s="27"/>
      <c r="Y803" s="27"/>
    </row>
    <row r="804" spans="24:25" hidden="1" x14ac:dyDescent="0.3">
      <c r="X804" s="27"/>
      <c r="Y804" s="27"/>
    </row>
    <row r="805" spans="24:25" hidden="1" x14ac:dyDescent="0.3">
      <c r="X805" s="27"/>
      <c r="Y805" s="27"/>
    </row>
    <row r="806" spans="24:25" hidden="1" x14ac:dyDescent="0.3">
      <c r="X806" s="27"/>
      <c r="Y806" s="27"/>
    </row>
    <row r="807" spans="24:25" hidden="1" x14ac:dyDescent="0.3">
      <c r="X807" s="27"/>
      <c r="Y807" s="27"/>
    </row>
    <row r="808" spans="24:25" hidden="1" x14ac:dyDescent="0.3">
      <c r="X808" s="27"/>
      <c r="Y808" s="27"/>
    </row>
    <row r="809" spans="24:25" hidden="1" x14ac:dyDescent="0.3">
      <c r="X809" s="27"/>
      <c r="Y809" s="27"/>
    </row>
    <row r="810" spans="24:25" hidden="1" x14ac:dyDescent="0.3">
      <c r="X810" s="27"/>
      <c r="Y810" s="27"/>
    </row>
    <row r="811" spans="24:25" hidden="1" x14ac:dyDescent="0.3">
      <c r="X811" s="27"/>
      <c r="Y811" s="27"/>
    </row>
    <row r="812" spans="24:25" hidden="1" x14ac:dyDescent="0.3">
      <c r="X812" s="27"/>
      <c r="Y812" s="27"/>
    </row>
    <row r="813" spans="24:25" hidden="1" x14ac:dyDescent="0.3">
      <c r="X813" s="27"/>
      <c r="Y813" s="27"/>
    </row>
    <row r="814" spans="24:25" hidden="1" x14ac:dyDescent="0.3">
      <c r="X814" s="27"/>
      <c r="Y814" s="27"/>
    </row>
    <row r="815" spans="24:25" hidden="1" x14ac:dyDescent="0.3">
      <c r="X815" s="27"/>
      <c r="Y815" s="27"/>
    </row>
    <row r="816" spans="24:25" hidden="1" x14ac:dyDescent="0.3">
      <c r="X816" s="27"/>
      <c r="Y816" s="27"/>
    </row>
    <row r="817" spans="24:25" hidden="1" x14ac:dyDescent="0.3">
      <c r="X817" s="27"/>
      <c r="Y817" s="27"/>
    </row>
    <row r="818" spans="24:25" hidden="1" x14ac:dyDescent="0.3">
      <c r="X818" s="27"/>
      <c r="Y818" s="27"/>
    </row>
    <row r="819" spans="24:25" hidden="1" x14ac:dyDescent="0.3">
      <c r="X819" s="27"/>
      <c r="Y819" s="27"/>
    </row>
    <row r="820" spans="24:25" hidden="1" x14ac:dyDescent="0.3">
      <c r="X820" s="27"/>
      <c r="Y820" s="27"/>
    </row>
    <row r="821" spans="24:25" hidden="1" x14ac:dyDescent="0.3">
      <c r="X821" s="27"/>
      <c r="Y821" s="27"/>
    </row>
    <row r="822" spans="24:25" hidden="1" x14ac:dyDescent="0.3">
      <c r="X822" s="27"/>
      <c r="Y822" s="27"/>
    </row>
    <row r="823" spans="24:25" hidden="1" x14ac:dyDescent="0.3">
      <c r="X823" s="27"/>
      <c r="Y823" s="27"/>
    </row>
    <row r="824" spans="24:25" hidden="1" x14ac:dyDescent="0.3">
      <c r="X824" s="27"/>
      <c r="Y824" s="27"/>
    </row>
    <row r="825" spans="24:25" hidden="1" x14ac:dyDescent="0.3">
      <c r="X825" s="27"/>
      <c r="Y825" s="27"/>
    </row>
    <row r="826" spans="24:25" hidden="1" x14ac:dyDescent="0.3">
      <c r="X826" s="27"/>
      <c r="Y826" s="27"/>
    </row>
    <row r="827" spans="24:25" hidden="1" x14ac:dyDescent="0.3">
      <c r="X827" s="27"/>
      <c r="Y827" s="27"/>
    </row>
    <row r="828" spans="24:25" hidden="1" x14ac:dyDescent="0.3">
      <c r="X828" s="27"/>
      <c r="Y828" s="27"/>
    </row>
    <row r="829" spans="24:25" hidden="1" x14ac:dyDescent="0.3">
      <c r="X829" s="27"/>
      <c r="Y829" s="27"/>
    </row>
    <row r="830" spans="24:25" hidden="1" x14ac:dyDescent="0.3">
      <c r="X830" s="27"/>
      <c r="Y830" s="27"/>
    </row>
    <row r="831" spans="24:25" hidden="1" x14ac:dyDescent="0.3">
      <c r="X831" s="27"/>
      <c r="Y831" s="27"/>
    </row>
    <row r="832" spans="24:25" hidden="1" x14ac:dyDescent="0.3">
      <c r="X832" s="27"/>
      <c r="Y832" s="27"/>
    </row>
    <row r="833" spans="24:25" hidden="1" x14ac:dyDescent="0.3">
      <c r="X833" s="27"/>
      <c r="Y833" s="27"/>
    </row>
    <row r="834" spans="24:25" hidden="1" x14ac:dyDescent="0.3">
      <c r="X834" s="27"/>
      <c r="Y834" s="27"/>
    </row>
    <row r="835" spans="24:25" hidden="1" x14ac:dyDescent="0.3">
      <c r="X835" s="27"/>
      <c r="Y835" s="27"/>
    </row>
    <row r="836" spans="24:25" hidden="1" x14ac:dyDescent="0.3">
      <c r="X836" s="27"/>
      <c r="Y836" s="27"/>
    </row>
    <row r="837" spans="24:25" hidden="1" x14ac:dyDescent="0.3">
      <c r="X837" s="27"/>
      <c r="Y837" s="27"/>
    </row>
    <row r="838" spans="24:25" hidden="1" x14ac:dyDescent="0.3">
      <c r="X838" s="27"/>
      <c r="Y838" s="27"/>
    </row>
    <row r="839" spans="24:25" hidden="1" x14ac:dyDescent="0.3">
      <c r="X839" s="27"/>
      <c r="Y839" s="27"/>
    </row>
    <row r="840" spans="24:25" hidden="1" x14ac:dyDescent="0.3">
      <c r="X840" s="27"/>
      <c r="Y840" s="27"/>
    </row>
    <row r="841" spans="24:25" hidden="1" x14ac:dyDescent="0.3">
      <c r="X841" s="27"/>
      <c r="Y841" s="27"/>
    </row>
    <row r="842" spans="24:25" hidden="1" x14ac:dyDescent="0.3">
      <c r="X842" s="27"/>
      <c r="Y842" s="27"/>
    </row>
    <row r="843" spans="24:25" hidden="1" x14ac:dyDescent="0.3">
      <c r="X843" s="27"/>
      <c r="Y843" s="27"/>
    </row>
    <row r="844" spans="24:25" hidden="1" x14ac:dyDescent="0.3">
      <c r="X844" s="27"/>
      <c r="Y844" s="27"/>
    </row>
    <row r="845" spans="24:25" hidden="1" x14ac:dyDescent="0.3">
      <c r="X845" s="27"/>
      <c r="Y845" s="27"/>
    </row>
    <row r="846" spans="24:25" hidden="1" x14ac:dyDescent="0.3">
      <c r="X846" s="27"/>
      <c r="Y846" s="27"/>
    </row>
    <row r="847" spans="24:25" hidden="1" x14ac:dyDescent="0.3">
      <c r="X847" s="27"/>
      <c r="Y847" s="27"/>
    </row>
    <row r="848" spans="24:25" hidden="1" x14ac:dyDescent="0.3">
      <c r="X848" s="27"/>
      <c r="Y848" s="27"/>
    </row>
    <row r="849" spans="24:25" hidden="1" x14ac:dyDescent="0.3">
      <c r="X849" s="27"/>
      <c r="Y849" s="27"/>
    </row>
    <row r="850" spans="24:25" hidden="1" x14ac:dyDescent="0.3">
      <c r="X850" s="27"/>
      <c r="Y850" s="27"/>
    </row>
    <row r="851" spans="24:25" hidden="1" x14ac:dyDescent="0.3">
      <c r="X851" s="27"/>
      <c r="Y851" s="27"/>
    </row>
    <row r="852" spans="24:25" hidden="1" x14ac:dyDescent="0.3">
      <c r="X852" s="27"/>
      <c r="Y852" s="27"/>
    </row>
    <row r="853" spans="24:25" hidden="1" x14ac:dyDescent="0.3">
      <c r="X853" s="27"/>
      <c r="Y853" s="27"/>
    </row>
    <row r="854" spans="24:25" hidden="1" x14ac:dyDescent="0.3">
      <c r="X854" s="27"/>
      <c r="Y854" s="27"/>
    </row>
    <row r="855" spans="24:25" hidden="1" x14ac:dyDescent="0.3">
      <c r="X855" s="27"/>
      <c r="Y855" s="27"/>
    </row>
    <row r="856" spans="24:25" hidden="1" x14ac:dyDescent="0.3">
      <c r="X856" s="27"/>
      <c r="Y856" s="27"/>
    </row>
    <row r="857" spans="24:25" hidden="1" x14ac:dyDescent="0.3">
      <c r="X857" s="27"/>
      <c r="Y857" s="27"/>
    </row>
    <row r="858" spans="24:25" hidden="1" x14ac:dyDescent="0.3">
      <c r="X858" s="27"/>
      <c r="Y858" s="27"/>
    </row>
    <row r="859" spans="24:25" hidden="1" x14ac:dyDescent="0.3">
      <c r="X859" s="27"/>
      <c r="Y859" s="27"/>
    </row>
    <row r="860" spans="24:25" hidden="1" x14ac:dyDescent="0.3">
      <c r="X860" s="27"/>
      <c r="Y860" s="27"/>
    </row>
    <row r="861" spans="24:25" hidden="1" x14ac:dyDescent="0.3">
      <c r="X861" s="27"/>
      <c r="Y861" s="27"/>
    </row>
    <row r="862" spans="24:25" hidden="1" x14ac:dyDescent="0.3">
      <c r="X862" s="27"/>
      <c r="Y862" s="27"/>
    </row>
    <row r="863" spans="24:25" hidden="1" x14ac:dyDescent="0.3">
      <c r="X863" s="27"/>
      <c r="Y863" s="27"/>
    </row>
    <row r="864" spans="24:25" hidden="1" x14ac:dyDescent="0.3">
      <c r="X864" s="27"/>
      <c r="Y864" s="27"/>
    </row>
    <row r="865" spans="24:25" hidden="1" x14ac:dyDescent="0.3">
      <c r="X865" s="27"/>
      <c r="Y865" s="27"/>
    </row>
    <row r="866" spans="24:25" hidden="1" x14ac:dyDescent="0.3">
      <c r="X866" s="27"/>
      <c r="Y866" s="27"/>
    </row>
    <row r="867" spans="24:25" hidden="1" x14ac:dyDescent="0.3">
      <c r="X867" s="27"/>
      <c r="Y867" s="27"/>
    </row>
    <row r="868" spans="24:25" hidden="1" x14ac:dyDescent="0.3">
      <c r="X868" s="27"/>
      <c r="Y868" s="27"/>
    </row>
    <row r="869" spans="24:25" hidden="1" x14ac:dyDescent="0.3">
      <c r="X869" s="27"/>
      <c r="Y869" s="27"/>
    </row>
    <row r="870" spans="24:25" hidden="1" x14ac:dyDescent="0.3">
      <c r="X870" s="27"/>
      <c r="Y870" s="27"/>
    </row>
    <row r="871" spans="24:25" hidden="1" x14ac:dyDescent="0.3">
      <c r="X871" s="27"/>
      <c r="Y871" s="27"/>
    </row>
    <row r="872" spans="24:25" hidden="1" x14ac:dyDescent="0.3">
      <c r="X872" s="27"/>
      <c r="Y872" s="27"/>
    </row>
    <row r="873" spans="24:25" hidden="1" x14ac:dyDescent="0.3">
      <c r="X873" s="27"/>
      <c r="Y873" s="27"/>
    </row>
    <row r="874" spans="24:25" hidden="1" x14ac:dyDescent="0.3">
      <c r="X874" s="27"/>
      <c r="Y874" s="27"/>
    </row>
    <row r="875" spans="24:25" hidden="1" x14ac:dyDescent="0.3">
      <c r="X875" s="27"/>
      <c r="Y875" s="27"/>
    </row>
    <row r="876" spans="24:25" hidden="1" x14ac:dyDescent="0.3">
      <c r="X876" s="27"/>
      <c r="Y876" s="27"/>
    </row>
    <row r="877" spans="24:25" hidden="1" x14ac:dyDescent="0.3">
      <c r="X877" s="27"/>
      <c r="Y877" s="27"/>
    </row>
    <row r="878" spans="24:25" hidden="1" x14ac:dyDescent="0.3">
      <c r="X878" s="27"/>
      <c r="Y878" s="27"/>
    </row>
    <row r="879" spans="24:25" hidden="1" x14ac:dyDescent="0.3">
      <c r="X879" s="27"/>
      <c r="Y879" s="27"/>
    </row>
    <row r="880" spans="24:25" hidden="1" x14ac:dyDescent="0.3">
      <c r="X880" s="27"/>
      <c r="Y880" s="27"/>
    </row>
    <row r="881" spans="24:25" hidden="1" x14ac:dyDescent="0.3">
      <c r="X881" s="27"/>
      <c r="Y881" s="27"/>
    </row>
    <row r="882" spans="24:25" hidden="1" x14ac:dyDescent="0.3">
      <c r="X882" s="27"/>
      <c r="Y882" s="27"/>
    </row>
    <row r="883" spans="24:25" hidden="1" x14ac:dyDescent="0.3">
      <c r="X883" s="27"/>
      <c r="Y883" s="27"/>
    </row>
    <row r="884" spans="24:25" hidden="1" x14ac:dyDescent="0.3">
      <c r="X884" s="27"/>
      <c r="Y884" s="27"/>
    </row>
    <row r="885" spans="24:25" hidden="1" x14ac:dyDescent="0.3">
      <c r="X885" s="27"/>
      <c r="Y885" s="27"/>
    </row>
    <row r="886" spans="24:25" hidden="1" x14ac:dyDescent="0.3">
      <c r="X886" s="27"/>
      <c r="Y886" s="27"/>
    </row>
    <row r="887" spans="24:25" hidden="1" x14ac:dyDescent="0.3">
      <c r="X887" s="27"/>
      <c r="Y887" s="27"/>
    </row>
    <row r="888" spans="24:25" hidden="1" x14ac:dyDescent="0.3">
      <c r="X888" s="27"/>
      <c r="Y888" s="27"/>
    </row>
    <row r="889" spans="24:25" hidden="1" x14ac:dyDescent="0.3">
      <c r="X889" s="27"/>
      <c r="Y889" s="27"/>
    </row>
    <row r="890" spans="24:25" hidden="1" x14ac:dyDescent="0.3">
      <c r="X890" s="27"/>
      <c r="Y890" s="27"/>
    </row>
    <row r="891" spans="24:25" hidden="1" x14ac:dyDescent="0.3">
      <c r="X891" s="27"/>
      <c r="Y891" s="27"/>
    </row>
    <row r="892" spans="24:25" hidden="1" x14ac:dyDescent="0.3">
      <c r="X892" s="27"/>
      <c r="Y892" s="27"/>
    </row>
    <row r="893" spans="24:25" hidden="1" x14ac:dyDescent="0.3">
      <c r="X893" s="27"/>
      <c r="Y893" s="27"/>
    </row>
    <row r="894" spans="24:25" hidden="1" x14ac:dyDescent="0.3">
      <c r="X894" s="27"/>
      <c r="Y894" s="27"/>
    </row>
    <row r="895" spans="24:25" hidden="1" x14ac:dyDescent="0.3">
      <c r="X895" s="27"/>
      <c r="Y895" s="27"/>
    </row>
    <row r="896" spans="24:25" hidden="1" x14ac:dyDescent="0.3">
      <c r="X896" s="27"/>
      <c r="Y896" s="27"/>
    </row>
    <row r="897" spans="24:25" hidden="1" x14ac:dyDescent="0.3">
      <c r="X897" s="27"/>
      <c r="Y897" s="27"/>
    </row>
    <row r="898" spans="24:25" hidden="1" x14ac:dyDescent="0.3">
      <c r="X898" s="27"/>
      <c r="Y898" s="27"/>
    </row>
    <row r="899" spans="24:25" hidden="1" x14ac:dyDescent="0.3">
      <c r="X899" s="27"/>
      <c r="Y899" s="27"/>
    </row>
    <row r="900" spans="24:25" hidden="1" x14ac:dyDescent="0.3">
      <c r="X900" s="27"/>
      <c r="Y900" s="27"/>
    </row>
    <row r="901" spans="24:25" hidden="1" x14ac:dyDescent="0.3">
      <c r="X901" s="27"/>
      <c r="Y901" s="27"/>
    </row>
    <row r="902" spans="24:25" hidden="1" x14ac:dyDescent="0.3">
      <c r="X902" s="27"/>
      <c r="Y902" s="27"/>
    </row>
    <row r="903" spans="24:25" hidden="1" x14ac:dyDescent="0.3">
      <c r="X903" s="27"/>
      <c r="Y903" s="27"/>
    </row>
    <row r="904" spans="24:25" hidden="1" x14ac:dyDescent="0.3">
      <c r="X904" s="27"/>
      <c r="Y904" s="27"/>
    </row>
    <row r="905" spans="24:25" hidden="1" x14ac:dyDescent="0.3">
      <c r="X905" s="27"/>
      <c r="Y905" s="27"/>
    </row>
    <row r="906" spans="24:25" hidden="1" x14ac:dyDescent="0.3">
      <c r="X906" s="27"/>
      <c r="Y906" s="27"/>
    </row>
    <row r="907" spans="24:25" hidden="1" x14ac:dyDescent="0.3">
      <c r="X907" s="27"/>
      <c r="Y907" s="27"/>
    </row>
    <row r="908" spans="24:25" hidden="1" x14ac:dyDescent="0.3">
      <c r="X908" s="27"/>
      <c r="Y908" s="27"/>
    </row>
    <row r="909" spans="24:25" hidden="1" x14ac:dyDescent="0.3">
      <c r="X909" s="27"/>
      <c r="Y909" s="27"/>
    </row>
    <row r="910" spans="24:25" hidden="1" x14ac:dyDescent="0.3">
      <c r="X910" s="27"/>
      <c r="Y910" s="27"/>
    </row>
    <row r="911" spans="24:25" hidden="1" x14ac:dyDescent="0.3">
      <c r="X911" s="27"/>
      <c r="Y911" s="27"/>
    </row>
    <row r="912" spans="24:25" hidden="1" x14ac:dyDescent="0.3">
      <c r="X912" s="27"/>
      <c r="Y912" s="27"/>
    </row>
    <row r="913" spans="24:25" hidden="1" x14ac:dyDescent="0.3">
      <c r="X913" s="27"/>
      <c r="Y913" s="27"/>
    </row>
    <row r="914" spans="24:25" hidden="1" x14ac:dyDescent="0.3">
      <c r="X914" s="27"/>
      <c r="Y914" s="27"/>
    </row>
    <row r="915" spans="24:25" hidden="1" x14ac:dyDescent="0.3">
      <c r="X915" s="27"/>
      <c r="Y915" s="27"/>
    </row>
    <row r="916" spans="24:25" hidden="1" x14ac:dyDescent="0.3">
      <c r="X916" s="27"/>
      <c r="Y916" s="27"/>
    </row>
    <row r="917" spans="24:25" hidden="1" x14ac:dyDescent="0.3">
      <c r="X917" s="27"/>
      <c r="Y917" s="27"/>
    </row>
    <row r="918" spans="24:25" hidden="1" x14ac:dyDescent="0.3">
      <c r="X918" s="27"/>
      <c r="Y918" s="27"/>
    </row>
    <row r="919" spans="24:25" hidden="1" x14ac:dyDescent="0.3">
      <c r="X919" s="27"/>
      <c r="Y919" s="27"/>
    </row>
    <row r="920" spans="24:25" hidden="1" x14ac:dyDescent="0.3">
      <c r="X920" s="27"/>
      <c r="Y920" s="27"/>
    </row>
    <row r="921" spans="24:25" hidden="1" x14ac:dyDescent="0.3">
      <c r="X921" s="27"/>
      <c r="Y921" s="27"/>
    </row>
    <row r="922" spans="24:25" hidden="1" x14ac:dyDescent="0.3">
      <c r="X922" s="27"/>
      <c r="Y922" s="27"/>
    </row>
    <row r="923" spans="24:25" hidden="1" x14ac:dyDescent="0.3">
      <c r="X923" s="27"/>
      <c r="Y923" s="27"/>
    </row>
    <row r="924" spans="24:25" hidden="1" x14ac:dyDescent="0.3">
      <c r="X924" s="27"/>
      <c r="Y924" s="27"/>
    </row>
    <row r="925" spans="24:25" hidden="1" x14ac:dyDescent="0.3">
      <c r="X925" s="27"/>
      <c r="Y925" s="27"/>
    </row>
    <row r="926" spans="24:25" hidden="1" x14ac:dyDescent="0.3">
      <c r="X926" s="27"/>
      <c r="Y926" s="27"/>
    </row>
    <row r="927" spans="24:25" hidden="1" x14ac:dyDescent="0.3">
      <c r="X927" s="27"/>
      <c r="Y927" s="27"/>
    </row>
    <row r="928" spans="24:25" hidden="1" x14ac:dyDescent="0.3">
      <c r="X928" s="27"/>
      <c r="Y928" s="27"/>
    </row>
    <row r="929" spans="24:25" hidden="1" x14ac:dyDescent="0.3">
      <c r="X929" s="27"/>
      <c r="Y929" s="27"/>
    </row>
    <row r="930" spans="24:25" hidden="1" x14ac:dyDescent="0.3">
      <c r="X930" s="27"/>
      <c r="Y930" s="27"/>
    </row>
    <row r="931" spans="24:25" hidden="1" x14ac:dyDescent="0.3">
      <c r="X931" s="27"/>
      <c r="Y931" s="27"/>
    </row>
    <row r="932" spans="24:25" hidden="1" x14ac:dyDescent="0.3">
      <c r="X932" s="27"/>
      <c r="Y932" s="27"/>
    </row>
    <row r="933" spans="24:25" hidden="1" x14ac:dyDescent="0.3">
      <c r="X933" s="27"/>
      <c r="Y933" s="27"/>
    </row>
    <row r="934" spans="24:25" hidden="1" x14ac:dyDescent="0.3">
      <c r="X934" s="27"/>
      <c r="Y934" s="27"/>
    </row>
    <row r="935" spans="24:25" hidden="1" x14ac:dyDescent="0.3">
      <c r="X935" s="27"/>
      <c r="Y935" s="27"/>
    </row>
    <row r="936" spans="24:25" hidden="1" x14ac:dyDescent="0.3">
      <c r="X936" s="27"/>
      <c r="Y936" s="27"/>
    </row>
    <row r="937" spans="24:25" hidden="1" x14ac:dyDescent="0.3">
      <c r="X937" s="27"/>
      <c r="Y937" s="27"/>
    </row>
    <row r="938" spans="24:25" hidden="1" x14ac:dyDescent="0.3">
      <c r="X938" s="27"/>
      <c r="Y938" s="27"/>
    </row>
    <row r="939" spans="24:25" hidden="1" x14ac:dyDescent="0.3">
      <c r="X939" s="27"/>
      <c r="Y939" s="27"/>
    </row>
    <row r="940" spans="24:25" hidden="1" x14ac:dyDescent="0.3">
      <c r="X940" s="27"/>
      <c r="Y940" s="27"/>
    </row>
    <row r="941" spans="24:25" hidden="1" x14ac:dyDescent="0.3">
      <c r="X941" s="27"/>
      <c r="Y941" s="27"/>
    </row>
    <row r="942" spans="24:25" hidden="1" x14ac:dyDescent="0.3">
      <c r="X942" s="27"/>
      <c r="Y942" s="27"/>
    </row>
    <row r="943" spans="24:25" hidden="1" x14ac:dyDescent="0.3">
      <c r="X943" s="27"/>
      <c r="Y943" s="27"/>
    </row>
    <row r="944" spans="24:25" hidden="1" x14ac:dyDescent="0.3">
      <c r="X944" s="27"/>
      <c r="Y944" s="27"/>
    </row>
    <row r="945" spans="24:25" hidden="1" x14ac:dyDescent="0.3">
      <c r="X945" s="27"/>
      <c r="Y945" s="27"/>
    </row>
    <row r="946" spans="24:25" hidden="1" x14ac:dyDescent="0.3">
      <c r="X946" s="27"/>
      <c r="Y946" s="27"/>
    </row>
    <row r="947" spans="24:25" hidden="1" x14ac:dyDescent="0.3">
      <c r="X947" s="27"/>
      <c r="Y947" s="27"/>
    </row>
    <row r="948" spans="24:25" hidden="1" x14ac:dyDescent="0.3">
      <c r="X948" s="27"/>
      <c r="Y948" s="27"/>
    </row>
    <row r="949" spans="24:25" hidden="1" x14ac:dyDescent="0.3">
      <c r="X949" s="27"/>
      <c r="Y949" s="27"/>
    </row>
    <row r="950" spans="24:25" hidden="1" x14ac:dyDescent="0.3">
      <c r="X950" s="27"/>
      <c r="Y950" s="27"/>
    </row>
    <row r="951" spans="24:25" hidden="1" x14ac:dyDescent="0.3">
      <c r="X951" s="27"/>
      <c r="Y951" s="27"/>
    </row>
    <row r="952" spans="24:25" hidden="1" x14ac:dyDescent="0.3">
      <c r="X952" s="27"/>
      <c r="Y952" s="27"/>
    </row>
    <row r="953" spans="24:25" hidden="1" x14ac:dyDescent="0.3">
      <c r="X953" s="27"/>
      <c r="Y953" s="27"/>
    </row>
    <row r="954" spans="24:25" hidden="1" x14ac:dyDescent="0.3">
      <c r="X954" s="27"/>
      <c r="Y954" s="27"/>
    </row>
    <row r="955" spans="24:25" hidden="1" x14ac:dyDescent="0.3">
      <c r="X955" s="27"/>
      <c r="Y955" s="27"/>
    </row>
    <row r="956" spans="24:25" hidden="1" x14ac:dyDescent="0.3">
      <c r="X956" s="27"/>
      <c r="Y956" s="27"/>
    </row>
    <row r="957" spans="24:25" hidden="1" x14ac:dyDescent="0.3">
      <c r="X957" s="27"/>
      <c r="Y957" s="27"/>
    </row>
    <row r="958" spans="24:25" hidden="1" x14ac:dyDescent="0.3">
      <c r="X958" s="27"/>
      <c r="Y958" s="27"/>
    </row>
    <row r="959" spans="24:25" hidden="1" x14ac:dyDescent="0.3">
      <c r="X959" s="27"/>
      <c r="Y959" s="27"/>
    </row>
    <row r="960" spans="24:25" hidden="1" x14ac:dyDescent="0.3">
      <c r="X960" s="27"/>
      <c r="Y960" s="27"/>
    </row>
    <row r="961" spans="24:25" hidden="1" x14ac:dyDescent="0.3">
      <c r="X961" s="27"/>
      <c r="Y961" s="27"/>
    </row>
    <row r="962" spans="24:25" hidden="1" x14ac:dyDescent="0.3">
      <c r="X962" s="27"/>
      <c r="Y962" s="27"/>
    </row>
    <row r="963" spans="24:25" hidden="1" x14ac:dyDescent="0.3">
      <c r="X963" s="27"/>
      <c r="Y963" s="27"/>
    </row>
    <row r="964" spans="24:25" hidden="1" x14ac:dyDescent="0.3">
      <c r="X964" s="27"/>
      <c r="Y964" s="27"/>
    </row>
    <row r="965" spans="24:25" hidden="1" x14ac:dyDescent="0.3">
      <c r="X965" s="27"/>
      <c r="Y965" s="27"/>
    </row>
    <row r="966" spans="24:25" hidden="1" x14ac:dyDescent="0.3">
      <c r="X966" s="27"/>
      <c r="Y966" s="27"/>
    </row>
    <row r="967" spans="24:25" hidden="1" x14ac:dyDescent="0.3">
      <c r="X967" s="27"/>
      <c r="Y967" s="27"/>
    </row>
    <row r="968" spans="24:25" hidden="1" x14ac:dyDescent="0.3">
      <c r="X968" s="27"/>
      <c r="Y968" s="27"/>
    </row>
    <row r="969" spans="24:25" hidden="1" x14ac:dyDescent="0.3">
      <c r="X969" s="27"/>
      <c r="Y969" s="27"/>
    </row>
    <row r="970" spans="24:25" hidden="1" x14ac:dyDescent="0.3">
      <c r="X970" s="27"/>
      <c r="Y970" s="27"/>
    </row>
    <row r="971" spans="24:25" hidden="1" x14ac:dyDescent="0.3">
      <c r="X971" s="27"/>
      <c r="Y971" s="27"/>
    </row>
    <row r="972" spans="24:25" hidden="1" x14ac:dyDescent="0.3">
      <c r="X972" s="27"/>
      <c r="Y972" s="27"/>
    </row>
    <row r="973" spans="24:25" hidden="1" x14ac:dyDescent="0.3">
      <c r="X973" s="27"/>
      <c r="Y973" s="27"/>
    </row>
    <row r="974" spans="24:25" hidden="1" x14ac:dyDescent="0.3">
      <c r="X974" s="27"/>
      <c r="Y974" s="27"/>
    </row>
    <row r="975" spans="24:25" hidden="1" x14ac:dyDescent="0.3">
      <c r="X975" s="27"/>
      <c r="Y975" s="27"/>
    </row>
    <row r="976" spans="24:25" hidden="1" x14ac:dyDescent="0.3">
      <c r="X976" s="27"/>
      <c r="Y976" s="27"/>
    </row>
    <row r="977" spans="24:25" hidden="1" x14ac:dyDescent="0.3">
      <c r="X977" s="27"/>
      <c r="Y977" s="27"/>
    </row>
    <row r="978" spans="24:25" hidden="1" x14ac:dyDescent="0.3">
      <c r="X978" s="27"/>
      <c r="Y978" s="27"/>
    </row>
    <row r="979" spans="24:25" hidden="1" x14ac:dyDescent="0.3">
      <c r="X979" s="27"/>
      <c r="Y979" s="27"/>
    </row>
    <row r="980" spans="24:25" hidden="1" x14ac:dyDescent="0.3">
      <c r="X980" s="27"/>
      <c r="Y980" s="27"/>
    </row>
    <row r="981" spans="24:25" hidden="1" x14ac:dyDescent="0.3">
      <c r="X981" s="27"/>
      <c r="Y981" s="27"/>
    </row>
    <row r="982" spans="24:25" hidden="1" x14ac:dyDescent="0.3">
      <c r="X982" s="27"/>
      <c r="Y982" s="27"/>
    </row>
    <row r="983" spans="24:25" hidden="1" x14ac:dyDescent="0.3">
      <c r="X983" s="27"/>
      <c r="Y983" s="27"/>
    </row>
    <row r="984" spans="24:25" hidden="1" x14ac:dyDescent="0.3">
      <c r="X984" s="27"/>
      <c r="Y984" s="27"/>
    </row>
    <row r="985" spans="24:25" hidden="1" x14ac:dyDescent="0.3">
      <c r="X985" s="27"/>
      <c r="Y985" s="27"/>
    </row>
    <row r="986" spans="24:25" hidden="1" x14ac:dyDescent="0.3">
      <c r="X986" s="27"/>
      <c r="Y986" s="27"/>
    </row>
    <row r="987" spans="24:25" hidden="1" x14ac:dyDescent="0.3">
      <c r="X987" s="27"/>
      <c r="Y987" s="27"/>
    </row>
    <row r="988" spans="24:25" hidden="1" x14ac:dyDescent="0.3">
      <c r="X988" s="27"/>
      <c r="Y988" s="27"/>
    </row>
    <row r="989" spans="24:25" hidden="1" x14ac:dyDescent="0.3">
      <c r="X989" s="27"/>
      <c r="Y989" s="27"/>
    </row>
    <row r="990" spans="24:25" hidden="1" x14ac:dyDescent="0.3">
      <c r="X990" s="27"/>
      <c r="Y990" s="27"/>
    </row>
    <row r="991" spans="24:25" hidden="1" x14ac:dyDescent="0.3">
      <c r="X991" s="27"/>
      <c r="Y991" s="27"/>
    </row>
    <row r="992" spans="24:25" hidden="1" x14ac:dyDescent="0.3">
      <c r="X992" s="27"/>
      <c r="Y992" s="27"/>
    </row>
    <row r="993" spans="24:25" hidden="1" x14ac:dyDescent="0.3">
      <c r="X993" s="27"/>
      <c r="Y993" s="27"/>
    </row>
    <row r="994" spans="24:25" hidden="1" x14ac:dyDescent="0.3">
      <c r="X994" s="27"/>
      <c r="Y994" s="27"/>
    </row>
    <row r="995" spans="24:25" hidden="1" x14ac:dyDescent="0.3">
      <c r="X995" s="27"/>
      <c r="Y995" s="27"/>
    </row>
    <row r="996" spans="24:25" hidden="1" x14ac:dyDescent="0.3">
      <c r="X996" s="27"/>
      <c r="Y996" s="27"/>
    </row>
    <row r="997" spans="24:25" hidden="1" x14ac:dyDescent="0.3">
      <c r="X997" s="27"/>
      <c r="Y997" s="27"/>
    </row>
    <row r="998" spans="24:25" hidden="1" x14ac:dyDescent="0.3">
      <c r="X998" s="27"/>
      <c r="Y998" s="27"/>
    </row>
    <row r="999" spans="24:25" hidden="1" x14ac:dyDescent="0.3">
      <c r="X999" s="27"/>
      <c r="Y999" s="27"/>
    </row>
    <row r="1000" spans="24:25" hidden="1" x14ac:dyDescent="0.3">
      <c r="X1000" s="27"/>
      <c r="Y1000" s="27"/>
    </row>
    <row r="1001" spans="24:25" hidden="1" x14ac:dyDescent="0.3">
      <c r="X1001" s="27"/>
      <c r="Y1001" s="27"/>
    </row>
    <row r="1002" spans="24:25" hidden="1" x14ac:dyDescent="0.3">
      <c r="X1002" s="27"/>
      <c r="Y1002" s="27"/>
    </row>
    <row r="1003" spans="24:25" hidden="1" x14ac:dyDescent="0.3">
      <c r="X1003" s="27"/>
      <c r="Y1003" s="27"/>
    </row>
    <row r="1004" spans="24:25" hidden="1" x14ac:dyDescent="0.3">
      <c r="X1004" s="27"/>
      <c r="Y1004" s="27"/>
    </row>
    <row r="1005" spans="24:25" hidden="1" x14ac:dyDescent="0.3">
      <c r="X1005" s="27"/>
      <c r="Y1005" s="27"/>
    </row>
    <row r="1006" spans="24:25" hidden="1" x14ac:dyDescent="0.3">
      <c r="X1006" s="27"/>
      <c r="Y1006" s="27"/>
    </row>
    <row r="1007" spans="24:25" hidden="1" x14ac:dyDescent="0.3">
      <c r="X1007" s="27"/>
      <c r="Y1007" s="27"/>
    </row>
    <row r="1008" spans="24:25" hidden="1" x14ac:dyDescent="0.3">
      <c r="X1008" s="27"/>
      <c r="Y1008" s="27"/>
    </row>
    <row r="1009" spans="24:25" hidden="1" x14ac:dyDescent="0.3">
      <c r="X1009" s="27"/>
      <c r="Y1009" s="27"/>
    </row>
    <row r="1010" spans="24:25" hidden="1" x14ac:dyDescent="0.3">
      <c r="X1010" s="27"/>
      <c r="Y1010" s="27"/>
    </row>
    <row r="1011" spans="24:25" hidden="1" x14ac:dyDescent="0.3">
      <c r="X1011" s="27"/>
      <c r="Y1011" s="27"/>
    </row>
    <row r="1012" spans="24:25" hidden="1" x14ac:dyDescent="0.3">
      <c r="X1012" s="27"/>
      <c r="Y1012" s="27"/>
    </row>
    <row r="1013" spans="24:25" hidden="1" x14ac:dyDescent="0.3">
      <c r="X1013" s="27"/>
      <c r="Y1013" s="27"/>
    </row>
    <row r="1014" spans="24:25" hidden="1" x14ac:dyDescent="0.3">
      <c r="X1014" s="27"/>
      <c r="Y1014" s="27"/>
    </row>
    <row r="1015" spans="24:25" hidden="1" x14ac:dyDescent="0.3">
      <c r="X1015" s="27"/>
      <c r="Y1015" s="27"/>
    </row>
    <row r="1016" spans="24:25" hidden="1" x14ac:dyDescent="0.3">
      <c r="X1016" s="27"/>
      <c r="Y1016" s="27"/>
    </row>
    <row r="1017" spans="24:25" hidden="1" x14ac:dyDescent="0.3">
      <c r="X1017" s="27"/>
      <c r="Y1017" s="27"/>
    </row>
    <row r="1018" spans="24:25" hidden="1" x14ac:dyDescent="0.3">
      <c r="X1018" s="27"/>
      <c r="Y1018" s="27"/>
    </row>
    <row r="1019" spans="24:25" hidden="1" x14ac:dyDescent="0.3">
      <c r="X1019" s="27"/>
      <c r="Y1019" s="27"/>
    </row>
    <row r="1020" spans="24:25" hidden="1" x14ac:dyDescent="0.3">
      <c r="X1020" s="27"/>
      <c r="Y1020" s="27"/>
    </row>
    <row r="1021" spans="24:25" hidden="1" x14ac:dyDescent="0.3">
      <c r="X1021" s="27"/>
      <c r="Y1021" s="27"/>
    </row>
    <row r="1022" spans="24:25" hidden="1" x14ac:dyDescent="0.3">
      <c r="X1022" s="27"/>
      <c r="Y1022" s="27"/>
    </row>
    <row r="1023" spans="24:25" hidden="1" x14ac:dyDescent="0.3">
      <c r="X1023" s="27"/>
      <c r="Y1023" s="27"/>
    </row>
    <row r="1024" spans="24:25" hidden="1" x14ac:dyDescent="0.3">
      <c r="X1024" s="27"/>
      <c r="Y1024" s="27"/>
    </row>
    <row r="1025" spans="24:25" hidden="1" x14ac:dyDescent="0.3">
      <c r="X1025" s="27"/>
      <c r="Y1025" s="27"/>
    </row>
    <row r="1026" spans="24:25" hidden="1" x14ac:dyDescent="0.3">
      <c r="X1026" s="27"/>
      <c r="Y1026" s="27"/>
    </row>
    <row r="1027" spans="24:25" hidden="1" x14ac:dyDescent="0.3">
      <c r="X1027" s="27"/>
      <c r="Y1027" s="27"/>
    </row>
    <row r="1028" spans="24:25" hidden="1" x14ac:dyDescent="0.3">
      <c r="X1028" s="27"/>
      <c r="Y1028" s="27"/>
    </row>
    <row r="1029" spans="24:25" hidden="1" x14ac:dyDescent="0.3">
      <c r="X1029" s="27"/>
      <c r="Y1029" s="27"/>
    </row>
    <row r="1030" spans="24:25" hidden="1" x14ac:dyDescent="0.3">
      <c r="X1030" s="27"/>
      <c r="Y1030" s="27"/>
    </row>
    <row r="1031" spans="24:25" hidden="1" x14ac:dyDescent="0.3">
      <c r="X1031" s="27"/>
      <c r="Y1031" s="27"/>
    </row>
    <row r="1032" spans="24:25" hidden="1" x14ac:dyDescent="0.3">
      <c r="X1032" s="27"/>
      <c r="Y1032" s="27"/>
    </row>
    <row r="1033" spans="24:25" hidden="1" x14ac:dyDescent="0.3">
      <c r="X1033" s="27"/>
      <c r="Y1033" s="27"/>
    </row>
    <row r="1034" spans="24:25" hidden="1" x14ac:dyDescent="0.3">
      <c r="X1034" s="27"/>
      <c r="Y1034" s="27"/>
    </row>
    <row r="1035" spans="24:25" hidden="1" x14ac:dyDescent="0.3">
      <c r="X1035" s="27"/>
      <c r="Y1035" s="27"/>
    </row>
    <row r="1036" spans="24:25" hidden="1" x14ac:dyDescent="0.3">
      <c r="X1036" s="27"/>
      <c r="Y1036" s="27"/>
    </row>
    <row r="1037" spans="24:25" hidden="1" x14ac:dyDescent="0.3">
      <c r="X1037" s="27"/>
      <c r="Y1037" s="27"/>
    </row>
    <row r="1038" spans="24:25" hidden="1" x14ac:dyDescent="0.3">
      <c r="X1038" s="27"/>
      <c r="Y1038" s="27"/>
    </row>
    <row r="1039" spans="24:25" hidden="1" x14ac:dyDescent="0.3">
      <c r="X1039" s="27"/>
      <c r="Y1039" s="27"/>
    </row>
    <row r="1040" spans="24:25" hidden="1" x14ac:dyDescent="0.3">
      <c r="X1040" s="27"/>
      <c r="Y1040" s="27"/>
    </row>
    <row r="1041" spans="24:25" hidden="1" x14ac:dyDescent="0.3">
      <c r="X1041" s="27"/>
      <c r="Y1041" s="27"/>
    </row>
    <row r="1042" spans="24:25" hidden="1" x14ac:dyDescent="0.3">
      <c r="X1042" s="27"/>
      <c r="Y1042" s="27"/>
    </row>
    <row r="1043" spans="24:25" hidden="1" x14ac:dyDescent="0.3">
      <c r="X1043" s="27"/>
      <c r="Y1043" s="27"/>
    </row>
    <row r="1044" spans="24:25" hidden="1" x14ac:dyDescent="0.3">
      <c r="X1044" s="27"/>
      <c r="Y1044" s="27"/>
    </row>
    <row r="1045" spans="24:25" hidden="1" x14ac:dyDescent="0.3">
      <c r="X1045" s="27"/>
      <c r="Y1045" s="27"/>
    </row>
    <row r="1046" spans="24:25" hidden="1" x14ac:dyDescent="0.3">
      <c r="X1046" s="27"/>
      <c r="Y1046" s="27"/>
    </row>
    <row r="1047" spans="24:25" hidden="1" x14ac:dyDescent="0.3">
      <c r="X1047" s="27"/>
      <c r="Y1047" s="27"/>
    </row>
    <row r="1048" spans="24:25" hidden="1" x14ac:dyDescent="0.3">
      <c r="X1048" s="27"/>
      <c r="Y1048" s="27"/>
    </row>
    <row r="1049" spans="24:25" hidden="1" x14ac:dyDescent="0.3">
      <c r="X1049" s="27"/>
      <c r="Y1049" s="27"/>
    </row>
    <row r="1050" spans="24:25" hidden="1" x14ac:dyDescent="0.3">
      <c r="X1050" s="27"/>
      <c r="Y1050" s="27"/>
    </row>
    <row r="1051" spans="24:25" hidden="1" x14ac:dyDescent="0.3">
      <c r="X1051" s="27"/>
      <c r="Y1051" s="27"/>
    </row>
    <row r="1052" spans="24:25" hidden="1" x14ac:dyDescent="0.3">
      <c r="X1052" s="27"/>
      <c r="Y1052" s="27"/>
    </row>
    <row r="1053" spans="24:25" hidden="1" x14ac:dyDescent="0.3">
      <c r="X1053" s="27"/>
      <c r="Y1053" s="27"/>
    </row>
    <row r="1054" spans="24:25" hidden="1" x14ac:dyDescent="0.3">
      <c r="X1054" s="27"/>
      <c r="Y1054" s="27"/>
    </row>
    <row r="1055" spans="24:25" hidden="1" x14ac:dyDescent="0.3">
      <c r="X1055" s="27"/>
      <c r="Y1055" s="27"/>
    </row>
    <row r="1056" spans="24:25" hidden="1" x14ac:dyDescent="0.3">
      <c r="X1056" s="27"/>
      <c r="Y1056" s="27"/>
    </row>
    <row r="1057" spans="24:25" hidden="1" x14ac:dyDescent="0.3">
      <c r="X1057" s="27"/>
      <c r="Y1057" s="27"/>
    </row>
    <row r="1058" spans="24:25" hidden="1" x14ac:dyDescent="0.3">
      <c r="X1058" s="27"/>
      <c r="Y1058" s="27"/>
    </row>
    <row r="1059" spans="24:25" hidden="1" x14ac:dyDescent="0.3">
      <c r="X1059" s="27"/>
      <c r="Y1059" s="27"/>
    </row>
    <row r="1060" spans="24:25" hidden="1" x14ac:dyDescent="0.3">
      <c r="X1060" s="27"/>
      <c r="Y1060" s="27"/>
    </row>
    <row r="1061" spans="24:25" hidden="1" x14ac:dyDescent="0.3">
      <c r="X1061" s="27"/>
      <c r="Y1061" s="27"/>
    </row>
    <row r="1062" spans="24:25" hidden="1" x14ac:dyDescent="0.3">
      <c r="X1062" s="27"/>
      <c r="Y1062" s="27"/>
    </row>
    <row r="1063" spans="24:25" hidden="1" x14ac:dyDescent="0.3">
      <c r="X1063" s="27"/>
      <c r="Y1063" s="27"/>
    </row>
    <row r="1064" spans="24:25" hidden="1" x14ac:dyDescent="0.3">
      <c r="X1064" s="27"/>
      <c r="Y1064" s="27"/>
    </row>
    <row r="1065" spans="24:25" hidden="1" x14ac:dyDescent="0.3">
      <c r="X1065" s="27"/>
      <c r="Y1065" s="27"/>
    </row>
    <row r="1066" spans="24:25" hidden="1" x14ac:dyDescent="0.3">
      <c r="X1066" s="27"/>
      <c r="Y1066" s="27"/>
    </row>
    <row r="1067" spans="24:25" hidden="1" x14ac:dyDescent="0.3">
      <c r="X1067" s="27"/>
      <c r="Y1067" s="27"/>
    </row>
    <row r="1068" spans="24:25" hidden="1" x14ac:dyDescent="0.3">
      <c r="X1068" s="27"/>
      <c r="Y1068" s="27"/>
    </row>
    <row r="1069" spans="24:25" hidden="1" x14ac:dyDescent="0.3">
      <c r="X1069" s="27"/>
      <c r="Y1069" s="27"/>
    </row>
    <row r="1070" spans="24:25" hidden="1" x14ac:dyDescent="0.3">
      <c r="X1070" s="27"/>
      <c r="Y1070" s="27"/>
    </row>
    <row r="1071" spans="24:25" hidden="1" x14ac:dyDescent="0.3">
      <c r="X1071" s="27"/>
      <c r="Y1071" s="27"/>
    </row>
    <row r="1072" spans="24:25" hidden="1" x14ac:dyDescent="0.3">
      <c r="X1072" s="27"/>
      <c r="Y1072" s="27"/>
    </row>
    <row r="1073" spans="24:25" hidden="1" x14ac:dyDescent="0.3">
      <c r="X1073" s="27"/>
      <c r="Y1073" s="27"/>
    </row>
    <row r="1074" spans="24:25" hidden="1" x14ac:dyDescent="0.3">
      <c r="X1074" s="27"/>
      <c r="Y1074" s="27"/>
    </row>
    <row r="1075" spans="24:25" hidden="1" x14ac:dyDescent="0.3">
      <c r="X1075" s="27"/>
      <c r="Y1075" s="27"/>
    </row>
    <row r="1076" spans="24:25" hidden="1" x14ac:dyDescent="0.3">
      <c r="X1076" s="27"/>
      <c r="Y1076" s="27"/>
    </row>
    <row r="1077" spans="24:25" hidden="1" x14ac:dyDescent="0.3">
      <c r="X1077" s="27"/>
      <c r="Y1077" s="27"/>
    </row>
    <row r="1078" spans="24:25" hidden="1" x14ac:dyDescent="0.3">
      <c r="X1078" s="27"/>
      <c r="Y1078" s="27"/>
    </row>
    <row r="1079" spans="24:25" hidden="1" x14ac:dyDescent="0.3">
      <c r="X1079" s="27"/>
      <c r="Y1079" s="27"/>
    </row>
    <row r="1080" spans="24:25" hidden="1" x14ac:dyDescent="0.3">
      <c r="X1080" s="27"/>
      <c r="Y1080" s="27"/>
    </row>
    <row r="1081" spans="24:25" hidden="1" x14ac:dyDescent="0.3">
      <c r="X1081" s="27"/>
      <c r="Y1081" s="27"/>
    </row>
    <row r="1082" spans="24:25" hidden="1" x14ac:dyDescent="0.3">
      <c r="X1082" s="27"/>
      <c r="Y1082" s="27"/>
    </row>
    <row r="1083" spans="24:25" hidden="1" x14ac:dyDescent="0.3">
      <c r="X1083" s="27"/>
      <c r="Y1083" s="27"/>
    </row>
    <row r="1084" spans="24:25" hidden="1" x14ac:dyDescent="0.3">
      <c r="X1084" s="27"/>
      <c r="Y1084" s="27"/>
    </row>
    <row r="1085" spans="24:25" hidden="1" x14ac:dyDescent="0.3">
      <c r="X1085" s="27"/>
      <c r="Y1085" s="27"/>
    </row>
    <row r="1086" spans="24:25" hidden="1" x14ac:dyDescent="0.3">
      <c r="X1086" s="27"/>
      <c r="Y1086" s="27"/>
    </row>
    <row r="1087" spans="24:25" hidden="1" x14ac:dyDescent="0.3">
      <c r="X1087" s="27"/>
      <c r="Y1087" s="27"/>
    </row>
    <row r="1088" spans="24:25" hidden="1" x14ac:dyDescent="0.3">
      <c r="X1088" s="27"/>
      <c r="Y1088" s="27"/>
    </row>
    <row r="1089" spans="24:25" hidden="1" x14ac:dyDescent="0.3">
      <c r="X1089" s="27"/>
      <c r="Y1089" s="27"/>
    </row>
    <row r="1090" spans="24:25" hidden="1" x14ac:dyDescent="0.3">
      <c r="X1090" s="27"/>
      <c r="Y1090" s="27"/>
    </row>
    <row r="1091" spans="24:25" hidden="1" x14ac:dyDescent="0.3">
      <c r="X1091" s="27"/>
      <c r="Y1091" s="27"/>
    </row>
    <row r="1092" spans="24:25" hidden="1" x14ac:dyDescent="0.3">
      <c r="X1092" s="27"/>
      <c r="Y1092" s="27"/>
    </row>
    <row r="1093" spans="24:25" hidden="1" x14ac:dyDescent="0.3">
      <c r="X1093" s="27"/>
      <c r="Y1093" s="27"/>
    </row>
    <row r="1094" spans="24:25" hidden="1" x14ac:dyDescent="0.3">
      <c r="X1094" s="27"/>
      <c r="Y1094" s="27"/>
    </row>
    <row r="1095" spans="24:25" hidden="1" x14ac:dyDescent="0.3">
      <c r="X1095" s="27"/>
      <c r="Y1095" s="27"/>
    </row>
    <row r="1096" spans="24:25" hidden="1" x14ac:dyDescent="0.3">
      <c r="X1096" s="27"/>
      <c r="Y1096" s="27"/>
    </row>
    <row r="1097" spans="24:25" hidden="1" x14ac:dyDescent="0.3">
      <c r="X1097" s="27"/>
      <c r="Y1097" s="27"/>
    </row>
    <row r="1098" spans="24:25" hidden="1" x14ac:dyDescent="0.3">
      <c r="X1098" s="27"/>
      <c r="Y1098" s="27"/>
    </row>
    <row r="1099" spans="24:25" hidden="1" x14ac:dyDescent="0.3">
      <c r="X1099" s="27"/>
      <c r="Y1099" s="27"/>
    </row>
    <row r="1100" spans="24:25" hidden="1" x14ac:dyDescent="0.3">
      <c r="X1100" s="27"/>
      <c r="Y1100" s="27"/>
    </row>
    <row r="1101" spans="24:25" hidden="1" x14ac:dyDescent="0.3">
      <c r="X1101" s="27"/>
      <c r="Y1101" s="27"/>
    </row>
    <row r="1102" spans="24:25" hidden="1" x14ac:dyDescent="0.3">
      <c r="X1102" s="27"/>
      <c r="Y1102" s="27"/>
    </row>
    <row r="1103" spans="24:25" hidden="1" x14ac:dyDescent="0.3">
      <c r="X1103" s="27"/>
      <c r="Y1103" s="27"/>
    </row>
    <row r="1104" spans="24:25" hidden="1" x14ac:dyDescent="0.3">
      <c r="X1104" s="27"/>
      <c r="Y1104" s="27"/>
    </row>
    <row r="1105" spans="24:25" hidden="1" x14ac:dyDescent="0.3">
      <c r="X1105" s="27"/>
      <c r="Y1105" s="27"/>
    </row>
    <row r="1106" spans="24:25" hidden="1" x14ac:dyDescent="0.3">
      <c r="X1106" s="27"/>
      <c r="Y1106" s="27"/>
    </row>
    <row r="1107" spans="24:25" hidden="1" x14ac:dyDescent="0.3">
      <c r="X1107" s="27"/>
      <c r="Y1107" s="27"/>
    </row>
    <row r="1108" spans="24:25" hidden="1" x14ac:dyDescent="0.3">
      <c r="X1108" s="27"/>
      <c r="Y1108" s="27"/>
    </row>
    <row r="1109" spans="24:25" hidden="1" x14ac:dyDescent="0.3">
      <c r="X1109" s="27"/>
      <c r="Y1109" s="27"/>
    </row>
    <row r="1110" spans="24:25" hidden="1" x14ac:dyDescent="0.3">
      <c r="X1110" s="27"/>
      <c r="Y1110" s="27"/>
    </row>
    <row r="1111" spans="24:25" hidden="1" x14ac:dyDescent="0.3">
      <c r="X1111" s="27"/>
      <c r="Y1111" s="27"/>
    </row>
    <row r="1112" spans="24:25" hidden="1" x14ac:dyDescent="0.3">
      <c r="X1112" s="27"/>
      <c r="Y1112" s="27"/>
    </row>
    <row r="1113" spans="24:25" hidden="1" x14ac:dyDescent="0.3">
      <c r="X1113" s="27"/>
      <c r="Y1113" s="27"/>
    </row>
    <row r="1114" spans="24:25" hidden="1" x14ac:dyDescent="0.3">
      <c r="X1114" s="27"/>
      <c r="Y1114" s="27"/>
    </row>
    <row r="1115" spans="24:25" hidden="1" x14ac:dyDescent="0.3">
      <c r="X1115" s="27"/>
      <c r="Y1115" s="27"/>
    </row>
    <row r="1116" spans="24:25" hidden="1" x14ac:dyDescent="0.3">
      <c r="X1116" s="27"/>
      <c r="Y1116" s="27"/>
    </row>
    <row r="1117" spans="24:25" hidden="1" x14ac:dyDescent="0.3">
      <c r="X1117" s="27"/>
      <c r="Y1117" s="27"/>
    </row>
    <row r="1118" spans="24:25" hidden="1" x14ac:dyDescent="0.3">
      <c r="X1118" s="27"/>
      <c r="Y1118" s="27"/>
    </row>
    <row r="1119" spans="24:25" hidden="1" x14ac:dyDescent="0.3">
      <c r="X1119" s="27"/>
      <c r="Y1119" s="27"/>
    </row>
    <row r="1120" spans="24:25" hidden="1" x14ac:dyDescent="0.3">
      <c r="X1120" s="27"/>
      <c r="Y1120" s="27"/>
    </row>
    <row r="1121" spans="24:25" hidden="1" x14ac:dyDescent="0.3">
      <c r="X1121" s="27"/>
      <c r="Y1121" s="27"/>
    </row>
    <row r="1122" spans="24:25" hidden="1" x14ac:dyDescent="0.3">
      <c r="X1122" s="27"/>
      <c r="Y1122" s="27"/>
    </row>
    <row r="1123" spans="24:25" hidden="1" x14ac:dyDescent="0.3">
      <c r="X1123" s="27"/>
      <c r="Y1123" s="27"/>
    </row>
    <row r="1124" spans="24:25" hidden="1" x14ac:dyDescent="0.3">
      <c r="X1124" s="27"/>
      <c r="Y1124" s="27"/>
    </row>
    <row r="1125" spans="24:25" hidden="1" x14ac:dyDescent="0.3">
      <c r="X1125" s="27"/>
      <c r="Y1125" s="27"/>
    </row>
    <row r="1126" spans="24:25" hidden="1" x14ac:dyDescent="0.3">
      <c r="X1126" s="27"/>
      <c r="Y1126" s="27"/>
    </row>
    <row r="1127" spans="24:25" hidden="1" x14ac:dyDescent="0.3">
      <c r="X1127" s="27"/>
      <c r="Y1127" s="27"/>
    </row>
    <row r="1128" spans="24:25" hidden="1" x14ac:dyDescent="0.3">
      <c r="X1128" s="27"/>
      <c r="Y1128" s="27"/>
    </row>
    <row r="1129" spans="24:25" hidden="1" x14ac:dyDescent="0.3">
      <c r="X1129" s="27"/>
      <c r="Y1129" s="27"/>
    </row>
    <row r="1130" spans="24:25" hidden="1" x14ac:dyDescent="0.3">
      <c r="X1130" s="27"/>
      <c r="Y1130" s="27"/>
    </row>
    <row r="1131" spans="24:25" hidden="1" x14ac:dyDescent="0.3">
      <c r="X1131" s="27"/>
      <c r="Y1131" s="27"/>
    </row>
    <row r="1132" spans="24:25" hidden="1" x14ac:dyDescent="0.3">
      <c r="X1132" s="27"/>
      <c r="Y1132" s="27"/>
    </row>
    <row r="1133" spans="24:25" hidden="1" x14ac:dyDescent="0.3">
      <c r="X1133" s="27"/>
      <c r="Y1133" s="27"/>
    </row>
    <row r="1134" spans="24:25" hidden="1" x14ac:dyDescent="0.3">
      <c r="X1134" s="27"/>
      <c r="Y1134" s="27"/>
    </row>
    <row r="1135" spans="24:25" hidden="1" x14ac:dyDescent="0.3">
      <c r="X1135" s="27"/>
      <c r="Y1135" s="27"/>
    </row>
    <row r="1136" spans="24:25" hidden="1" x14ac:dyDescent="0.3">
      <c r="X1136" s="27"/>
      <c r="Y1136" s="27"/>
    </row>
    <row r="1137" spans="24:25" hidden="1" x14ac:dyDescent="0.3">
      <c r="X1137" s="27"/>
      <c r="Y1137" s="27"/>
    </row>
    <row r="1138" spans="24:25" hidden="1" x14ac:dyDescent="0.3">
      <c r="X1138" s="27"/>
      <c r="Y1138" s="27"/>
    </row>
    <row r="1139" spans="24:25" hidden="1" x14ac:dyDescent="0.3">
      <c r="X1139" s="27"/>
      <c r="Y1139" s="27"/>
    </row>
    <row r="1140" spans="24:25" hidden="1" x14ac:dyDescent="0.3">
      <c r="X1140" s="27"/>
      <c r="Y1140" s="27"/>
    </row>
    <row r="1141" spans="24:25" hidden="1" x14ac:dyDescent="0.3">
      <c r="X1141" s="27"/>
      <c r="Y1141" s="27"/>
    </row>
    <row r="1142" spans="24:25" hidden="1" x14ac:dyDescent="0.3">
      <c r="X1142" s="27"/>
      <c r="Y1142" s="27"/>
    </row>
    <row r="1143" spans="24:25" hidden="1" x14ac:dyDescent="0.3">
      <c r="X1143" s="27"/>
      <c r="Y1143" s="27"/>
    </row>
    <row r="1144" spans="24:25" hidden="1" x14ac:dyDescent="0.3">
      <c r="X1144" s="27"/>
      <c r="Y1144" s="27"/>
    </row>
    <row r="1145" spans="24:25" hidden="1" x14ac:dyDescent="0.3">
      <c r="X1145" s="27"/>
      <c r="Y1145" s="27"/>
    </row>
    <row r="1146" spans="24:25" hidden="1" x14ac:dyDescent="0.3">
      <c r="X1146" s="27"/>
      <c r="Y1146" s="27"/>
    </row>
    <row r="1147" spans="24:25" hidden="1" x14ac:dyDescent="0.3">
      <c r="X1147" s="27"/>
      <c r="Y1147" s="27"/>
    </row>
    <row r="1148" spans="24:25" hidden="1" x14ac:dyDescent="0.3">
      <c r="X1148" s="27"/>
      <c r="Y1148" s="27"/>
    </row>
    <row r="1149" spans="24:25" hidden="1" x14ac:dyDescent="0.3">
      <c r="X1149" s="27"/>
      <c r="Y1149" s="27"/>
    </row>
    <row r="1150" spans="24:25" hidden="1" x14ac:dyDescent="0.3">
      <c r="X1150" s="27"/>
      <c r="Y1150" s="27"/>
    </row>
    <row r="1151" spans="24:25" hidden="1" x14ac:dyDescent="0.3">
      <c r="X1151" s="27"/>
      <c r="Y1151" s="27"/>
    </row>
    <row r="1152" spans="24:25" hidden="1" x14ac:dyDescent="0.3">
      <c r="X1152" s="27"/>
      <c r="Y1152" s="27"/>
    </row>
    <row r="1153" spans="24:25" hidden="1" x14ac:dyDescent="0.3">
      <c r="X1153" s="27"/>
      <c r="Y1153" s="27"/>
    </row>
    <row r="1154" spans="24:25" hidden="1" x14ac:dyDescent="0.3">
      <c r="X1154" s="27"/>
      <c r="Y1154" s="27"/>
    </row>
    <row r="1155" spans="24:25" hidden="1" x14ac:dyDescent="0.3">
      <c r="X1155" s="27"/>
      <c r="Y1155" s="27"/>
    </row>
    <row r="1156" spans="24:25" hidden="1" x14ac:dyDescent="0.3">
      <c r="X1156" s="27"/>
      <c r="Y1156" s="27"/>
    </row>
    <row r="1157" spans="24:25" hidden="1" x14ac:dyDescent="0.3">
      <c r="X1157" s="27"/>
      <c r="Y1157" s="27"/>
    </row>
    <row r="1158" spans="24:25" hidden="1" x14ac:dyDescent="0.3">
      <c r="X1158" s="27"/>
      <c r="Y1158" s="27"/>
    </row>
    <row r="1159" spans="24:25" hidden="1" x14ac:dyDescent="0.3">
      <c r="X1159" s="27"/>
      <c r="Y1159" s="27"/>
    </row>
    <row r="1160" spans="24:25" hidden="1" x14ac:dyDescent="0.3">
      <c r="X1160" s="27"/>
      <c r="Y1160" s="27"/>
    </row>
    <row r="1161" spans="24:25" hidden="1" x14ac:dyDescent="0.3">
      <c r="X1161" s="27"/>
      <c r="Y1161" s="27"/>
    </row>
    <row r="1162" spans="24:25" hidden="1" x14ac:dyDescent="0.3">
      <c r="X1162" s="27"/>
      <c r="Y1162" s="27"/>
    </row>
    <row r="1163" spans="24:25" hidden="1" x14ac:dyDescent="0.3">
      <c r="X1163" s="27"/>
      <c r="Y1163" s="27"/>
    </row>
    <row r="1164" spans="24:25" hidden="1" x14ac:dyDescent="0.3">
      <c r="X1164" s="27"/>
      <c r="Y1164" s="27"/>
    </row>
    <row r="1165" spans="24:25" hidden="1" x14ac:dyDescent="0.3">
      <c r="X1165" s="27"/>
      <c r="Y1165" s="27"/>
    </row>
    <row r="1166" spans="24:25" hidden="1" x14ac:dyDescent="0.3">
      <c r="X1166" s="27"/>
      <c r="Y1166" s="27"/>
    </row>
    <row r="1167" spans="24:25" hidden="1" x14ac:dyDescent="0.3">
      <c r="X1167" s="27"/>
      <c r="Y1167" s="27"/>
    </row>
    <row r="1168" spans="24:25" hidden="1" x14ac:dyDescent="0.3">
      <c r="X1168" s="27"/>
      <c r="Y1168" s="27"/>
    </row>
    <row r="1169" spans="24:25" hidden="1" x14ac:dyDescent="0.3">
      <c r="X1169" s="27"/>
      <c r="Y1169" s="27"/>
    </row>
    <row r="1170" spans="24:25" hidden="1" x14ac:dyDescent="0.3">
      <c r="X1170" s="27"/>
      <c r="Y1170" s="27"/>
    </row>
    <row r="1171" spans="24:25" hidden="1" x14ac:dyDescent="0.3">
      <c r="X1171" s="27"/>
      <c r="Y1171" s="27"/>
    </row>
    <row r="1172" spans="24:25" hidden="1" x14ac:dyDescent="0.3">
      <c r="X1172" s="27"/>
      <c r="Y1172" s="27"/>
    </row>
    <row r="1173" spans="24:25" hidden="1" x14ac:dyDescent="0.3">
      <c r="X1173" s="27"/>
      <c r="Y1173" s="27"/>
    </row>
    <row r="1174" spans="24:25" hidden="1" x14ac:dyDescent="0.3">
      <c r="X1174" s="27"/>
      <c r="Y1174" s="27"/>
    </row>
    <row r="1175" spans="24:25" hidden="1" x14ac:dyDescent="0.3">
      <c r="X1175" s="27"/>
      <c r="Y1175" s="27"/>
    </row>
    <row r="1176" spans="24:25" hidden="1" x14ac:dyDescent="0.3">
      <c r="X1176" s="27"/>
      <c r="Y1176" s="27"/>
    </row>
    <row r="1177" spans="24:25" hidden="1" x14ac:dyDescent="0.3">
      <c r="X1177" s="27"/>
      <c r="Y1177" s="27"/>
    </row>
    <row r="1178" spans="24:25" hidden="1" x14ac:dyDescent="0.3">
      <c r="X1178" s="27"/>
      <c r="Y1178" s="27"/>
    </row>
    <row r="1179" spans="24:25" hidden="1" x14ac:dyDescent="0.3">
      <c r="X1179" s="27"/>
      <c r="Y1179" s="27"/>
    </row>
    <row r="1180" spans="24:25" hidden="1" x14ac:dyDescent="0.3">
      <c r="X1180" s="27"/>
      <c r="Y1180" s="27"/>
    </row>
    <row r="1181" spans="24:25" hidden="1" x14ac:dyDescent="0.3">
      <c r="X1181" s="27"/>
      <c r="Y1181" s="27"/>
    </row>
    <row r="1182" spans="24:25" hidden="1" x14ac:dyDescent="0.3">
      <c r="X1182" s="27"/>
      <c r="Y1182" s="27"/>
    </row>
    <row r="1183" spans="24:25" hidden="1" x14ac:dyDescent="0.3">
      <c r="X1183" s="27"/>
      <c r="Y1183" s="27"/>
    </row>
    <row r="1184" spans="24:25" hidden="1" x14ac:dyDescent="0.3">
      <c r="X1184" s="27"/>
      <c r="Y1184" s="27"/>
    </row>
    <row r="1185" spans="24:25" hidden="1" x14ac:dyDescent="0.3">
      <c r="X1185" s="27"/>
      <c r="Y1185" s="27"/>
    </row>
    <row r="1186" spans="24:25" hidden="1" x14ac:dyDescent="0.3">
      <c r="X1186" s="27"/>
      <c r="Y1186" s="27"/>
    </row>
    <row r="1187" spans="24:25" hidden="1" x14ac:dyDescent="0.3">
      <c r="X1187" s="27"/>
      <c r="Y1187" s="27"/>
    </row>
    <row r="1188" spans="24:25" hidden="1" x14ac:dyDescent="0.3">
      <c r="X1188" s="27"/>
      <c r="Y1188" s="27"/>
    </row>
    <row r="1189" spans="24:25" hidden="1" x14ac:dyDescent="0.3">
      <c r="X1189" s="27"/>
      <c r="Y1189" s="27"/>
    </row>
    <row r="1190" spans="24:25" hidden="1" x14ac:dyDescent="0.3">
      <c r="X1190" s="27"/>
      <c r="Y1190" s="27"/>
    </row>
    <row r="1191" spans="24:25" hidden="1" x14ac:dyDescent="0.3">
      <c r="X1191" s="27"/>
      <c r="Y1191" s="27"/>
    </row>
    <row r="1192" spans="24:25" hidden="1" x14ac:dyDescent="0.3">
      <c r="X1192" s="27"/>
      <c r="Y1192" s="27"/>
    </row>
    <row r="1193" spans="24:25" hidden="1" x14ac:dyDescent="0.3">
      <c r="X1193" s="27"/>
      <c r="Y1193" s="27"/>
    </row>
    <row r="1194" spans="24:25" hidden="1" x14ac:dyDescent="0.3">
      <c r="X1194" s="27"/>
      <c r="Y1194" s="27"/>
    </row>
    <row r="1195" spans="24:25" hidden="1" x14ac:dyDescent="0.3">
      <c r="X1195" s="27"/>
      <c r="Y1195" s="27"/>
    </row>
    <row r="1196" spans="24:25" hidden="1" x14ac:dyDescent="0.3">
      <c r="X1196" s="27"/>
      <c r="Y1196" s="27"/>
    </row>
    <row r="1197" spans="24:25" hidden="1" x14ac:dyDescent="0.3">
      <c r="X1197" s="27"/>
      <c r="Y1197" s="27"/>
    </row>
    <row r="1198" spans="24:25" hidden="1" x14ac:dyDescent="0.3">
      <c r="X1198" s="27"/>
      <c r="Y1198" s="27"/>
    </row>
    <row r="1199" spans="24:25" hidden="1" x14ac:dyDescent="0.3">
      <c r="X1199" s="27"/>
      <c r="Y1199" s="27"/>
    </row>
    <row r="1200" spans="24:25" hidden="1" x14ac:dyDescent="0.3">
      <c r="X1200" s="27"/>
      <c r="Y1200" s="27"/>
    </row>
    <row r="1201" spans="24:25" hidden="1" x14ac:dyDescent="0.3">
      <c r="X1201" s="27"/>
      <c r="Y1201" s="27"/>
    </row>
    <row r="1202" spans="24:25" hidden="1" x14ac:dyDescent="0.3">
      <c r="X1202" s="27"/>
      <c r="Y1202" s="27"/>
    </row>
    <row r="1203" spans="24:25" hidden="1" x14ac:dyDescent="0.3">
      <c r="X1203" s="27"/>
      <c r="Y1203" s="27"/>
    </row>
    <row r="1204" spans="24:25" hidden="1" x14ac:dyDescent="0.3">
      <c r="X1204" s="27"/>
      <c r="Y1204" s="27"/>
    </row>
    <row r="1205" spans="24:25" hidden="1" x14ac:dyDescent="0.3">
      <c r="X1205" s="27"/>
      <c r="Y1205" s="27"/>
    </row>
    <row r="1206" spans="24:25" hidden="1" x14ac:dyDescent="0.3">
      <c r="X1206" s="27"/>
      <c r="Y1206" s="27"/>
    </row>
    <row r="1207" spans="24:25" hidden="1" x14ac:dyDescent="0.3">
      <c r="X1207" s="27"/>
      <c r="Y1207" s="27"/>
    </row>
    <row r="1208" spans="24:25" hidden="1" x14ac:dyDescent="0.3">
      <c r="X1208" s="27"/>
      <c r="Y1208" s="27"/>
    </row>
    <row r="1209" spans="24:25" hidden="1" x14ac:dyDescent="0.3">
      <c r="X1209" s="27"/>
      <c r="Y1209" s="27"/>
    </row>
    <row r="1210" spans="24:25" hidden="1" x14ac:dyDescent="0.3">
      <c r="X1210" s="27"/>
      <c r="Y1210" s="27"/>
    </row>
    <row r="1211" spans="24:25" hidden="1" x14ac:dyDescent="0.3">
      <c r="X1211" s="27"/>
      <c r="Y1211" s="27"/>
    </row>
    <row r="1212" spans="24:25" hidden="1" x14ac:dyDescent="0.3">
      <c r="X1212" s="27"/>
      <c r="Y1212" s="27"/>
    </row>
    <row r="1213" spans="24:25" hidden="1" x14ac:dyDescent="0.3">
      <c r="X1213" s="27"/>
      <c r="Y1213" s="27"/>
    </row>
    <row r="1214" spans="24:25" hidden="1" x14ac:dyDescent="0.3">
      <c r="X1214" s="27"/>
      <c r="Y1214" s="27"/>
    </row>
    <row r="1215" spans="24:25" hidden="1" x14ac:dyDescent="0.3">
      <c r="X1215" s="27"/>
      <c r="Y1215" s="27"/>
    </row>
    <row r="1216" spans="24:25" hidden="1" x14ac:dyDescent="0.3">
      <c r="X1216" s="27"/>
      <c r="Y1216" s="27"/>
    </row>
    <row r="1217" spans="24:25" hidden="1" x14ac:dyDescent="0.3">
      <c r="X1217" s="27"/>
      <c r="Y1217" s="27"/>
    </row>
    <row r="1218" spans="24:25" hidden="1" x14ac:dyDescent="0.3">
      <c r="X1218" s="27"/>
      <c r="Y1218" s="27"/>
    </row>
    <row r="1219" spans="24:25" hidden="1" x14ac:dyDescent="0.3">
      <c r="X1219" s="27"/>
      <c r="Y1219" s="27"/>
    </row>
    <row r="1220" spans="24:25" hidden="1" x14ac:dyDescent="0.3">
      <c r="X1220" s="27"/>
      <c r="Y1220" s="27"/>
    </row>
    <row r="1221" spans="24:25" hidden="1" x14ac:dyDescent="0.3">
      <c r="X1221" s="27"/>
      <c r="Y1221" s="27"/>
    </row>
    <row r="1222" spans="24:25" hidden="1" x14ac:dyDescent="0.3">
      <c r="X1222" s="27"/>
      <c r="Y1222" s="27"/>
    </row>
    <row r="1223" spans="24:25" hidden="1" x14ac:dyDescent="0.3">
      <c r="X1223" s="27"/>
      <c r="Y1223" s="27"/>
    </row>
    <row r="1224" spans="24:25" hidden="1" x14ac:dyDescent="0.3">
      <c r="X1224" s="27"/>
      <c r="Y1224" s="27"/>
    </row>
    <row r="1225" spans="24:25" hidden="1" x14ac:dyDescent="0.3">
      <c r="X1225" s="27"/>
      <c r="Y1225" s="27"/>
    </row>
    <row r="1226" spans="24:25" hidden="1" x14ac:dyDescent="0.3">
      <c r="X1226" s="27"/>
      <c r="Y1226" s="27"/>
    </row>
    <row r="1227" spans="24:25" hidden="1" x14ac:dyDescent="0.3">
      <c r="X1227" s="27"/>
      <c r="Y1227" s="27"/>
    </row>
    <row r="1228" spans="24:25" hidden="1" x14ac:dyDescent="0.3">
      <c r="X1228" s="27"/>
      <c r="Y1228" s="27"/>
    </row>
    <row r="1229" spans="24:25" hidden="1" x14ac:dyDescent="0.3">
      <c r="X1229" s="27"/>
      <c r="Y1229" s="27"/>
    </row>
    <row r="1230" spans="24:25" hidden="1" x14ac:dyDescent="0.3">
      <c r="X1230" s="27"/>
      <c r="Y1230" s="27"/>
    </row>
    <row r="1231" spans="24:25" hidden="1" x14ac:dyDescent="0.3">
      <c r="X1231" s="27"/>
      <c r="Y1231" s="27"/>
    </row>
    <row r="1232" spans="24:25" hidden="1" x14ac:dyDescent="0.3">
      <c r="X1232" s="27"/>
      <c r="Y1232" s="27"/>
    </row>
    <row r="1233" spans="24:25" hidden="1" x14ac:dyDescent="0.3">
      <c r="X1233" s="27"/>
      <c r="Y1233" s="27"/>
    </row>
    <row r="1234" spans="24:25" hidden="1" x14ac:dyDescent="0.3">
      <c r="X1234" s="27"/>
      <c r="Y1234" s="27"/>
    </row>
    <row r="1235" spans="24:25" hidden="1" x14ac:dyDescent="0.3">
      <c r="X1235" s="27"/>
      <c r="Y1235" s="27"/>
    </row>
    <row r="1236" spans="24:25" hidden="1" x14ac:dyDescent="0.3">
      <c r="X1236" s="27"/>
      <c r="Y1236" s="27"/>
    </row>
    <row r="1237" spans="24:25" hidden="1" x14ac:dyDescent="0.3">
      <c r="X1237" s="27"/>
      <c r="Y1237" s="27"/>
    </row>
    <row r="1238" spans="24:25" hidden="1" x14ac:dyDescent="0.3">
      <c r="X1238" s="27"/>
      <c r="Y1238" s="27"/>
    </row>
    <row r="1239" spans="24:25" hidden="1" x14ac:dyDescent="0.3">
      <c r="X1239" s="27"/>
      <c r="Y1239" s="27"/>
    </row>
    <row r="1240" spans="24:25" hidden="1" x14ac:dyDescent="0.3">
      <c r="X1240" s="27"/>
      <c r="Y1240" s="27"/>
    </row>
    <row r="1241" spans="24:25" hidden="1" x14ac:dyDescent="0.3">
      <c r="X1241" s="27"/>
      <c r="Y1241" s="27"/>
    </row>
    <row r="1242" spans="24:25" hidden="1" x14ac:dyDescent="0.3">
      <c r="X1242" s="27"/>
      <c r="Y1242" s="27"/>
    </row>
    <row r="1243" spans="24:25" hidden="1" x14ac:dyDescent="0.3">
      <c r="X1243" s="27"/>
      <c r="Y1243" s="27"/>
    </row>
    <row r="1244" spans="24:25" hidden="1" x14ac:dyDescent="0.3">
      <c r="X1244" s="27"/>
      <c r="Y1244" s="27"/>
    </row>
    <row r="1245" spans="24:25" hidden="1" x14ac:dyDescent="0.3">
      <c r="X1245" s="27"/>
      <c r="Y1245" s="27"/>
    </row>
    <row r="1246" spans="24:25" hidden="1" x14ac:dyDescent="0.3">
      <c r="X1246" s="27"/>
      <c r="Y1246" s="27"/>
    </row>
    <row r="1247" spans="24:25" hidden="1" x14ac:dyDescent="0.3">
      <c r="X1247" s="27"/>
      <c r="Y1247" s="27"/>
    </row>
    <row r="1248" spans="24:25" hidden="1" x14ac:dyDescent="0.3">
      <c r="X1248" s="27"/>
      <c r="Y1248" s="27"/>
    </row>
    <row r="1249" spans="24:25" hidden="1" x14ac:dyDescent="0.3">
      <c r="X1249" s="27"/>
      <c r="Y1249" s="27"/>
    </row>
    <row r="1250" spans="24:25" hidden="1" x14ac:dyDescent="0.3">
      <c r="X1250" s="27"/>
      <c r="Y1250" s="27"/>
    </row>
    <row r="1251" spans="24:25" hidden="1" x14ac:dyDescent="0.3">
      <c r="X1251" s="27"/>
      <c r="Y1251" s="27"/>
    </row>
    <row r="1252" spans="24:25" hidden="1" x14ac:dyDescent="0.3">
      <c r="X1252" s="27"/>
      <c r="Y1252" s="27"/>
    </row>
    <row r="1253" spans="24:25" hidden="1" x14ac:dyDescent="0.3">
      <c r="X1253" s="27"/>
      <c r="Y1253" s="27"/>
    </row>
    <row r="1254" spans="24:25" hidden="1" x14ac:dyDescent="0.3">
      <c r="X1254" s="27"/>
      <c r="Y1254" s="27"/>
    </row>
    <row r="1255" spans="24:25" hidden="1" x14ac:dyDescent="0.3">
      <c r="X1255" s="27"/>
      <c r="Y1255" s="27"/>
    </row>
    <row r="1256" spans="24:25" hidden="1" x14ac:dyDescent="0.3">
      <c r="X1256" s="27"/>
      <c r="Y1256" s="27"/>
    </row>
    <row r="1257" spans="24:25" hidden="1" x14ac:dyDescent="0.3">
      <c r="X1257" s="27"/>
      <c r="Y1257" s="27"/>
    </row>
    <row r="1258" spans="24:25" hidden="1" x14ac:dyDescent="0.3">
      <c r="X1258" s="27"/>
      <c r="Y1258" s="27"/>
    </row>
    <row r="1259" spans="24:25" hidden="1" x14ac:dyDescent="0.3">
      <c r="X1259" s="27"/>
      <c r="Y1259" s="27"/>
    </row>
    <row r="1260" spans="24:25" hidden="1" x14ac:dyDescent="0.3">
      <c r="X1260" s="27"/>
      <c r="Y1260" s="27"/>
    </row>
    <row r="1261" spans="24:25" hidden="1" x14ac:dyDescent="0.3">
      <c r="X1261" s="27"/>
      <c r="Y1261" s="27"/>
    </row>
    <row r="1262" spans="24:25" hidden="1" x14ac:dyDescent="0.3">
      <c r="X1262" s="27"/>
      <c r="Y1262" s="27"/>
    </row>
    <row r="1263" spans="24:25" hidden="1" x14ac:dyDescent="0.3">
      <c r="X1263" s="27"/>
      <c r="Y1263" s="27"/>
    </row>
    <row r="1264" spans="24:25" hidden="1" x14ac:dyDescent="0.3">
      <c r="X1264" s="27"/>
      <c r="Y1264" s="27"/>
    </row>
    <row r="1265" spans="24:25" hidden="1" x14ac:dyDescent="0.3">
      <c r="X1265" s="27"/>
      <c r="Y1265" s="27"/>
    </row>
    <row r="1266" spans="24:25" hidden="1" x14ac:dyDescent="0.3">
      <c r="X1266" s="27"/>
      <c r="Y1266" s="27"/>
    </row>
    <row r="1267" spans="24:25" hidden="1" x14ac:dyDescent="0.3">
      <c r="X1267" s="27"/>
      <c r="Y1267" s="27"/>
    </row>
    <row r="1268" spans="24:25" hidden="1" x14ac:dyDescent="0.3">
      <c r="X1268" s="27"/>
      <c r="Y1268" s="27"/>
    </row>
    <row r="1269" spans="24:25" hidden="1" x14ac:dyDescent="0.3">
      <c r="X1269" s="27"/>
      <c r="Y1269" s="27"/>
    </row>
    <row r="1270" spans="24:25" hidden="1" x14ac:dyDescent="0.3">
      <c r="X1270" s="27"/>
      <c r="Y1270" s="27"/>
    </row>
    <row r="1271" spans="24:25" hidden="1" x14ac:dyDescent="0.3">
      <c r="X1271" s="27"/>
      <c r="Y1271" s="27"/>
    </row>
    <row r="1272" spans="24:25" hidden="1" x14ac:dyDescent="0.3">
      <c r="X1272" s="27"/>
      <c r="Y1272" s="27"/>
    </row>
    <row r="1273" spans="24:25" hidden="1" x14ac:dyDescent="0.3">
      <c r="X1273" s="27"/>
      <c r="Y1273" s="27"/>
    </row>
    <row r="1274" spans="24:25" hidden="1" x14ac:dyDescent="0.3">
      <c r="X1274" s="27"/>
      <c r="Y1274" s="27"/>
    </row>
    <row r="1275" spans="24:25" hidden="1" x14ac:dyDescent="0.3">
      <c r="X1275" s="27"/>
      <c r="Y1275" s="27"/>
    </row>
    <row r="1276" spans="24:25" hidden="1" x14ac:dyDescent="0.3">
      <c r="X1276" s="27"/>
      <c r="Y1276" s="27"/>
    </row>
    <row r="1277" spans="24:25" hidden="1" x14ac:dyDescent="0.3">
      <c r="X1277" s="27"/>
      <c r="Y1277" s="27"/>
    </row>
    <row r="1278" spans="24:25" hidden="1" x14ac:dyDescent="0.3">
      <c r="X1278" s="27"/>
      <c r="Y1278" s="27"/>
    </row>
    <row r="1279" spans="24:25" hidden="1" x14ac:dyDescent="0.3">
      <c r="X1279" s="27"/>
      <c r="Y1279" s="27"/>
    </row>
    <row r="1280" spans="24:25" hidden="1" x14ac:dyDescent="0.3">
      <c r="X1280" s="27"/>
      <c r="Y1280" s="27"/>
    </row>
    <row r="1281" spans="24:25" hidden="1" x14ac:dyDescent="0.3">
      <c r="X1281" s="27"/>
      <c r="Y1281" s="27"/>
    </row>
    <row r="1282" spans="24:25" hidden="1" x14ac:dyDescent="0.3">
      <c r="X1282" s="27"/>
      <c r="Y1282" s="27"/>
    </row>
    <row r="1283" spans="24:25" hidden="1" x14ac:dyDescent="0.3">
      <c r="X1283" s="27"/>
      <c r="Y1283" s="27"/>
    </row>
    <row r="1284" spans="24:25" hidden="1" x14ac:dyDescent="0.3">
      <c r="X1284" s="27"/>
      <c r="Y1284" s="27"/>
    </row>
    <row r="1285" spans="24:25" hidden="1" x14ac:dyDescent="0.3">
      <c r="X1285" s="27"/>
      <c r="Y1285" s="27"/>
    </row>
    <row r="1286" spans="24:25" hidden="1" x14ac:dyDescent="0.3">
      <c r="X1286" s="27"/>
      <c r="Y1286" s="27"/>
    </row>
    <row r="1287" spans="24:25" hidden="1" x14ac:dyDescent="0.3">
      <c r="X1287" s="27"/>
      <c r="Y1287" s="27"/>
    </row>
    <row r="1288" spans="24:25" hidden="1" x14ac:dyDescent="0.3">
      <c r="X1288" s="27"/>
      <c r="Y1288" s="27"/>
    </row>
    <row r="1289" spans="24:25" hidden="1" x14ac:dyDescent="0.3">
      <c r="X1289" s="27"/>
      <c r="Y1289" s="27"/>
    </row>
    <row r="1290" spans="24:25" hidden="1" x14ac:dyDescent="0.3">
      <c r="X1290" s="27"/>
      <c r="Y1290" s="27"/>
    </row>
    <row r="1291" spans="24:25" hidden="1" x14ac:dyDescent="0.3">
      <c r="X1291" s="27"/>
      <c r="Y1291" s="27"/>
    </row>
    <row r="1292" spans="24:25" hidden="1" x14ac:dyDescent="0.3">
      <c r="X1292" s="27"/>
      <c r="Y1292" s="27"/>
    </row>
    <row r="1293" spans="24:25" hidden="1" x14ac:dyDescent="0.3">
      <c r="X1293" s="27"/>
      <c r="Y1293" s="27"/>
    </row>
    <row r="1294" spans="24:25" hidden="1" x14ac:dyDescent="0.3">
      <c r="X1294" s="27"/>
      <c r="Y1294" s="27"/>
    </row>
    <row r="1295" spans="24:25" hidden="1" x14ac:dyDescent="0.3">
      <c r="X1295" s="27"/>
      <c r="Y1295" s="27"/>
    </row>
    <row r="1296" spans="24:25" hidden="1" x14ac:dyDescent="0.3">
      <c r="X1296" s="27"/>
      <c r="Y1296" s="27"/>
    </row>
    <row r="1297" spans="24:25" hidden="1" x14ac:dyDescent="0.3">
      <c r="X1297" s="27"/>
      <c r="Y1297" s="27"/>
    </row>
    <row r="1298" spans="24:25" hidden="1" x14ac:dyDescent="0.3">
      <c r="X1298" s="27"/>
      <c r="Y1298" s="27"/>
    </row>
    <row r="1299" spans="24:25" hidden="1" x14ac:dyDescent="0.3">
      <c r="X1299" s="27"/>
      <c r="Y1299" s="27"/>
    </row>
    <row r="1300" spans="24:25" hidden="1" x14ac:dyDescent="0.3">
      <c r="X1300" s="27"/>
      <c r="Y1300" s="27"/>
    </row>
    <row r="1301" spans="24:25" hidden="1" x14ac:dyDescent="0.3">
      <c r="X1301" s="27"/>
      <c r="Y1301" s="27"/>
    </row>
    <row r="1302" spans="24:25" hidden="1" x14ac:dyDescent="0.3">
      <c r="X1302" s="27"/>
      <c r="Y1302" s="27"/>
    </row>
    <row r="1303" spans="24:25" hidden="1" x14ac:dyDescent="0.3">
      <c r="X1303" s="27"/>
      <c r="Y1303" s="27"/>
    </row>
    <row r="1304" spans="24:25" hidden="1" x14ac:dyDescent="0.3">
      <c r="X1304" s="27"/>
      <c r="Y1304" s="27"/>
    </row>
    <row r="1305" spans="24:25" hidden="1" x14ac:dyDescent="0.3">
      <c r="X1305" s="27"/>
      <c r="Y1305" s="27"/>
    </row>
    <row r="1306" spans="24:25" hidden="1" x14ac:dyDescent="0.3">
      <c r="X1306" s="27"/>
      <c r="Y1306" s="27"/>
    </row>
    <row r="1307" spans="24:25" hidden="1" x14ac:dyDescent="0.3">
      <c r="X1307" s="27"/>
      <c r="Y1307" s="27"/>
    </row>
    <row r="1308" spans="24:25" hidden="1" x14ac:dyDescent="0.3">
      <c r="X1308" s="27"/>
      <c r="Y1308" s="27"/>
    </row>
    <row r="1309" spans="24:25" hidden="1" x14ac:dyDescent="0.3">
      <c r="X1309" s="27"/>
      <c r="Y1309" s="27"/>
    </row>
    <row r="1310" spans="24:25" hidden="1" x14ac:dyDescent="0.3">
      <c r="X1310" s="27"/>
      <c r="Y1310" s="27"/>
    </row>
    <row r="1311" spans="24:25" hidden="1" x14ac:dyDescent="0.3">
      <c r="X1311" s="27"/>
      <c r="Y1311" s="27"/>
    </row>
    <row r="1312" spans="24:25" hidden="1" x14ac:dyDescent="0.3">
      <c r="X1312" s="27"/>
      <c r="Y1312" s="27"/>
    </row>
    <row r="1313" spans="24:25" hidden="1" x14ac:dyDescent="0.3">
      <c r="X1313" s="27"/>
      <c r="Y1313" s="27"/>
    </row>
    <row r="1314" spans="24:25" hidden="1" x14ac:dyDescent="0.3">
      <c r="X1314" s="27"/>
      <c r="Y1314" s="27"/>
    </row>
    <row r="1315" spans="24:25" hidden="1" x14ac:dyDescent="0.3">
      <c r="X1315" s="27"/>
      <c r="Y1315" s="27"/>
    </row>
    <row r="1316" spans="24:25" hidden="1" x14ac:dyDescent="0.3">
      <c r="X1316" s="27"/>
      <c r="Y1316" s="27"/>
    </row>
    <row r="1317" spans="24:25" hidden="1" x14ac:dyDescent="0.3">
      <c r="X1317" s="27"/>
      <c r="Y1317" s="27"/>
    </row>
    <row r="1318" spans="24:25" hidden="1" x14ac:dyDescent="0.3">
      <c r="X1318" s="27"/>
      <c r="Y1318" s="27"/>
    </row>
    <row r="1319" spans="24:25" hidden="1" x14ac:dyDescent="0.3">
      <c r="X1319" s="27"/>
      <c r="Y1319" s="27"/>
    </row>
    <row r="1320" spans="24:25" hidden="1" x14ac:dyDescent="0.3">
      <c r="X1320" s="27"/>
      <c r="Y1320" s="27"/>
    </row>
    <row r="1321" spans="24:25" hidden="1" x14ac:dyDescent="0.3">
      <c r="X1321" s="27"/>
      <c r="Y1321" s="27"/>
    </row>
    <row r="1322" spans="24:25" hidden="1" x14ac:dyDescent="0.3">
      <c r="X1322" s="27"/>
      <c r="Y1322" s="27"/>
    </row>
    <row r="1323" spans="24:25" hidden="1" x14ac:dyDescent="0.3">
      <c r="X1323" s="27"/>
      <c r="Y1323" s="27"/>
    </row>
    <row r="1324" spans="24:25" hidden="1" x14ac:dyDescent="0.3">
      <c r="X1324" s="27"/>
      <c r="Y1324" s="27"/>
    </row>
    <row r="1325" spans="24:25" hidden="1" x14ac:dyDescent="0.3">
      <c r="X1325" s="27"/>
      <c r="Y1325" s="27"/>
    </row>
    <row r="1326" spans="24:25" hidden="1" x14ac:dyDescent="0.3">
      <c r="X1326" s="27"/>
      <c r="Y1326" s="27"/>
    </row>
    <row r="1327" spans="24:25" hidden="1" x14ac:dyDescent="0.3">
      <c r="X1327" s="27"/>
      <c r="Y1327" s="27"/>
    </row>
    <row r="1328" spans="24:25" hidden="1" x14ac:dyDescent="0.3">
      <c r="X1328" s="27"/>
      <c r="Y1328" s="27"/>
    </row>
    <row r="1329" spans="24:25" hidden="1" x14ac:dyDescent="0.3">
      <c r="X1329" s="27"/>
      <c r="Y1329" s="27"/>
    </row>
    <row r="1330" spans="24:25" hidden="1" x14ac:dyDescent="0.3">
      <c r="X1330" s="27"/>
      <c r="Y1330" s="27"/>
    </row>
    <row r="1331" spans="24:25" hidden="1" x14ac:dyDescent="0.3">
      <c r="X1331" s="27"/>
      <c r="Y1331" s="27"/>
    </row>
    <row r="1332" spans="24:25" hidden="1" x14ac:dyDescent="0.3">
      <c r="X1332" s="27"/>
      <c r="Y1332" s="27"/>
    </row>
    <row r="1333" spans="24:25" hidden="1" x14ac:dyDescent="0.3">
      <c r="X1333" s="27"/>
      <c r="Y1333" s="27"/>
    </row>
    <row r="1334" spans="24:25" hidden="1" x14ac:dyDescent="0.3">
      <c r="X1334" s="27"/>
      <c r="Y1334" s="27"/>
    </row>
    <row r="1335" spans="24:25" hidden="1" x14ac:dyDescent="0.3">
      <c r="X1335" s="27"/>
      <c r="Y1335" s="27"/>
    </row>
    <row r="1336" spans="24:25" hidden="1" x14ac:dyDescent="0.3">
      <c r="X1336" s="27"/>
      <c r="Y1336" s="27"/>
    </row>
    <row r="1337" spans="24:25" hidden="1" x14ac:dyDescent="0.3">
      <c r="X1337" s="27"/>
      <c r="Y1337" s="27"/>
    </row>
    <row r="1338" spans="24:25" hidden="1" x14ac:dyDescent="0.3">
      <c r="X1338" s="27"/>
      <c r="Y1338" s="27"/>
    </row>
    <row r="1339" spans="24:25" hidden="1" x14ac:dyDescent="0.3">
      <c r="X1339" s="27"/>
      <c r="Y1339" s="27"/>
    </row>
    <row r="1340" spans="24:25" hidden="1" x14ac:dyDescent="0.3">
      <c r="X1340" s="27"/>
      <c r="Y1340" s="27"/>
    </row>
    <row r="1341" spans="24:25" hidden="1" x14ac:dyDescent="0.3">
      <c r="X1341" s="27"/>
      <c r="Y1341" s="27"/>
    </row>
    <row r="1342" spans="24:25" hidden="1" x14ac:dyDescent="0.3">
      <c r="X1342" s="27"/>
      <c r="Y1342" s="27"/>
    </row>
    <row r="1343" spans="24:25" hidden="1" x14ac:dyDescent="0.3">
      <c r="X1343" s="27"/>
      <c r="Y1343" s="27"/>
    </row>
    <row r="1344" spans="24:25" hidden="1" x14ac:dyDescent="0.3">
      <c r="X1344" s="27"/>
      <c r="Y1344" s="27"/>
    </row>
    <row r="1345" spans="24:25" hidden="1" x14ac:dyDescent="0.3">
      <c r="X1345" s="27"/>
      <c r="Y1345" s="27"/>
    </row>
    <row r="1346" spans="24:25" hidden="1" x14ac:dyDescent="0.3">
      <c r="X1346" s="27"/>
      <c r="Y1346" s="27"/>
    </row>
    <row r="1347" spans="24:25" hidden="1" x14ac:dyDescent="0.3">
      <c r="X1347" s="27"/>
      <c r="Y1347" s="27"/>
    </row>
    <row r="1348" spans="24:25" hidden="1" x14ac:dyDescent="0.3">
      <c r="X1348" s="27"/>
      <c r="Y1348" s="27"/>
    </row>
    <row r="1349" spans="24:25" hidden="1" x14ac:dyDescent="0.3">
      <c r="X1349" s="27"/>
      <c r="Y1349" s="27"/>
    </row>
    <row r="1350" spans="24:25" hidden="1" x14ac:dyDescent="0.3">
      <c r="X1350" s="27"/>
      <c r="Y1350" s="27"/>
    </row>
    <row r="1351" spans="24:25" hidden="1" x14ac:dyDescent="0.3">
      <c r="X1351" s="27"/>
      <c r="Y1351" s="27"/>
    </row>
    <row r="1352" spans="24:25" hidden="1" x14ac:dyDescent="0.3">
      <c r="X1352" s="27"/>
      <c r="Y1352" s="27"/>
    </row>
    <row r="1353" spans="24:25" hidden="1" x14ac:dyDescent="0.3">
      <c r="X1353" s="27"/>
      <c r="Y1353" s="27"/>
    </row>
    <row r="1354" spans="24:25" hidden="1" x14ac:dyDescent="0.3">
      <c r="X1354" s="27"/>
      <c r="Y1354" s="27"/>
    </row>
    <row r="1355" spans="24:25" hidden="1" x14ac:dyDescent="0.3">
      <c r="X1355" s="27"/>
      <c r="Y1355" s="27"/>
    </row>
    <row r="1356" spans="24:25" hidden="1" x14ac:dyDescent="0.3">
      <c r="X1356" s="27"/>
      <c r="Y1356" s="27"/>
    </row>
    <row r="1357" spans="24:25" hidden="1" x14ac:dyDescent="0.3">
      <c r="X1357" s="27"/>
      <c r="Y1357" s="27"/>
    </row>
    <row r="1358" spans="24:25" hidden="1" x14ac:dyDescent="0.3">
      <c r="X1358" s="27"/>
      <c r="Y1358" s="27"/>
    </row>
    <row r="1359" spans="24:25" hidden="1" x14ac:dyDescent="0.3">
      <c r="X1359" s="27"/>
      <c r="Y1359" s="27"/>
    </row>
    <row r="1360" spans="24:25" hidden="1" x14ac:dyDescent="0.3">
      <c r="X1360" s="27"/>
      <c r="Y1360" s="27"/>
    </row>
    <row r="1361" spans="24:25" hidden="1" x14ac:dyDescent="0.3">
      <c r="X1361" s="27"/>
      <c r="Y1361" s="27"/>
    </row>
    <row r="1362" spans="24:25" hidden="1" x14ac:dyDescent="0.3">
      <c r="X1362" s="27"/>
      <c r="Y1362" s="27"/>
    </row>
    <row r="1363" spans="24:25" hidden="1" x14ac:dyDescent="0.3">
      <c r="X1363" s="27"/>
      <c r="Y1363" s="27"/>
    </row>
    <row r="1364" spans="24:25" hidden="1" x14ac:dyDescent="0.3">
      <c r="X1364" s="27"/>
      <c r="Y1364" s="27"/>
    </row>
    <row r="1365" spans="24:25" hidden="1" x14ac:dyDescent="0.3">
      <c r="X1365" s="27"/>
      <c r="Y1365" s="27"/>
    </row>
    <row r="1366" spans="24:25" hidden="1" x14ac:dyDescent="0.3">
      <c r="X1366" s="27"/>
      <c r="Y1366" s="27"/>
    </row>
    <row r="1367" spans="24:25" hidden="1" x14ac:dyDescent="0.3">
      <c r="X1367" s="27"/>
      <c r="Y1367" s="27"/>
    </row>
    <row r="1368" spans="24:25" hidden="1" x14ac:dyDescent="0.3">
      <c r="X1368" s="27"/>
      <c r="Y1368" s="27"/>
    </row>
    <row r="1369" spans="24:25" hidden="1" x14ac:dyDescent="0.3">
      <c r="X1369" s="27"/>
      <c r="Y1369" s="27"/>
    </row>
    <row r="1370" spans="24:25" hidden="1" x14ac:dyDescent="0.3">
      <c r="X1370" s="27"/>
      <c r="Y1370" s="27"/>
    </row>
    <row r="1371" spans="24:25" hidden="1" x14ac:dyDescent="0.3">
      <c r="X1371" s="27"/>
      <c r="Y1371" s="27"/>
    </row>
    <row r="1372" spans="24:25" hidden="1" x14ac:dyDescent="0.3">
      <c r="X1372" s="27"/>
      <c r="Y1372" s="27"/>
    </row>
    <row r="1373" spans="24:25" hidden="1" x14ac:dyDescent="0.3">
      <c r="X1373" s="27"/>
      <c r="Y1373" s="27"/>
    </row>
    <row r="1374" spans="24:25" hidden="1" x14ac:dyDescent="0.3">
      <c r="X1374" s="27"/>
      <c r="Y1374" s="27"/>
    </row>
    <row r="1375" spans="24:25" hidden="1" x14ac:dyDescent="0.3">
      <c r="X1375" s="27"/>
      <c r="Y1375" s="27"/>
    </row>
    <row r="1376" spans="24:25" hidden="1" x14ac:dyDescent="0.3">
      <c r="X1376" s="27"/>
      <c r="Y1376" s="27"/>
    </row>
    <row r="1377" spans="24:25" hidden="1" x14ac:dyDescent="0.3">
      <c r="X1377" s="27"/>
      <c r="Y1377" s="27"/>
    </row>
    <row r="1378" spans="24:25" hidden="1" x14ac:dyDescent="0.3">
      <c r="X1378" s="27"/>
      <c r="Y1378" s="27"/>
    </row>
    <row r="1379" spans="24:25" hidden="1" x14ac:dyDescent="0.3">
      <c r="X1379" s="27"/>
      <c r="Y1379" s="27"/>
    </row>
    <row r="1380" spans="24:25" hidden="1" x14ac:dyDescent="0.3">
      <c r="X1380" s="27"/>
      <c r="Y1380" s="27"/>
    </row>
    <row r="1381" spans="24:25" hidden="1" x14ac:dyDescent="0.3">
      <c r="X1381" s="27"/>
      <c r="Y1381" s="27"/>
    </row>
    <row r="1382" spans="24:25" hidden="1" x14ac:dyDescent="0.3">
      <c r="X1382" s="27"/>
      <c r="Y1382" s="27"/>
    </row>
    <row r="1383" spans="24:25" hidden="1" x14ac:dyDescent="0.3">
      <c r="X1383" s="27"/>
      <c r="Y1383" s="27"/>
    </row>
    <row r="1384" spans="24:25" hidden="1" x14ac:dyDescent="0.3">
      <c r="X1384" s="27"/>
      <c r="Y1384" s="27"/>
    </row>
    <row r="1385" spans="24:25" hidden="1" x14ac:dyDescent="0.3">
      <c r="X1385" s="27"/>
      <c r="Y1385" s="27"/>
    </row>
    <row r="1386" spans="24:25" hidden="1" x14ac:dyDescent="0.3">
      <c r="X1386" s="27"/>
      <c r="Y1386" s="27"/>
    </row>
    <row r="1387" spans="24:25" hidden="1" x14ac:dyDescent="0.3">
      <c r="X1387" s="27"/>
      <c r="Y1387" s="27"/>
    </row>
    <row r="1388" spans="24:25" hidden="1" x14ac:dyDescent="0.3">
      <c r="X1388" s="27"/>
      <c r="Y1388" s="27"/>
    </row>
    <row r="1389" spans="24:25" hidden="1" x14ac:dyDescent="0.3">
      <c r="X1389" s="27"/>
      <c r="Y1389" s="27"/>
    </row>
    <row r="1390" spans="24:25" hidden="1" x14ac:dyDescent="0.3">
      <c r="X1390" s="27"/>
      <c r="Y1390" s="27"/>
    </row>
    <row r="1391" spans="24:25" hidden="1" x14ac:dyDescent="0.3">
      <c r="X1391" s="27"/>
      <c r="Y1391" s="27"/>
    </row>
    <row r="1392" spans="24:25" hidden="1" x14ac:dyDescent="0.3">
      <c r="X1392" s="27"/>
      <c r="Y1392" s="27"/>
    </row>
    <row r="1393" spans="24:25" hidden="1" x14ac:dyDescent="0.3">
      <c r="X1393" s="27"/>
      <c r="Y1393" s="27"/>
    </row>
    <row r="1394" spans="24:25" hidden="1" x14ac:dyDescent="0.3">
      <c r="X1394" s="27"/>
      <c r="Y1394" s="27"/>
    </row>
    <row r="1395" spans="24:25" hidden="1" x14ac:dyDescent="0.3">
      <c r="X1395" s="27"/>
      <c r="Y1395" s="27"/>
    </row>
    <row r="1396" spans="24:25" hidden="1" x14ac:dyDescent="0.3">
      <c r="X1396" s="27"/>
      <c r="Y1396" s="27"/>
    </row>
    <row r="1397" spans="24:25" hidden="1" x14ac:dyDescent="0.3">
      <c r="X1397" s="27"/>
      <c r="Y1397" s="27"/>
    </row>
    <row r="1398" spans="24:25" hidden="1" x14ac:dyDescent="0.3">
      <c r="X1398" s="27"/>
      <c r="Y1398" s="27"/>
    </row>
    <row r="1399" spans="24:25" hidden="1" x14ac:dyDescent="0.3">
      <c r="X1399" s="27"/>
      <c r="Y1399" s="27"/>
    </row>
    <row r="1400" spans="24:25" hidden="1" x14ac:dyDescent="0.3">
      <c r="X1400" s="27"/>
      <c r="Y1400" s="27"/>
    </row>
    <row r="1401" spans="24:25" hidden="1" x14ac:dyDescent="0.3">
      <c r="X1401" s="27"/>
      <c r="Y1401" s="27"/>
    </row>
    <row r="1402" spans="24:25" hidden="1" x14ac:dyDescent="0.3">
      <c r="X1402" s="27"/>
      <c r="Y1402" s="27"/>
    </row>
    <row r="1403" spans="24:25" hidden="1" x14ac:dyDescent="0.3">
      <c r="X1403" s="27"/>
      <c r="Y1403" s="27"/>
    </row>
    <row r="1404" spans="24:25" hidden="1" x14ac:dyDescent="0.3">
      <c r="X1404" s="27"/>
      <c r="Y1404" s="27"/>
    </row>
    <row r="1405" spans="24:25" hidden="1" x14ac:dyDescent="0.3">
      <c r="X1405" s="27"/>
      <c r="Y1405" s="27"/>
    </row>
    <row r="1406" spans="24:25" hidden="1" x14ac:dyDescent="0.3">
      <c r="X1406" s="27"/>
      <c r="Y1406" s="27"/>
    </row>
    <row r="1407" spans="24:25" hidden="1" x14ac:dyDescent="0.3">
      <c r="X1407" s="27"/>
      <c r="Y1407" s="27"/>
    </row>
    <row r="1408" spans="24:25" hidden="1" x14ac:dyDescent="0.3">
      <c r="X1408" s="27"/>
      <c r="Y1408" s="27"/>
    </row>
    <row r="1409" spans="24:25" hidden="1" x14ac:dyDescent="0.3">
      <c r="X1409" s="27"/>
      <c r="Y1409" s="27"/>
    </row>
    <row r="1410" spans="24:25" hidden="1" x14ac:dyDescent="0.3">
      <c r="X1410" s="27"/>
      <c r="Y1410" s="27"/>
    </row>
    <row r="1411" spans="24:25" hidden="1" x14ac:dyDescent="0.3">
      <c r="X1411" s="27"/>
      <c r="Y1411" s="27"/>
    </row>
    <row r="1412" spans="24:25" hidden="1" x14ac:dyDescent="0.3">
      <c r="X1412" s="27"/>
      <c r="Y1412" s="27"/>
    </row>
    <row r="1413" spans="24:25" hidden="1" x14ac:dyDescent="0.3">
      <c r="X1413" s="27"/>
      <c r="Y1413" s="27"/>
    </row>
    <row r="1414" spans="24:25" hidden="1" x14ac:dyDescent="0.3">
      <c r="X1414" s="27"/>
      <c r="Y1414" s="27"/>
    </row>
    <row r="1415" spans="24:25" hidden="1" x14ac:dyDescent="0.3">
      <c r="X1415" s="27"/>
      <c r="Y1415" s="27"/>
    </row>
    <row r="1416" spans="24:25" hidden="1" x14ac:dyDescent="0.3">
      <c r="X1416" s="27"/>
      <c r="Y1416" s="27"/>
    </row>
    <row r="1417" spans="24:25" hidden="1" x14ac:dyDescent="0.3">
      <c r="X1417" s="27"/>
      <c r="Y1417" s="27"/>
    </row>
    <row r="1418" spans="24:25" hidden="1" x14ac:dyDescent="0.3">
      <c r="X1418" s="27"/>
      <c r="Y1418" s="27"/>
    </row>
    <row r="1419" spans="24:25" hidden="1" x14ac:dyDescent="0.3">
      <c r="X1419" s="27"/>
      <c r="Y1419" s="27"/>
    </row>
    <row r="1420" spans="24:25" hidden="1" x14ac:dyDescent="0.3">
      <c r="X1420" s="27"/>
      <c r="Y1420" s="27"/>
    </row>
    <row r="1421" spans="24:25" hidden="1" x14ac:dyDescent="0.3">
      <c r="X1421" s="27"/>
      <c r="Y1421" s="27"/>
    </row>
    <row r="1422" spans="24:25" hidden="1" x14ac:dyDescent="0.3">
      <c r="X1422" s="27"/>
      <c r="Y1422" s="27"/>
    </row>
    <row r="1423" spans="24:25" hidden="1" x14ac:dyDescent="0.3">
      <c r="X1423" s="27"/>
      <c r="Y1423" s="27"/>
    </row>
    <row r="1424" spans="24:25" hidden="1" x14ac:dyDescent="0.3">
      <c r="X1424" s="27"/>
      <c r="Y1424" s="27"/>
    </row>
    <row r="1425" spans="24:25" hidden="1" x14ac:dyDescent="0.3">
      <c r="X1425" s="27"/>
      <c r="Y1425" s="27"/>
    </row>
    <row r="1426" spans="24:25" hidden="1" x14ac:dyDescent="0.3">
      <c r="X1426" s="27"/>
      <c r="Y1426" s="27"/>
    </row>
    <row r="1427" spans="24:25" hidden="1" x14ac:dyDescent="0.3">
      <c r="X1427" s="27"/>
      <c r="Y1427" s="27"/>
    </row>
    <row r="1428" spans="24:25" hidden="1" x14ac:dyDescent="0.3">
      <c r="X1428" s="27"/>
      <c r="Y1428" s="27"/>
    </row>
    <row r="1429" spans="24:25" hidden="1" x14ac:dyDescent="0.3">
      <c r="X1429" s="27"/>
      <c r="Y1429" s="27"/>
    </row>
    <row r="1430" spans="24:25" hidden="1" x14ac:dyDescent="0.3">
      <c r="X1430" s="27"/>
      <c r="Y1430" s="27"/>
    </row>
    <row r="1431" spans="24:25" hidden="1" x14ac:dyDescent="0.3">
      <c r="X1431" s="27"/>
      <c r="Y1431" s="27"/>
    </row>
    <row r="1432" spans="24:25" hidden="1" x14ac:dyDescent="0.3">
      <c r="X1432" s="27"/>
      <c r="Y1432" s="27"/>
    </row>
    <row r="1433" spans="24:25" hidden="1" x14ac:dyDescent="0.3">
      <c r="X1433" s="27"/>
      <c r="Y1433" s="27"/>
    </row>
    <row r="1434" spans="24:25" hidden="1" x14ac:dyDescent="0.3">
      <c r="X1434" s="27"/>
      <c r="Y1434" s="27"/>
    </row>
    <row r="1435" spans="24:25" hidden="1" x14ac:dyDescent="0.3">
      <c r="X1435" s="27"/>
      <c r="Y1435" s="27"/>
    </row>
    <row r="1436" spans="24:25" hidden="1" x14ac:dyDescent="0.3">
      <c r="X1436" s="27"/>
      <c r="Y1436" s="27"/>
    </row>
    <row r="1437" spans="24:25" hidden="1" x14ac:dyDescent="0.3">
      <c r="X1437" s="27"/>
      <c r="Y1437" s="27"/>
    </row>
    <row r="1438" spans="24:25" hidden="1" x14ac:dyDescent="0.3">
      <c r="X1438" s="27"/>
      <c r="Y1438" s="27"/>
    </row>
    <row r="1439" spans="24:25" hidden="1" x14ac:dyDescent="0.3">
      <c r="X1439" s="27"/>
      <c r="Y1439" s="27"/>
    </row>
    <row r="1440" spans="24:25" hidden="1" x14ac:dyDescent="0.3">
      <c r="X1440" s="27"/>
      <c r="Y1440" s="27"/>
    </row>
    <row r="1441" spans="24:25" hidden="1" x14ac:dyDescent="0.3">
      <c r="X1441" s="27"/>
      <c r="Y1441" s="27"/>
    </row>
    <row r="1442" spans="24:25" hidden="1" x14ac:dyDescent="0.3">
      <c r="X1442" s="27"/>
      <c r="Y1442" s="27"/>
    </row>
    <row r="1443" spans="24:25" hidden="1" x14ac:dyDescent="0.3">
      <c r="X1443" s="27"/>
      <c r="Y1443" s="27"/>
    </row>
    <row r="1444" spans="24:25" hidden="1" x14ac:dyDescent="0.3">
      <c r="X1444" s="27"/>
      <c r="Y1444" s="27"/>
    </row>
    <row r="1445" spans="24:25" hidden="1" x14ac:dyDescent="0.3">
      <c r="X1445" s="27"/>
      <c r="Y1445" s="27"/>
    </row>
    <row r="1446" spans="24:25" hidden="1" x14ac:dyDescent="0.3">
      <c r="X1446" s="27"/>
      <c r="Y1446" s="27"/>
    </row>
    <row r="1447" spans="24:25" hidden="1" x14ac:dyDescent="0.3">
      <c r="X1447" s="27"/>
      <c r="Y1447" s="27"/>
    </row>
    <row r="1448" spans="24:25" hidden="1" x14ac:dyDescent="0.3">
      <c r="X1448" s="27"/>
      <c r="Y1448" s="27"/>
    </row>
    <row r="1449" spans="24:25" hidden="1" x14ac:dyDescent="0.3">
      <c r="X1449" s="27"/>
      <c r="Y1449" s="27"/>
    </row>
    <row r="1450" spans="24:25" hidden="1" x14ac:dyDescent="0.3">
      <c r="X1450" s="27"/>
      <c r="Y1450" s="27"/>
    </row>
    <row r="1451" spans="24:25" hidden="1" x14ac:dyDescent="0.3">
      <c r="X1451" s="27"/>
      <c r="Y1451" s="27"/>
    </row>
    <row r="1452" spans="24:25" hidden="1" x14ac:dyDescent="0.3">
      <c r="X1452" s="27"/>
      <c r="Y1452" s="27"/>
    </row>
    <row r="1453" spans="24:25" hidden="1" x14ac:dyDescent="0.3">
      <c r="X1453" s="27"/>
      <c r="Y1453" s="27"/>
    </row>
    <row r="1454" spans="24:25" hidden="1" x14ac:dyDescent="0.3">
      <c r="X1454" s="27"/>
      <c r="Y1454" s="27"/>
    </row>
    <row r="1455" spans="24:25" hidden="1" x14ac:dyDescent="0.3">
      <c r="X1455" s="27"/>
      <c r="Y1455" s="27"/>
    </row>
    <row r="1456" spans="24:25" hidden="1" x14ac:dyDescent="0.3">
      <c r="X1456" s="27"/>
      <c r="Y1456" s="27"/>
    </row>
    <row r="1457" spans="24:25" hidden="1" x14ac:dyDescent="0.3">
      <c r="X1457" s="27"/>
      <c r="Y1457" s="27"/>
    </row>
    <row r="1458" spans="24:25" hidden="1" x14ac:dyDescent="0.3">
      <c r="X1458" s="27"/>
      <c r="Y1458" s="27"/>
    </row>
    <row r="1459" spans="24:25" hidden="1" x14ac:dyDescent="0.3">
      <c r="X1459" s="27"/>
      <c r="Y1459" s="27"/>
    </row>
    <row r="1460" spans="24:25" hidden="1" x14ac:dyDescent="0.3">
      <c r="X1460" s="27"/>
      <c r="Y1460" s="27"/>
    </row>
    <row r="1461" spans="24:25" hidden="1" x14ac:dyDescent="0.3">
      <c r="X1461" s="27"/>
      <c r="Y1461" s="27"/>
    </row>
    <row r="1462" spans="24:25" hidden="1" x14ac:dyDescent="0.3">
      <c r="X1462" s="27"/>
      <c r="Y1462" s="27"/>
    </row>
    <row r="1463" spans="24:25" hidden="1" x14ac:dyDescent="0.3">
      <c r="X1463" s="27"/>
      <c r="Y1463" s="27"/>
    </row>
    <row r="1464" spans="24:25" hidden="1" x14ac:dyDescent="0.3">
      <c r="X1464" s="27"/>
      <c r="Y1464" s="27"/>
    </row>
    <row r="1465" spans="24:25" hidden="1" x14ac:dyDescent="0.3">
      <c r="X1465" s="27"/>
      <c r="Y1465" s="27"/>
    </row>
    <row r="1466" spans="24:25" hidden="1" x14ac:dyDescent="0.3">
      <c r="X1466" s="27"/>
      <c r="Y1466" s="27"/>
    </row>
    <row r="1467" spans="24:25" hidden="1" x14ac:dyDescent="0.3">
      <c r="X1467" s="27"/>
      <c r="Y1467" s="27"/>
    </row>
    <row r="1468" spans="24:25" hidden="1" x14ac:dyDescent="0.3">
      <c r="X1468" s="27"/>
      <c r="Y1468" s="27"/>
    </row>
    <row r="1469" spans="24:25" hidden="1" x14ac:dyDescent="0.3">
      <c r="X1469" s="27"/>
      <c r="Y1469" s="27"/>
    </row>
    <row r="1470" spans="24:25" hidden="1" x14ac:dyDescent="0.3">
      <c r="X1470" s="27"/>
      <c r="Y1470" s="27"/>
    </row>
    <row r="1471" spans="24:25" hidden="1" x14ac:dyDescent="0.3">
      <c r="X1471" s="27"/>
      <c r="Y1471" s="27"/>
    </row>
    <row r="1472" spans="24:25" hidden="1" x14ac:dyDescent="0.3">
      <c r="X1472" s="27"/>
      <c r="Y1472" s="27"/>
    </row>
    <row r="1473" spans="24:25" hidden="1" x14ac:dyDescent="0.3">
      <c r="X1473" s="27"/>
      <c r="Y1473" s="27"/>
    </row>
    <row r="1474" spans="24:25" hidden="1" x14ac:dyDescent="0.3">
      <c r="X1474" s="27"/>
      <c r="Y1474" s="27"/>
    </row>
    <row r="1475" spans="24:25" hidden="1" x14ac:dyDescent="0.3">
      <c r="X1475" s="27"/>
      <c r="Y1475" s="27"/>
    </row>
    <row r="1476" spans="24:25" hidden="1" x14ac:dyDescent="0.3">
      <c r="X1476" s="27"/>
      <c r="Y1476" s="27"/>
    </row>
    <row r="1477" spans="24:25" hidden="1" x14ac:dyDescent="0.3">
      <c r="X1477" s="27"/>
      <c r="Y1477" s="27"/>
    </row>
    <row r="1478" spans="24:25" hidden="1" x14ac:dyDescent="0.3">
      <c r="X1478" s="27"/>
      <c r="Y1478" s="27"/>
    </row>
    <row r="1479" spans="24:25" hidden="1" x14ac:dyDescent="0.3">
      <c r="X1479" s="27"/>
      <c r="Y1479" s="27"/>
    </row>
    <row r="1480" spans="24:25" hidden="1" x14ac:dyDescent="0.3">
      <c r="X1480" s="27"/>
      <c r="Y1480" s="27"/>
    </row>
    <row r="1481" spans="24:25" hidden="1" x14ac:dyDescent="0.3">
      <c r="X1481" s="27"/>
      <c r="Y1481" s="27"/>
    </row>
    <row r="1482" spans="24:25" hidden="1" x14ac:dyDescent="0.3">
      <c r="X1482" s="27"/>
      <c r="Y1482" s="27"/>
    </row>
    <row r="1483" spans="24:25" hidden="1" x14ac:dyDescent="0.3">
      <c r="X1483" s="27"/>
      <c r="Y1483" s="27"/>
    </row>
    <row r="1484" spans="24:25" hidden="1" x14ac:dyDescent="0.3">
      <c r="X1484" s="27"/>
      <c r="Y1484" s="27"/>
    </row>
    <row r="1485" spans="24:25" hidden="1" x14ac:dyDescent="0.3">
      <c r="X1485" s="27"/>
      <c r="Y1485" s="27"/>
    </row>
    <row r="1486" spans="24:25" hidden="1" x14ac:dyDescent="0.3">
      <c r="X1486" s="27"/>
      <c r="Y1486" s="27"/>
    </row>
    <row r="1487" spans="24:25" hidden="1" x14ac:dyDescent="0.3">
      <c r="X1487" s="27"/>
      <c r="Y1487" s="27"/>
    </row>
    <row r="1488" spans="24:25" hidden="1" x14ac:dyDescent="0.3">
      <c r="X1488" s="27"/>
      <c r="Y1488" s="27"/>
    </row>
    <row r="1489" spans="24:25" hidden="1" x14ac:dyDescent="0.3">
      <c r="X1489" s="27"/>
      <c r="Y1489" s="27"/>
    </row>
    <row r="1490" spans="24:25" hidden="1" x14ac:dyDescent="0.3">
      <c r="X1490" s="27"/>
      <c r="Y1490" s="27"/>
    </row>
    <row r="1491" spans="24:25" hidden="1" x14ac:dyDescent="0.3">
      <c r="X1491" s="27"/>
      <c r="Y1491" s="27"/>
    </row>
    <row r="1492" spans="24:25" hidden="1" x14ac:dyDescent="0.3">
      <c r="X1492" s="27"/>
      <c r="Y1492" s="27"/>
    </row>
    <row r="1493" spans="24:25" hidden="1" x14ac:dyDescent="0.3">
      <c r="X1493" s="27"/>
      <c r="Y1493" s="27"/>
    </row>
    <row r="1494" spans="24:25" hidden="1" x14ac:dyDescent="0.3">
      <c r="X1494" s="27"/>
      <c r="Y1494" s="27"/>
    </row>
    <row r="1495" spans="24:25" hidden="1" x14ac:dyDescent="0.3">
      <c r="X1495" s="27"/>
      <c r="Y1495" s="27"/>
    </row>
    <row r="1496" spans="24:25" hidden="1" x14ac:dyDescent="0.3">
      <c r="X1496" s="27"/>
      <c r="Y1496" s="27"/>
    </row>
    <row r="1497" spans="24:25" hidden="1" x14ac:dyDescent="0.3">
      <c r="X1497" s="27"/>
      <c r="Y1497" s="27"/>
    </row>
    <row r="1498" spans="24:25" hidden="1" x14ac:dyDescent="0.3">
      <c r="X1498" s="27"/>
      <c r="Y1498" s="27"/>
    </row>
    <row r="1499" spans="24:25" hidden="1" x14ac:dyDescent="0.3">
      <c r="X1499" s="27"/>
      <c r="Y1499" s="27"/>
    </row>
    <row r="1500" spans="24:25" hidden="1" x14ac:dyDescent="0.3">
      <c r="X1500" s="27"/>
      <c r="Y1500" s="27"/>
    </row>
    <row r="1501" spans="24:25" hidden="1" x14ac:dyDescent="0.3">
      <c r="X1501" s="27"/>
      <c r="Y1501" s="27"/>
    </row>
    <row r="1502" spans="24:25" hidden="1" x14ac:dyDescent="0.3">
      <c r="X1502" s="27"/>
      <c r="Y1502" s="27"/>
    </row>
    <row r="1503" spans="24:25" hidden="1" x14ac:dyDescent="0.3">
      <c r="X1503" s="27"/>
      <c r="Y1503" s="27"/>
    </row>
    <row r="1504" spans="24:25" hidden="1" x14ac:dyDescent="0.3">
      <c r="X1504" s="27"/>
      <c r="Y1504" s="27"/>
    </row>
    <row r="1505" spans="24:25" hidden="1" x14ac:dyDescent="0.3">
      <c r="X1505" s="27"/>
      <c r="Y1505" s="27"/>
    </row>
    <row r="1506" spans="24:25" hidden="1" x14ac:dyDescent="0.3">
      <c r="X1506" s="27"/>
      <c r="Y1506" s="27"/>
    </row>
    <row r="1507" spans="24:25" hidden="1" x14ac:dyDescent="0.3">
      <c r="X1507" s="27"/>
      <c r="Y1507" s="27"/>
    </row>
    <row r="1508" spans="24:25" hidden="1" x14ac:dyDescent="0.3">
      <c r="X1508" s="27"/>
      <c r="Y1508" s="27"/>
    </row>
    <row r="1509" spans="24:25" hidden="1" x14ac:dyDescent="0.3">
      <c r="X1509" s="27"/>
      <c r="Y1509" s="27"/>
    </row>
    <row r="1510" spans="24:25" hidden="1" x14ac:dyDescent="0.3">
      <c r="X1510" s="27"/>
      <c r="Y1510" s="27"/>
    </row>
    <row r="1511" spans="24:25" hidden="1" x14ac:dyDescent="0.3">
      <c r="X1511" s="27"/>
      <c r="Y1511" s="27"/>
    </row>
    <row r="1512" spans="24:25" hidden="1" x14ac:dyDescent="0.3">
      <c r="X1512" s="27"/>
      <c r="Y1512" s="27"/>
    </row>
    <row r="1513" spans="24:25" hidden="1" x14ac:dyDescent="0.3">
      <c r="X1513" s="27"/>
      <c r="Y1513" s="27"/>
    </row>
    <row r="1514" spans="24:25" hidden="1" x14ac:dyDescent="0.3">
      <c r="X1514" s="27"/>
      <c r="Y1514" s="27"/>
    </row>
    <row r="1515" spans="24:25" hidden="1" x14ac:dyDescent="0.3">
      <c r="X1515" s="27"/>
      <c r="Y1515" s="27"/>
    </row>
    <row r="1516" spans="24:25" hidden="1" x14ac:dyDescent="0.3">
      <c r="X1516" s="27"/>
      <c r="Y1516" s="27"/>
    </row>
    <row r="1517" spans="24:25" hidden="1" x14ac:dyDescent="0.3">
      <c r="X1517" s="27"/>
      <c r="Y1517" s="27"/>
    </row>
    <row r="1518" spans="24:25" hidden="1" x14ac:dyDescent="0.3">
      <c r="X1518" s="27"/>
      <c r="Y1518" s="27"/>
    </row>
    <row r="1519" spans="24:25" hidden="1" x14ac:dyDescent="0.3">
      <c r="X1519" s="27"/>
      <c r="Y1519" s="27"/>
    </row>
    <row r="1520" spans="24:25" hidden="1" x14ac:dyDescent="0.3">
      <c r="X1520" s="27"/>
      <c r="Y1520" s="27"/>
    </row>
    <row r="1521" spans="24:25" hidden="1" x14ac:dyDescent="0.3">
      <c r="X1521" s="27"/>
      <c r="Y1521" s="27"/>
    </row>
    <row r="1522" spans="24:25" hidden="1" x14ac:dyDescent="0.3">
      <c r="X1522" s="27"/>
      <c r="Y1522" s="27"/>
    </row>
    <row r="1523" spans="24:25" hidden="1" x14ac:dyDescent="0.3">
      <c r="X1523" s="27"/>
      <c r="Y1523" s="27"/>
    </row>
    <row r="1524" spans="24:25" hidden="1" x14ac:dyDescent="0.3">
      <c r="X1524" s="27"/>
      <c r="Y1524" s="27"/>
    </row>
    <row r="1525" spans="24:25" hidden="1" x14ac:dyDescent="0.3">
      <c r="X1525" s="27"/>
      <c r="Y1525" s="27"/>
    </row>
    <row r="1526" spans="24:25" hidden="1" x14ac:dyDescent="0.3">
      <c r="X1526" s="27"/>
      <c r="Y1526" s="27"/>
    </row>
    <row r="1527" spans="24:25" hidden="1" x14ac:dyDescent="0.3">
      <c r="X1527" s="27"/>
      <c r="Y1527" s="27"/>
    </row>
    <row r="1528" spans="24:25" hidden="1" x14ac:dyDescent="0.3">
      <c r="X1528" s="27"/>
      <c r="Y1528" s="27"/>
    </row>
    <row r="1529" spans="24:25" hidden="1" x14ac:dyDescent="0.3">
      <c r="X1529" s="27"/>
      <c r="Y1529" s="27"/>
    </row>
    <row r="1530" spans="24:25" hidden="1" x14ac:dyDescent="0.3">
      <c r="X1530" s="27"/>
      <c r="Y1530" s="27"/>
    </row>
    <row r="1531" spans="24:25" hidden="1" x14ac:dyDescent="0.3">
      <c r="X1531" s="27"/>
      <c r="Y1531" s="27"/>
    </row>
    <row r="1532" spans="24:25" hidden="1" x14ac:dyDescent="0.3">
      <c r="X1532" s="27"/>
      <c r="Y1532" s="27"/>
    </row>
    <row r="1533" spans="24:25" hidden="1" x14ac:dyDescent="0.3">
      <c r="X1533" s="27"/>
      <c r="Y1533" s="27"/>
    </row>
    <row r="1534" spans="24:25" hidden="1" x14ac:dyDescent="0.3">
      <c r="X1534" s="27"/>
      <c r="Y1534" s="27"/>
    </row>
    <row r="1535" spans="24:25" hidden="1" x14ac:dyDescent="0.3">
      <c r="X1535" s="27"/>
      <c r="Y1535" s="27"/>
    </row>
    <row r="1536" spans="24:25" hidden="1" x14ac:dyDescent="0.3">
      <c r="X1536" s="27"/>
      <c r="Y1536" s="27"/>
    </row>
    <row r="1537" spans="24:25" hidden="1" x14ac:dyDescent="0.3">
      <c r="X1537" s="27"/>
      <c r="Y1537" s="27"/>
    </row>
    <row r="1538" spans="24:25" hidden="1" x14ac:dyDescent="0.3">
      <c r="X1538" s="27"/>
      <c r="Y1538" s="27"/>
    </row>
    <row r="1539" spans="24:25" hidden="1" x14ac:dyDescent="0.3">
      <c r="X1539" s="27"/>
      <c r="Y1539" s="27"/>
    </row>
    <row r="1540" spans="24:25" hidden="1" x14ac:dyDescent="0.3">
      <c r="X1540" s="27"/>
      <c r="Y1540" s="27"/>
    </row>
    <row r="1541" spans="24:25" hidden="1" x14ac:dyDescent="0.3">
      <c r="X1541" s="27"/>
      <c r="Y1541" s="27"/>
    </row>
    <row r="1542" spans="24:25" hidden="1" x14ac:dyDescent="0.3">
      <c r="X1542" s="27"/>
      <c r="Y1542" s="27"/>
    </row>
    <row r="1543" spans="24:25" hidden="1" x14ac:dyDescent="0.3">
      <c r="X1543" s="27"/>
      <c r="Y1543" s="27"/>
    </row>
    <row r="1544" spans="24:25" hidden="1" x14ac:dyDescent="0.3">
      <c r="X1544" s="27"/>
      <c r="Y1544" s="27"/>
    </row>
    <row r="1545" spans="24:25" hidden="1" x14ac:dyDescent="0.3">
      <c r="X1545" s="27"/>
      <c r="Y1545" s="27"/>
    </row>
    <row r="1546" spans="24:25" hidden="1" x14ac:dyDescent="0.3">
      <c r="X1546" s="27"/>
      <c r="Y1546" s="27"/>
    </row>
    <row r="1547" spans="24:25" hidden="1" x14ac:dyDescent="0.3">
      <c r="X1547" s="27"/>
      <c r="Y1547" s="27"/>
    </row>
    <row r="1548" spans="24:25" hidden="1" x14ac:dyDescent="0.3">
      <c r="X1548" s="27"/>
      <c r="Y1548" s="27"/>
    </row>
    <row r="1549" spans="24:25" hidden="1" x14ac:dyDescent="0.3">
      <c r="X1549" s="27"/>
      <c r="Y1549" s="27"/>
    </row>
    <row r="1550" spans="24:25" hidden="1" x14ac:dyDescent="0.3">
      <c r="X1550" s="27"/>
      <c r="Y1550" s="27"/>
    </row>
    <row r="1551" spans="24:25" hidden="1" x14ac:dyDescent="0.3">
      <c r="X1551" s="27"/>
      <c r="Y1551" s="27"/>
    </row>
    <row r="1552" spans="24:25" hidden="1" x14ac:dyDescent="0.3">
      <c r="X1552" s="27"/>
      <c r="Y1552" s="27"/>
    </row>
    <row r="1553" spans="24:25" hidden="1" x14ac:dyDescent="0.3">
      <c r="X1553" s="27"/>
      <c r="Y1553" s="27"/>
    </row>
    <row r="1554" spans="24:25" hidden="1" x14ac:dyDescent="0.3">
      <c r="X1554" s="27"/>
      <c r="Y1554" s="27"/>
    </row>
    <row r="1555" spans="24:25" hidden="1" x14ac:dyDescent="0.3">
      <c r="X1555" s="27"/>
      <c r="Y1555" s="27"/>
    </row>
    <row r="1556" spans="24:25" hidden="1" x14ac:dyDescent="0.3">
      <c r="X1556" s="27"/>
      <c r="Y1556" s="27"/>
    </row>
    <row r="1557" spans="24:25" hidden="1" x14ac:dyDescent="0.3">
      <c r="X1557" s="27"/>
      <c r="Y1557" s="27"/>
    </row>
    <row r="1558" spans="24:25" hidden="1" x14ac:dyDescent="0.3">
      <c r="X1558" s="27"/>
      <c r="Y1558" s="27"/>
    </row>
    <row r="1559" spans="24:25" hidden="1" x14ac:dyDescent="0.3">
      <c r="X1559" s="27"/>
      <c r="Y1559" s="27"/>
    </row>
    <row r="1560" spans="24:25" hidden="1" x14ac:dyDescent="0.3">
      <c r="X1560" s="27"/>
      <c r="Y1560" s="27"/>
    </row>
    <row r="1561" spans="24:25" hidden="1" x14ac:dyDescent="0.3">
      <c r="X1561" s="27"/>
      <c r="Y1561" s="27"/>
    </row>
    <row r="1562" spans="24:25" hidden="1" x14ac:dyDescent="0.3">
      <c r="X1562" s="27"/>
      <c r="Y1562" s="27"/>
    </row>
    <row r="1563" spans="24:25" hidden="1" x14ac:dyDescent="0.3">
      <c r="X1563" s="27"/>
      <c r="Y1563" s="27"/>
    </row>
    <row r="1564" spans="24:25" hidden="1" x14ac:dyDescent="0.3">
      <c r="X1564" s="27"/>
      <c r="Y1564" s="27"/>
    </row>
    <row r="1565" spans="24:25" hidden="1" x14ac:dyDescent="0.3">
      <c r="X1565" s="27"/>
      <c r="Y1565" s="27"/>
    </row>
    <row r="1566" spans="24:25" hidden="1" x14ac:dyDescent="0.3">
      <c r="X1566" s="27"/>
      <c r="Y1566" s="27"/>
    </row>
    <row r="1567" spans="24:25" hidden="1" x14ac:dyDescent="0.3">
      <c r="X1567" s="27"/>
      <c r="Y1567" s="27"/>
    </row>
    <row r="1568" spans="24:25" hidden="1" x14ac:dyDescent="0.3">
      <c r="X1568" s="27"/>
      <c r="Y1568" s="27"/>
    </row>
    <row r="1569" spans="24:25" hidden="1" x14ac:dyDescent="0.3">
      <c r="X1569" s="27"/>
      <c r="Y1569" s="27"/>
    </row>
    <row r="1570" spans="24:25" hidden="1" x14ac:dyDescent="0.3">
      <c r="X1570" s="27"/>
      <c r="Y1570" s="27"/>
    </row>
    <row r="1571" spans="24:25" hidden="1" x14ac:dyDescent="0.3">
      <c r="X1571" s="27"/>
      <c r="Y1571" s="27"/>
    </row>
    <row r="1572" spans="24:25" hidden="1" x14ac:dyDescent="0.3">
      <c r="X1572" s="27"/>
      <c r="Y1572" s="27"/>
    </row>
    <row r="1573" spans="24:25" hidden="1" x14ac:dyDescent="0.3">
      <c r="X1573" s="27"/>
      <c r="Y1573" s="27"/>
    </row>
    <row r="1574" spans="24:25" hidden="1" x14ac:dyDescent="0.3">
      <c r="X1574" s="27"/>
      <c r="Y1574" s="27"/>
    </row>
    <row r="1575" spans="24:25" hidden="1" x14ac:dyDescent="0.3">
      <c r="X1575" s="27"/>
      <c r="Y1575" s="27"/>
    </row>
    <row r="1576" spans="24:25" hidden="1" x14ac:dyDescent="0.3">
      <c r="X1576" s="27"/>
      <c r="Y1576" s="27"/>
    </row>
    <row r="1577" spans="24:25" hidden="1" x14ac:dyDescent="0.3">
      <c r="X1577" s="27"/>
      <c r="Y1577" s="27"/>
    </row>
    <row r="1578" spans="24:25" hidden="1" x14ac:dyDescent="0.3">
      <c r="X1578" s="27"/>
      <c r="Y1578" s="27"/>
    </row>
    <row r="1579" spans="24:25" hidden="1" x14ac:dyDescent="0.3">
      <c r="X1579" s="27"/>
      <c r="Y1579" s="27"/>
    </row>
    <row r="1580" spans="24:25" hidden="1" x14ac:dyDescent="0.3">
      <c r="X1580" s="27"/>
      <c r="Y1580" s="27"/>
    </row>
    <row r="1581" spans="24:25" hidden="1" x14ac:dyDescent="0.3">
      <c r="X1581" s="27"/>
      <c r="Y1581" s="27"/>
    </row>
    <row r="1582" spans="24:25" hidden="1" x14ac:dyDescent="0.3">
      <c r="X1582" s="27"/>
      <c r="Y1582" s="27"/>
    </row>
    <row r="1583" spans="24:25" hidden="1" x14ac:dyDescent="0.3">
      <c r="X1583" s="27"/>
      <c r="Y1583" s="27"/>
    </row>
    <row r="1584" spans="24:25" hidden="1" x14ac:dyDescent="0.3">
      <c r="X1584" s="27"/>
      <c r="Y1584" s="27"/>
    </row>
    <row r="1585" spans="24:25" hidden="1" x14ac:dyDescent="0.3">
      <c r="X1585" s="27"/>
      <c r="Y1585" s="27"/>
    </row>
    <row r="1586" spans="24:25" hidden="1" x14ac:dyDescent="0.3">
      <c r="X1586" s="27"/>
      <c r="Y1586" s="27"/>
    </row>
    <row r="1587" spans="24:25" hidden="1" x14ac:dyDescent="0.3">
      <c r="X1587" s="27"/>
      <c r="Y1587" s="27"/>
    </row>
    <row r="1588" spans="24:25" hidden="1" x14ac:dyDescent="0.3">
      <c r="X1588" s="27"/>
      <c r="Y1588" s="27"/>
    </row>
    <row r="1589" spans="24:25" hidden="1" x14ac:dyDescent="0.3">
      <c r="X1589" s="27"/>
      <c r="Y1589" s="27"/>
    </row>
    <row r="1590" spans="24:25" hidden="1" x14ac:dyDescent="0.3">
      <c r="X1590" s="27"/>
      <c r="Y1590" s="27"/>
    </row>
    <row r="1591" spans="24:25" hidden="1" x14ac:dyDescent="0.3">
      <c r="X1591" s="27"/>
      <c r="Y1591" s="27"/>
    </row>
    <row r="1592" spans="24:25" hidden="1" x14ac:dyDescent="0.3">
      <c r="X1592" s="27"/>
      <c r="Y1592" s="27"/>
    </row>
    <row r="1593" spans="24:25" hidden="1" x14ac:dyDescent="0.3">
      <c r="X1593" s="27"/>
      <c r="Y1593" s="27"/>
    </row>
    <row r="1594" spans="24:25" hidden="1" x14ac:dyDescent="0.3">
      <c r="X1594" s="27"/>
      <c r="Y1594" s="27"/>
    </row>
    <row r="1595" spans="24:25" hidden="1" x14ac:dyDescent="0.3">
      <c r="X1595" s="27"/>
      <c r="Y1595" s="27"/>
    </row>
    <row r="1596" spans="24:25" hidden="1" x14ac:dyDescent="0.3">
      <c r="X1596" s="27"/>
      <c r="Y1596" s="27"/>
    </row>
    <row r="1597" spans="24:25" hidden="1" x14ac:dyDescent="0.3">
      <c r="X1597" s="27"/>
      <c r="Y1597" s="27"/>
    </row>
    <row r="1598" spans="24:25" hidden="1" x14ac:dyDescent="0.3">
      <c r="X1598" s="27"/>
      <c r="Y1598" s="27"/>
    </row>
    <row r="1599" spans="24:25" hidden="1" x14ac:dyDescent="0.3">
      <c r="X1599" s="27"/>
      <c r="Y1599" s="27"/>
    </row>
    <row r="1600" spans="24:25" hidden="1" x14ac:dyDescent="0.3">
      <c r="X1600" s="27"/>
      <c r="Y1600" s="27"/>
    </row>
    <row r="1601" spans="24:25" hidden="1" x14ac:dyDescent="0.3">
      <c r="X1601" s="27"/>
      <c r="Y1601" s="27"/>
    </row>
    <row r="1602" spans="24:25" hidden="1" x14ac:dyDescent="0.3">
      <c r="X1602" s="27"/>
      <c r="Y1602" s="27"/>
    </row>
    <row r="1603" spans="24:25" hidden="1" x14ac:dyDescent="0.3">
      <c r="X1603" s="27"/>
      <c r="Y1603" s="27"/>
    </row>
    <row r="1604" spans="24:25" hidden="1" x14ac:dyDescent="0.3">
      <c r="X1604" s="27"/>
      <c r="Y1604" s="27"/>
    </row>
    <row r="1605" spans="24:25" hidden="1" x14ac:dyDescent="0.3">
      <c r="X1605" s="27"/>
      <c r="Y1605" s="27"/>
    </row>
    <row r="1606" spans="24:25" hidden="1" x14ac:dyDescent="0.3">
      <c r="X1606" s="27"/>
      <c r="Y1606" s="27"/>
    </row>
    <row r="1607" spans="24:25" hidden="1" x14ac:dyDescent="0.3">
      <c r="X1607" s="27"/>
      <c r="Y1607" s="27"/>
    </row>
    <row r="1608" spans="24:25" hidden="1" x14ac:dyDescent="0.3">
      <c r="X1608" s="27"/>
      <c r="Y1608" s="27"/>
    </row>
    <row r="1609" spans="24:25" hidden="1" x14ac:dyDescent="0.3">
      <c r="X1609" s="27"/>
      <c r="Y1609" s="27"/>
    </row>
    <row r="1610" spans="24:25" hidden="1" x14ac:dyDescent="0.3">
      <c r="X1610" s="27"/>
      <c r="Y1610" s="27"/>
    </row>
    <row r="1611" spans="24:25" hidden="1" x14ac:dyDescent="0.3">
      <c r="X1611" s="27"/>
      <c r="Y1611" s="27"/>
    </row>
    <row r="1612" spans="24:25" hidden="1" x14ac:dyDescent="0.3">
      <c r="X1612" s="27"/>
      <c r="Y1612" s="27"/>
    </row>
    <row r="1613" spans="24:25" hidden="1" x14ac:dyDescent="0.3">
      <c r="X1613" s="27"/>
      <c r="Y1613" s="27"/>
    </row>
    <row r="1614" spans="24:25" hidden="1" x14ac:dyDescent="0.3">
      <c r="X1614" s="27"/>
      <c r="Y1614" s="27"/>
    </row>
    <row r="1615" spans="24:25" hidden="1" x14ac:dyDescent="0.3">
      <c r="X1615" s="27"/>
      <c r="Y1615" s="27"/>
    </row>
    <row r="1616" spans="24:25" hidden="1" x14ac:dyDescent="0.3">
      <c r="X1616" s="27"/>
      <c r="Y1616" s="27"/>
    </row>
    <row r="1617" spans="24:25" hidden="1" x14ac:dyDescent="0.3">
      <c r="X1617" s="27"/>
      <c r="Y1617" s="27"/>
    </row>
    <row r="1618" spans="24:25" hidden="1" x14ac:dyDescent="0.3">
      <c r="X1618" s="27"/>
      <c r="Y1618" s="27"/>
    </row>
    <row r="1619" spans="24:25" hidden="1" x14ac:dyDescent="0.3">
      <c r="X1619" s="27"/>
      <c r="Y1619" s="27"/>
    </row>
    <row r="1620" spans="24:25" hidden="1" x14ac:dyDescent="0.3">
      <c r="X1620" s="27"/>
      <c r="Y1620" s="27"/>
    </row>
    <row r="1621" spans="24:25" hidden="1" x14ac:dyDescent="0.3">
      <c r="X1621" s="27"/>
      <c r="Y1621" s="27"/>
    </row>
    <row r="1622" spans="24:25" hidden="1" x14ac:dyDescent="0.3">
      <c r="X1622" s="27"/>
      <c r="Y1622" s="27"/>
    </row>
    <row r="1623" spans="24:25" hidden="1" x14ac:dyDescent="0.3">
      <c r="X1623" s="27"/>
      <c r="Y1623" s="27"/>
    </row>
    <row r="1624" spans="24:25" hidden="1" x14ac:dyDescent="0.3">
      <c r="X1624" s="27"/>
      <c r="Y1624" s="27"/>
    </row>
    <row r="1625" spans="24:25" hidden="1" x14ac:dyDescent="0.3">
      <c r="X1625" s="27"/>
      <c r="Y1625" s="27"/>
    </row>
    <row r="1626" spans="24:25" hidden="1" x14ac:dyDescent="0.3">
      <c r="X1626" s="27"/>
      <c r="Y1626" s="27"/>
    </row>
    <row r="1627" spans="24:25" hidden="1" x14ac:dyDescent="0.3">
      <c r="X1627" s="27"/>
      <c r="Y1627" s="27"/>
    </row>
    <row r="1628" spans="24:25" hidden="1" x14ac:dyDescent="0.3">
      <c r="X1628" s="27"/>
      <c r="Y1628" s="27"/>
    </row>
    <row r="1629" spans="24:25" hidden="1" x14ac:dyDescent="0.3">
      <c r="X1629" s="27"/>
      <c r="Y1629" s="27"/>
    </row>
    <row r="1630" spans="24:25" hidden="1" x14ac:dyDescent="0.3">
      <c r="X1630" s="27"/>
      <c r="Y1630" s="27"/>
    </row>
    <row r="1631" spans="24:25" hidden="1" x14ac:dyDescent="0.3">
      <c r="X1631" s="27"/>
      <c r="Y1631" s="27"/>
    </row>
    <row r="1632" spans="24:25" hidden="1" x14ac:dyDescent="0.3">
      <c r="X1632" s="27"/>
      <c r="Y1632" s="27"/>
    </row>
    <row r="1633" spans="24:25" hidden="1" x14ac:dyDescent="0.3">
      <c r="X1633" s="27"/>
      <c r="Y1633" s="27"/>
    </row>
    <row r="1634" spans="24:25" hidden="1" x14ac:dyDescent="0.3">
      <c r="X1634" s="27"/>
      <c r="Y1634" s="27"/>
    </row>
    <row r="1635" spans="24:25" hidden="1" x14ac:dyDescent="0.3">
      <c r="X1635" s="27"/>
      <c r="Y1635" s="27"/>
    </row>
    <row r="1636" spans="24:25" hidden="1" x14ac:dyDescent="0.3">
      <c r="X1636" s="27"/>
      <c r="Y1636" s="27"/>
    </row>
    <row r="1637" spans="24:25" hidden="1" x14ac:dyDescent="0.3">
      <c r="X1637" s="27"/>
      <c r="Y1637" s="27"/>
    </row>
    <row r="1638" spans="24:25" hidden="1" x14ac:dyDescent="0.3">
      <c r="X1638" s="27"/>
      <c r="Y1638" s="27"/>
    </row>
    <row r="1639" spans="24:25" hidden="1" x14ac:dyDescent="0.3">
      <c r="X1639" s="27"/>
      <c r="Y1639" s="27"/>
    </row>
    <row r="1640" spans="24:25" hidden="1" x14ac:dyDescent="0.3">
      <c r="X1640" s="27"/>
      <c r="Y1640" s="27"/>
    </row>
    <row r="1641" spans="24:25" hidden="1" x14ac:dyDescent="0.3">
      <c r="X1641" s="27"/>
      <c r="Y1641" s="27"/>
    </row>
    <row r="1642" spans="24:25" hidden="1" x14ac:dyDescent="0.3">
      <c r="X1642" s="27"/>
      <c r="Y1642" s="27"/>
    </row>
    <row r="1643" spans="24:25" hidden="1" x14ac:dyDescent="0.3">
      <c r="X1643" s="27"/>
      <c r="Y1643" s="27"/>
    </row>
    <row r="1644" spans="24:25" hidden="1" x14ac:dyDescent="0.3">
      <c r="X1644" s="27"/>
      <c r="Y1644" s="27"/>
    </row>
    <row r="1645" spans="24:25" hidden="1" x14ac:dyDescent="0.3">
      <c r="X1645" s="27"/>
      <c r="Y1645" s="27"/>
    </row>
    <row r="1646" spans="24:25" hidden="1" x14ac:dyDescent="0.3">
      <c r="X1646" s="27"/>
      <c r="Y1646" s="27"/>
    </row>
    <row r="1647" spans="24:25" hidden="1" x14ac:dyDescent="0.3">
      <c r="X1647" s="27"/>
      <c r="Y1647" s="27"/>
    </row>
    <row r="1648" spans="24:25" hidden="1" x14ac:dyDescent="0.3">
      <c r="X1648" s="27"/>
      <c r="Y1648" s="27"/>
    </row>
    <row r="1649" spans="24:25" hidden="1" x14ac:dyDescent="0.3">
      <c r="X1649" s="27"/>
      <c r="Y1649" s="27"/>
    </row>
    <row r="1650" spans="24:25" hidden="1" x14ac:dyDescent="0.3">
      <c r="X1650" s="27"/>
      <c r="Y1650" s="27"/>
    </row>
    <row r="1651" spans="24:25" hidden="1" x14ac:dyDescent="0.3">
      <c r="X1651" s="27"/>
      <c r="Y1651" s="27"/>
    </row>
    <row r="1652" spans="24:25" hidden="1" x14ac:dyDescent="0.3">
      <c r="X1652" s="27"/>
      <c r="Y1652" s="27"/>
    </row>
    <row r="1653" spans="24:25" hidden="1" x14ac:dyDescent="0.3">
      <c r="X1653" s="27"/>
      <c r="Y1653" s="27"/>
    </row>
    <row r="1654" spans="24:25" hidden="1" x14ac:dyDescent="0.3">
      <c r="X1654" s="27"/>
      <c r="Y1654" s="27"/>
    </row>
    <row r="1655" spans="24:25" hidden="1" x14ac:dyDescent="0.3">
      <c r="X1655" s="27"/>
      <c r="Y1655" s="27"/>
    </row>
    <row r="1656" spans="24:25" hidden="1" x14ac:dyDescent="0.3">
      <c r="X1656" s="27"/>
      <c r="Y1656" s="27"/>
    </row>
    <row r="1657" spans="24:25" hidden="1" x14ac:dyDescent="0.3">
      <c r="X1657" s="27"/>
      <c r="Y1657" s="27"/>
    </row>
    <row r="1658" spans="24:25" hidden="1" x14ac:dyDescent="0.3">
      <c r="X1658" s="27"/>
      <c r="Y1658" s="27"/>
    </row>
    <row r="1659" spans="24:25" hidden="1" x14ac:dyDescent="0.3">
      <c r="X1659" s="27"/>
      <c r="Y1659" s="27"/>
    </row>
    <row r="1660" spans="24:25" hidden="1" x14ac:dyDescent="0.3">
      <c r="X1660" s="27"/>
      <c r="Y1660" s="27"/>
    </row>
    <row r="1661" spans="24:25" hidden="1" x14ac:dyDescent="0.3">
      <c r="X1661" s="27"/>
      <c r="Y1661" s="27"/>
    </row>
    <row r="1662" spans="24:25" hidden="1" x14ac:dyDescent="0.3">
      <c r="X1662" s="27"/>
      <c r="Y1662" s="27"/>
    </row>
    <row r="1663" spans="24:25" hidden="1" x14ac:dyDescent="0.3">
      <c r="X1663" s="27"/>
      <c r="Y1663" s="27"/>
    </row>
    <row r="1664" spans="24:25" hidden="1" x14ac:dyDescent="0.3">
      <c r="X1664" s="27"/>
      <c r="Y1664" s="27"/>
    </row>
    <row r="1665" spans="24:25" hidden="1" x14ac:dyDescent="0.3">
      <c r="X1665" s="27"/>
      <c r="Y1665" s="27"/>
    </row>
    <row r="1666" spans="24:25" hidden="1" x14ac:dyDescent="0.3">
      <c r="X1666" s="27"/>
      <c r="Y1666" s="27"/>
    </row>
    <row r="1667" spans="24:25" hidden="1" x14ac:dyDescent="0.3">
      <c r="X1667" s="27"/>
      <c r="Y1667" s="27"/>
    </row>
    <row r="1668" spans="24:25" hidden="1" x14ac:dyDescent="0.3">
      <c r="X1668" s="27"/>
      <c r="Y1668" s="27"/>
    </row>
    <row r="1669" spans="24:25" hidden="1" x14ac:dyDescent="0.3">
      <c r="X1669" s="27"/>
      <c r="Y1669" s="27"/>
    </row>
    <row r="1670" spans="24:25" hidden="1" x14ac:dyDescent="0.3">
      <c r="X1670" s="27"/>
      <c r="Y1670" s="27"/>
    </row>
    <row r="1671" spans="24:25" hidden="1" x14ac:dyDescent="0.3">
      <c r="X1671" s="27"/>
      <c r="Y1671" s="27"/>
    </row>
    <row r="1672" spans="24:25" hidden="1" x14ac:dyDescent="0.3">
      <c r="X1672" s="27"/>
      <c r="Y1672" s="27"/>
    </row>
    <row r="1673" spans="24:25" hidden="1" x14ac:dyDescent="0.3">
      <c r="X1673" s="27"/>
      <c r="Y1673" s="27"/>
    </row>
    <row r="1674" spans="24:25" hidden="1" x14ac:dyDescent="0.3">
      <c r="X1674" s="27"/>
      <c r="Y1674" s="27"/>
    </row>
    <row r="1675" spans="24:25" hidden="1" x14ac:dyDescent="0.3">
      <c r="X1675" s="27"/>
      <c r="Y1675" s="27"/>
    </row>
    <row r="1676" spans="24:25" hidden="1" x14ac:dyDescent="0.3">
      <c r="X1676" s="27"/>
      <c r="Y1676" s="27"/>
    </row>
    <row r="1677" spans="24:25" hidden="1" x14ac:dyDescent="0.3">
      <c r="X1677" s="27"/>
      <c r="Y1677" s="27"/>
    </row>
    <row r="1678" spans="24:25" hidden="1" x14ac:dyDescent="0.3">
      <c r="X1678" s="27"/>
      <c r="Y1678" s="27"/>
    </row>
    <row r="1679" spans="24:25" hidden="1" x14ac:dyDescent="0.3">
      <c r="X1679" s="27"/>
      <c r="Y1679" s="27"/>
    </row>
    <row r="1680" spans="24:25" hidden="1" x14ac:dyDescent="0.3">
      <c r="X1680" s="27"/>
      <c r="Y1680" s="27"/>
    </row>
    <row r="1681" spans="24:25" hidden="1" x14ac:dyDescent="0.3">
      <c r="X1681" s="27"/>
      <c r="Y1681" s="27"/>
    </row>
    <row r="1682" spans="24:25" hidden="1" x14ac:dyDescent="0.3">
      <c r="X1682" s="27"/>
      <c r="Y1682" s="27"/>
    </row>
    <row r="1683" spans="24:25" hidden="1" x14ac:dyDescent="0.3">
      <c r="X1683" s="27"/>
      <c r="Y1683" s="27"/>
    </row>
    <row r="1684" spans="24:25" hidden="1" x14ac:dyDescent="0.3">
      <c r="X1684" s="27"/>
      <c r="Y1684" s="27"/>
    </row>
    <row r="1685" spans="24:25" hidden="1" x14ac:dyDescent="0.3">
      <c r="X1685" s="27"/>
      <c r="Y1685" s="27"/>
    </row>
    <row r="1686" spans="24:25" hidden="1" x14ac:dyDescent="0.3">
      <c r="X1686" s="27"/>
      <c r="Y1686" s="27"/>
    </row>
    <row r="1687" spans="24:25" hidden="1" x14ac:dyDescent="0.3">
      <c r="X1687" s="27"/>
      <c r="Y1687" s="27"/>
    </row>
    <row r="1688" spans="24:25" hidden="1" x14ac:dyDescent="0.3">
      <c r="X1688" s="27"/>
      <c r="Y1688" s="27"/>
    </row>
    <row r="1689" spans="24:25" hidden="1" x14ac:dyDescent="0.3">
      <c r="X1689" s="27"/>
      <c r="Y1689" s="27"/>
    </row>
    <row r="1690" spans="24:25" hidden="1" x14ac:dyDescent="0.3">
      <c r="X1690" s="27"/>
      <c r="Y1690" s="27"/>
    </row>
    <row r="1691" spans="24:25" hidden="1" x14ac:dyDescent="0.3">
      <c r="X1691" s="27"/>
      <c r="Y1691" s="27"/>
    </row>
    <row r="1692" spans="24:25" hidden="1" x14ac:dyDescent="0.3">
      <c r="X1692" s="27"/>
      <c r="Y1692" s="27"/>
    </row>
    <row r="1693" spans="24:25" hidden="1" x14ac:dyDescent="0.3">
      <c r="X1693" s="27"/>
      <c r="Y1693" s="27"/>
    </row>
    <row r="1694" spans="24:25" hidden="1" x14ac:dyDescent="0.3">
      <c r="X1694" s="27"/>
      <c r="Y1694" s="27"/>
    </row>
    <row r="1695" spans="24:25" hidden="1" x14ac:dyDescent="0.3">
      <c r="X1695" s="27"/>
      <c r="Y1695" s="27"/>
    </row>
    <row r="1696" spans="24:25" hidden="1" x14ac:dyDescent="0.3">
      <c r="X1696" s="27"/>
      <c r="Y1696" s="27"/>
    </row>
    <row r="1697" spans="24:25" hidden="1" x14ac:dyDescent="0.3">
      <c r="X1697" s="27"/>
      <c r="Y1697" s="27"/>
    </row>
    <row r="1698" spans="24:25" hidden="1" x14ac:dyDescent="0.3">
      <c r="X1698" s="27"/>
      <c r="Y1698" s="27"/>
    </row>
    <row r="1699" spans="24:25" hidden="1" x14ac:dyDescent="0.3">
      <c r="X1699" s="27"/>
      <c r="Y1699" s="27"/>
    </row>
    <row r="1700" spans="24:25" hidden="1" x14ac:dyDescent="0.3">
      <c r="X1700" s="27"/>
      <c r="Y1700" s="27"/>
    </row>
    <row r="1701" spans="24:25" hidden="1" x14ac:dyDescent="0.3">
      <c r="X1701" s="27"/>
      <c r="Y1701" s="27"/>
    </row>
    <row r="1702" spans="24:25" hidden="1" x14ac:dyDescent="0.3">
      <c r="X1702" s="27"/>
      <c r="Y1702" s="27"/>
    </row>
    <row r="1703" spans="24:25" hidden="1" x14ac:dyDescent="0.3">
      <c r="X1703" s="27"/>
      <c r="Y1703" s="27"/>
    </row>
    <row r="1704" spans="24:25" hidden="1" x14ac:dyDescent="0.3">
      <c r="X1704" s="27"/>
      <c r="Y1704" s="27"/>
    </row>
    <row r="1705" spans="24:25" hidden="1" x14ac:dyDescent="0.3">
      <c r="X1705" s="27"/>
      <c r="Y1705" s="27"/>
    </row>
    <row r="1706" spans="24:25" hidden="1" x14ac:dyDescent="0.3">
      <c r="X1706" s="27"/>
      <c r="Y1706" s="27"/>
    </row>
    <row r="1707" spans="24:25" hidden="1" x14ac:dyDescent="0.3">
      <c r="X1707" s="27"/>
      <c r="Y1707" s="27"/>
    </row>
    <row r="1708" spans="24:25" hidden="1" x14ac:dyDescent="0.3">
      <c r="X1708" s="27"/>
      <c r="Y1708" s="27"/>
    </row>
    <row r="1709" spans="24:25" hidden="1" x14ac:dyDescent="0.3">
      <c r="X1709" s="27"/>
      <c r="Y1709" s="27"/>
    </row>
    <row r="1710" spans="24:25" hidden="1" x14ac:dyDescent="0.3">
      <c r="X1710" s="27"/>
      <c r="Y1710" s="27"/>
    </row>
    <row r="1711" spans="24:25" hidden="1" x14ac:dyDescent="0.3">
      <c r="X1711" s="27"/>
      <c r="Y1711" s="27"/>
    </row>
    <row r="1712" spans="24:25" hidden="1" x14ac:dyDescent="0.3">
      <c r="X1712" s="27"/>
      <c r="Y1712" s="27"/>
    </row>
    <row r="1713" spans="24:25" hidden="1" x14ac:dyDescent="0.3">
      <c r="X1713" s="27"/>
      <c r="Y1713" s="27"/>
    </row>
    <row r="1714" spans="24:25" hidden="1" x14ac:dyDescent="0.3">
      <c r="X1714" s="27"/>
      <c r="Y1714" s="27"/>
    </row>
    <row r="1715" spans="24:25" hidden="1" x14ac:dyDescent="0.3">
      <c r="X1715" s="27"/>
      <c r="Y1715" s="27"/>
    </row>
    <row r="1716" spans="24:25" hidden="1" x14ac:dyDescent="0.3">
      <c r="X1716" s="27"/>
      <c r="Y1716" s="27"/>
    </row>
    <row r="1717" spans="24:25" hidden="1" x14ac:dyDescent="0.3">
      <c r="X1717" s="27"/>
      <c r="Y1717" s="27"/>
    </row>
    <row r="1718" spans="24:25" hidden="1" x14ac:dyDescent="0.3">
      <c r="X1718" s="27"/>
      <c r="Y1718" s="27"/>
    </row>
    <row r="1719" spans="24:25" hidden="1" x14ac:dyDescent="0.3">
      <c r="X1719" s="27"/>
      <c r="Y1719" s="27"/>
    </row>
    <row r="1720" spans="24:25" hidden="1" x14ac:dyDescent="0.3">
      <c r="X1720" s="27"/>
      <c r="Y1720" s="27"/>
    </row>
    <row r="1721" spans="24:25" hidden="1" x14ac:dyDescent="0.3">
      <c r="X1721" s="27"/>
      <c r="Y1721" s="27"/>
    </row>
    <row r="1722" spans="24:25" hidden="1" x14ac:dyDescent="0.3">
      <c r="X1722" s="27"/>
      <c r="Y1722" s="27"/>
    </row>
    <row r="1723" spans="24:25" hidden="1" x14ac:dyDescent="0.3">
      <c r="X1723" s="27"/>
      <c r="Y1723" s="27"/>
    </row>
    <row r="1724" spans="24:25" hidden="1" x14ac:dyDescent="0.3">
      <c r="X1724" s="27"/>
      <c r="Y1724" s="27"/>
    </row>
    <row r="1725" spans="24:25" hidden="1" x14ac:dyDescent="0.3">
      <c r="X1725" s="27"/>
      <c r="Y1725" s="27"/>
    </row>
    <row r="1726" spans="24:25" hidden="1" x14ac:dyDescent="0.3">
      <c r="X1726" s="27"/>
      <c r="Y1726" s="27"/>
    </row>
    <row r="1727" spans="24:25" hidden="1" x14ac:dyDescent="0.3">
      <c r="X1727" s="27"/>
      <c r="Y1727" s="27"/>
    </row>
    <row r="1728" spans="24:25" hidden="1" x14ac:dyDescent="0.3">
      <c r="X1728" s="27"/>
      <c r="Y1728" s="27"/>
    </row>
    <row r="1729" spans="24:25" hidden="1" x14ac:dyDescent="0.3">
      <c r="X1729" s="27"/>
      <c r="Y1729" s="27"/>
    </row>
    <row r="1730" spans="24:25" hidden="1" x14ac:dyDescent="0.3">
      <c r="X1730" s="27"/>
      <c r="Y1730" s="27"/>
    </row>
    <row r="1731" spans="24:25" hidden="1" x14ac:dyDescent="0.3">
      <c r="X1731" s="27"/>
      <c r="Y1731" s="27"/>
    </row>
    <row r="1732" spans="24:25" hidden="1" x14ac:dyDescent="0.3">
      <c r="X1732" s="27"/>
      <c r="Y1732" s="27"/>
    </row>
    <row r="1733" spans="24:25" hidden="1" x14ac:dyDescent="0.3">
      <c r="X1733" s="27"/>
      <c r="Y1733" s="27"/>
    </row>
    <row r="1734" spans="24:25" hidden="1" x14ac:dyDescent="0.3">
      <c r="X1734" s="27"/>
      <c r="Y1734" s="27"/>
    </row>
    <row r="1735" spans="24:25" hidden="1" x14ac:dyDescent="0.3">
      <c r="X1735" s="27"/>
      <c r="Y1735" s="27"/>
    </row>
    <row r="1736" spans="24:25" hidden="1" x14ac:dyDescent="0.3">
      <c r="X1736" s="27"/>
      <c r="Y1736" s="27"/>
    </row>
    <row r="1737" spans="24:25" hidden="1" x14ac:dyDescent="0.3">
      <c r="X1737" s="27"/>
      <c r="Y1737" s="27"/>
    </row>
    <row r="1738" spans="24:25" hidden="1" x14ac:dyDescent="0.3">
      <c r="X1738" s="27"/>
      <c r="Y1738" s="27"/>
    </row>
    <row r="1739" spans="24:25" hidden="1" x14ac:dyDescent="0.3">
      <c r="X1739" s="27"/>
      <c r="Y1739" s="27"/>
    </row>
    <row r="1740" spans="24:25" hidden="1" x14ac:dyDescent="0.3">
      <c r="X1740" s="27"/>
      <c r="Y1740" s="27"/>
    </row>
    <row r="1741" spans="24:25" hidden="1" x14ac:dyDescent="0.3">
      <c r="X1741" s="27"/>
      <c r="Y1741" s="27"/>
    </row>
    <row r="1742" spans="24:25" hidden="1" x14ac:dyDescent="0.3">
      <c r="X1742" s="27"/>
      <c r="Y1742" s="27"/>
    </row>
    <row r="1743" spans="24:25" hidden="1" x14ac:dyDescent="0.3">
      <c r="X1743" s="27"/>
      <c r="Y1743" s="27"/>
    </row>
    <row r="1744" spans="24:25" hidden="1" x14ac:dyDescent="0.3">
      <c r="X1744" s="27"/>
      <c r="Y1744" s="27"/>
    </row>
    <row r="1745" spans="24:25" hidden="1" x14ac:dyDescent="0.3">
      <c r="X1745" s="27"/>
      <c r="Y1745" s="27"/>
    </row>
    <row r="1746" spans="24:25" hidden="1" x14ac:dyDescent="0.3">
      <c r="X1746" s="27"/>
      <c r="Y1746" s="27"/>
    </row>
    <row r="1747" spans="24:25" hidden="1" x14ac:dyDescent="0.3">
      <c r="X1747" s="27"/>
      <c r="Y1747" s="27"/>
    </row>
    <row r="1748" spans="24:25" hidden="1" x14ac:dyDescent="0.3">
      <c r="X1748" s="27"/>
      <c r="Y1748" s="27"/>
    </row>
    <row r="1749" spans="24:25" hidden="1" x14ac:dyDescent="0.3">
      <c r="X1749" s="27"/>
      <c r="Y1749" s="27"/>
    </row>
    <row r="1750" spans="24:25" hidden="1" x14ac:dyDescent="0.3">
      <c r="X1750" s="27"/>
      <c r="Y1750" s="27"/>
    </row>
    <row r="1751" spans="24:25" hidden="1" x14ac:dyDescent="0.3">
      <c r="X1751" s="27"/>
      <c r="Y1751" s="27"/>
    </row>
    <row r="1752" spans="24:25" hidden="1" x14ac:dyDescent="0.3">
      <c r="X1752" s="27"/>
      <c r="Y1752" s="27"/>
    </row>
    <row r="1753" spans="24:25" hidden="1" x14ac:dyDescent="0.3">
      <c r="X1753" s="27"/>
      <c r="Y1753" s="27"/>
    </row>
    <row r="1754" spans="24:25" hidden="1" x14ac:dyDescent="0.3">
      <c r="X1754" s="27"/>
      <c r="Y1754" s="27"/>
    </row>
    <row r="1755" spans="24:25" hidden="1" x14ac:dyDescent="0.3">
      <c r="X1755" s="27"/>
      <c r="Y1755" s="27"/>
    </row>
    <row r="1756" spans="24:25" hidden="1" x14ac:dyDescent="0.3">
      <c r="X1756" s="27"/>
      <c r="Y1756" s="27"/>
    </row>
    <row r="1757" spans="24:25" hidden="1" x14ac:dyDescent="0.3">
      <c r="X1757" s="27"/>
      <c r="Y1757" s="27"/>
    </row>
    <row r="1758" spans="24:25" hidden="1" x14ac:dyDescent="0.3">
      <c r="X1758" s="27"/>
      <c r="Y1758" s="27"/>
    </row>
    <row r="1759" spans="24:25" hidden="1" x14ac:dyDescent="0.3">
      <c r="X1759" s="27"/>
      <c r="Y1759" s="27"/>
    </row>
    <row r="1760" spans="24:25" hidden="1" x14ac:dyDescent="0.3">
      <c r="X1760" s="27"/>
      <c r="Y1760" s="27"/>
    </row>
    <row r="1761" spans="24:25" hidden="1" x14ac:dyDescent="0.3">
      <c r="X1761" s="27"/>
      <c r="Y1761" s="27"/>
    </row>
    <row r="1762" spans="24:25" hidden="1" x14ac:dyDescent="0.3">
      <c r="X1762" s="27"/>
      <c r="Y1762" s="27"/>
    </row>
    <row r="1763" spans="24:25" hidden="1" x14ac:dyDescent="0.3">
      <c r="X1763" s="27"/>
      <c r="Y1763" s="27"/>
    </row>
    <row r="1764" spans="24:25" hidden="1" x14ac:dyDescent="0.3">
      <c r="X1764" s="27"/>
      <c r="Y1764" s="27"/>
    </row>
    <row r="1765" spans="24:25" hidden="1" x14ac:dyDescent="0.3">
      <c r="X1765" s="27"/>
      <c r="Y1765" s="27"/>
    </row>
    <row r="1766" spans="24:25" hidden="1" x14ac:dyDescent="0.3">
      <c r="X1766" s="27"/>
      <c r="Y1766" s="27"/>
    </row>
    <row r="1767" spans="24:25" hidden="1" x14ac:dyDescent="0.3">
      <c r="X1767" s="27"/>
      <c r="Y1767" s="27"/>
    </row>
    <row r="1768" spans="24:25" hidden="1" x14ac:dyDescent="0.3">
      <c r="X1768" s="27"/>
      <c r="Y1768" s="27"/>
    </row>
    <row r="1769" spans="24:25" hidden="1" x14ac:dyDescent="0.3">
      <c r="X1769" s="27"/>
      <c r="Y1769" s="27"/>
    </row>
    <row r="1770" spans="24:25" hidden="1" x14ac:dyDescent="0.3">
      <c r="X1770" s="27"/>
      <c r="Y1770" s="27"/>
    </row>
    <row r="1771" spans="24:25" hidden="1" x14ac:dyDescent="0.3">
      <c r="X1771" s="27"/>
      <c r="Y1771" s="27"/>
    </row>
    <row r="1772" spans="24:25" hidden="1" x14ac:dyDescent="0.3">
      <c r="X1772" s="27"/>
      <c r="Y1772" s="27"/>
    </row>
    <row r="1773" spans="24:25" hidden="1" x14ac:dyDescent="0.3">
      <c r="X1773" s="27"/>
      <c r="Y1773" s="27"/>
    </row>
    <row r="1774" spans="24:25" hidden="1" x14ac:dyDescent="0.3">
      <c r="X1774" s="27"/>
      <c r="Y1774" s="27"/>
    </row>
    <row r="1775" spans="24:25" hidden="1" x14ac:dyDescent="0.3">
      <c r="X1775" s="27"/>
      <c r="Y1775" s="27"/>
    </row>
    <row r="1776" spans="24:25" hidden="1" x14ac:dyDescent="0.3">
      <c r="X1776" s="27"/>
      <c r="Y1776" s="27"/>
    </row>
    <row r="1777" spans="24:25" hidden="1" x14ac:dyDescent="0.3">
      <c r="X1777" s="27"/>
      <c r="Y1777" s="27"/>
    </row>
    <row r="1778" spans="24:25" hidden="1" x14ac:dyDescent="0.3">
      <c r="X1778" s="27"/>
      <c r="Y1778" s="27"/>
    </row>
    <row r="1779" spans="24:25" hidden="1" x14ac:dyDescent="0.3">
      <c r="X1779" s="27"/>
      <c r="Y1779" s="27"/>
    </row>
    <row r="1780" spans="24:25" hidden="1" x14ac:dyDescent="0.3">
      <c r="X1780" s="27"/>
      <c r="Y1780" s="27"/>
    </row>
    <row r="1781" spans="24:25" hidden="1" x14ac:dyDescent="0.3">
      <c r="X1781" s="27"/>
      <c r="Y1781" s="27"/>
    </row>
    <row r="1782" spans="24:25" hidden="1" x14ac:dyDescent="0.3">
      <c r="X1782" s="27"/>
      <c r="Y1782" s="27"/>
    </row>
    <row r="1783" spans="24:25" hidden="1" x14ac:dyDescent="0.3">
      <c r="X1783" s="27"/>
      <c r="Y1783" s="27"/>
    </row>
    <row r="1784" spans="24:25" hidden="1" x14ac:dyDescent="0.3">
      <c r="X1784" s="27"/>
      <c r="Y1784" s="27"/>
    </row>
    <row r="1785" spans="24:25" hidden="1" x14ac:dyDescent="0.3">
      <c r="X1785" s="27"/>
      <c r="Y1785" s="27"/>
    </row>
    <row r="1786" spans="24:25" hidden="1" x14ac:dyDescent="0.3">
      <c r="X1786" s="27"/>
      <c r="Y1786" s="27"/>
    </row>
    <row r="1787" spans="24:25" hidden="1" x14ac:dyDescent="0.3">
      <c r="X1787" s="27"/>
      <c r="Y1787" s="27"/>
    </row>
    <row r="1788" spans="24:25" hidden="1" x14ac:dyDescent="0.3">
      <c r="X1788" s="27"/>
      <c r="Y1788" s="27"/>
    </row>
    <row r="1789" spans="24:25" hidden="1" x14ac:dyDescent="0.3">
      <c r="X1789" s="27"/>
      <c r="Y1789" s="27"/>
    </row>
    <row r="1790" spans="24:25" hidden="1" x14ac:dyDescent="0.3">
      <c r="X1790" s="27"/>
      <c r="Y1790" s="27"/>
    </row>
    <row r="1791" spans="24:25" hidden="1" x14ac:dyDescent="0.3">
      <c r="X1791" s="27"/>
      <c r="Y1791" s="27"/>
    </row>
    <row r="1792" spans="24:25" hidden="1" x14ac:dyDescent="0.3">
      <c r="X1792" s="27"/>
      <c r="Y1792" s="27"/>
    </row>
    <row r="1793" spans="24:25" hidden="1" x14ac:dyDescent="0.3">
      <c r="X1793" s="27"/>
      <c r="Y1793" s="27"/>
    </row>
    <row r="1794" spans="24:25" hidden="1" x14ac:dyDescent="0.3">
      <c r="X1794" s="27"/>
      <c r="Y1794" s="27"/>
    </row>
    <row r="1795" spans="24:25" hidden="1" x14ac:dyDescent="0.3">
      <c r="X1795" s="27"/>
      <c r="Y1795" s="27"/>
    </row>
    <row r="1796" spans="24:25" hidden="1" x14ac:dyDescent="0.3">
      <c r="X1796" s="27"/>
      <c r="Y1796" s="27"/>
    </row>
    <row r="1797" spans="24:25" hidden="1" x14ac:dyDescent="0.3">
      <c r="X1797" s="27"/>
      <c r="Y1797" s="27"/>
    </row>
    <row r="1798" spans="24:25" hidden="1" x14ac:dyDescent="0.3">
      <c r="X1798" s="27"/>
      <c r="Y1798" s="27"/>
    </row>
    <row r="1799" spans="24:25" hidden="1" x14ac:dyDescent="0.3">
      <c r="X1799" s="27"/>
      <c r="Y1799" s="27"/>
    </row>
    <row r="1800" spans="24:25" hidden="1" x14ac:dyDescent="0.3">
      <c r="X1800" s="27"/>
      <c r="Y1800" s="27"/>
    </row>
    <row r="1801" spans="24:25" hidden="1" x14ac:dyDescent="0.3">
      <c r="X1801" s="27"/>
      <c r="Y1801" s="27"/>
    </row>
    <row r="1802" spans="24:25" hidden="1" x14ac:dyDescent="0.3">
      <c r="X1802" s="27"/>
      <c r="Y1802" s="27"/>
    </row>
    <row r="1803" spans="24:25" hidden="1" x14ac:dyDescent="0.3">
      <c r="X1803" s="27"/>
      <c r="Y1803" s="27"/>
    </row>
    <row r="1804" spans="24:25" hidden="1" x14ac:dyDescent="0.3">
      <c r="X1804" s="27"/>
      <c r="Y1804" s="27"/>
    </row>
    <row r="1805" spans="24:25" hidden="1" x14ac:dyDescent="0.3">
      <c r="X1805" s="27"/>
      <c r="Y1805" s="27"/>
    </row>
    <row r="1806" spans="24:25" hidden="1" x14ac:dyDescent="0.3">
      <c r="X1806" s="27"/>
      <c r="Y1806" s="27"/>
    </row>
    <row r="1807" spans="24:25" hidden="1" x14ac:dyDescent="0.3">
      <c r="X1807" s="27"/>
      <c r="Y1807" s="27"/>
    </row>
    <row r="1808" spans="24:25" hidden="1" x14ac:dyDescent="0.3">
      <c r="X1808" s="27"/>
      <c r="Y1808" s="27"/>
    </row>
    <row r="1809" spans="24:25" hidden="1" x14ac:dyDescent="0.3">
      <c r="X1809" s="27"/>
      <c r="Y1809" s="27"/>
    </row>
    <row r="1810" spans="24:25" hidden="1" x14ac:dyDescent="0.3">
      <c r="X1810" s="27"/>
      <c r="Y1810" s="27"/>
    </row>
    <row r="1811" spans="24:25" hidden="1" x14ac:dyDescent="0.3">
      <c r="X1811" s="27"/>
      <c r="Y1811" s="27"/>
    </row>
    <row r="1812" spans="24:25" hidden="1" x14ac:dyDescent="0.3">
      <c r="X1812" s="27"/>
      <c r="Y1812" s="27"/>
    </row>
    <row r="1813" spans="24:25" hidden="1" x14ac:dyDescent="0.3">
      <c r="X1813" s="27"/>
      <c r="Y1813" s="27"/>
    </row>
    <row r="1814" spans="24:25" hidden="1" x14ac:dyDescent="0.3">
      <c r="X1814" s="27"/>
      <c r="Y1814" s="27"/>
    </row>
    <row r="1815" spans="24:25" hidden="1" x14ac:dyDescent="0.3">
      <c r="X1815" s="27"/>
      <c r="Y1815" s="27"/>
    </row>
    <row r="1816" spans="24:25" hidden="1" x14ac:dyDescent="0.3">
      <c r="X1816" s="27"/>
      <c r="Y1816" s="27"/>
    </row>
    <row r="1817" spans="24:25" hidden="1" x14ac:dyDescent="0.3">
      <c r="X1817" s="27"/>
      <c r="Y1817" s="27"/>
    </row>
    <row r="1818" spans="24:25" hidden="1" x14ac:dyDescent="0.3">
      <c r="X1818" s="27"/>
      <c r="Y1818" s="27"/>
    </row>
    <row r="1819" spans="24:25" hidden="1" x14ac:dyDescent="0.3">
      <c r="X1819" s="27"/>
      <c r="Y1819" s="27"/>
    </row>
    <row r="1820" spans="24:25" hidden="1" x14ac:dyDescent="0.3">
      <c r="X1820" s="27"/>
      <c r="Y1820" s="27"/>
    </row>
    <row r="1821" spans="24:25" hidden="1" x14ac:dyDescent="0.3">
      <c r="X1821" s="27"/>
      <c r="Y1821" s="27"/>
    </row>
    <row r="1822" spans="24:25" hidden="1" x14ac:dyDescent="0.3">
      <c r="X1822" s="27"/>
      <c r="Y1822" s="27"/>
    </row>
    <row r="1823" spans="24:25" hidden="1" x14ac:dyDescent="0.3">
      <c r="X1823" s="27"/>
      <c r="Y1823" s="27"/>
    </row>
    <row r="1824" spans="24:25" hidden="1" x14ac:dyDescent="0.3">
      <c r="X1824" s="27"/>
      <c r="Y1824" s="27"/>
    </row>
    <row r="1825" spans="24:25" hidden="1" x14ac:dyDescent="0.3">
      <c r="X1825" s="27"/>
      <c r="Y1825" s="27"/>
    </row>
    <row r="1826" spans="24:25" hidden="1" x14ac:dyDescent="0.3">
      <c r="X1826" s="27"/>
      <c r="Y1826" s="27"/>
    </row>
    <row r="1827" spans="24:25" hidden="1" x14ac:dyDescent="0.3">
      <c r="X1827" s="27"/>
      <c r="Y1827" s="27"/>
    </row>
    <row r="1828" spans="24:25" hidden="1" x14ac:dyDescent="0.3">
      <c r="X1828" s="27"/>
      <c r="Y1828" s="27"/>
    </row>
    <row r="1829" spans="24:25" hidden="1" x14ac:dyDescent="0.3">
      <c r="X1829" s="27"/>
      <c r="Y1829" s="27"/>
    </row>
    <row r="1830" spans="24:25" hidden="1" x14ac:dyDescent="0.3">
      <c r="X1830" s="27"/>
      <c r="Y1830" s="27"/>
    </row>
    <row r="1831" spans="24:25" hidden="1" x14ac:dyDescent="0.3">
      <c r="X1831" s="27"/>
      <c r="Y1831" s="27"/>
    </row>
    <row r="1832" spans="24:25" hidden="1" x14ac:dyDescent="0.3">
      <c r="X1832" s="27"/>
      <c r="Y1832" s="27"/>
    </row>
    <row r="1833" spans="24:25" hidden="1" x14ac:dyDescent="0.3">
      <c r="X1833" s="27"/>
      <c r="Y1833" s="27"/>
    </row>
    <row r="1834" spans="24:25" hidden="1" x14ac:dyDescent="0.3">
      <c r="X1834" s="27"/>
      <c r="Y1834" s="27"/>
    </row>
    <row r="1835" spans="24:25" hidden="1" x14ac:dyDescent="0.3">
      <c r="X1835" s="27"/>
      <c r="Y1835" s="27"/>
    </row>
    <row r="1836" spans="24:25" hidden="1" x14ac:dyDescent="0.3">
      <c r="X1836" s="27"/>
      <c r="Y1836" s="27"/>
    </row>
    <row r="1837" spans="24:25" hidden="1" x14ac:dyDescent="0.3">
      <c r="X1837" s="27"/>
      <c r="Y1837" s="27"/>
    </row>
    <row r="1838" spans="24:25" hidden="1" x14ac:dyDescent="0.3">
      <c r="X1838" s="27"/>
      <c r="Y1838" s="27"/>
    </row>
    <row r="1839" spans="24:25" hidden="1" x14ac:dyDescent="0.3">
      <c r="X1839" s="27"/>
      <c r="Y1839" s="27"/>
    </row>
    <row r="1840" spans="24:25" hidden="1" x14ac:dyDescent="0.3">
      <c r="X1840" s="27"/>
      <c r="Y1840" s="27"/>
    </row>
    <row r="1841" spans="24:25" hidden="1" x14ac:dyDescent="0.3">
      <c r="X1841" s="27"/>
      <c r="Y1841" s="27"/>
    </row>
    <row r="1842" spans="24:25" hidden="1" x14ac:dyDescent="0.3">
      <c r="X1842" s="27"/>
      <c r="Y1842" s="27"/>
    </row>
    <row r="1843" spans="24:25" hidden="1" x14ac:dyDescent="0.3">
      <c r="X1843" s="27"/>
      <c r="Y1843" s="27"/>
    </row>
    <row r="1844" spans="24:25" hidden="1" x14ac:dyDescent="0.3">
      <c r="X1844" s="27"/>
      <c r="Y1844" s="27"/>
    </row>
    <row r="1845" spans="24:25" hidden="1" x14ac:dyDescent="0.3">
      <c r="X1845" s="27"/>
      <c r="Y1845" s="27"/>
    </row>
    <row r="1846" spans="24:25" hidden="1" x14ac:dyDescent="0.3">
      <c r="X1846" s="27"/>
      <c r="Y1846" s="27"/>
    </row>
    <row r="1847" spans="24:25" hidden="1" x14ac:dyDescent="0.3">
      <c r="X1847" s="27"/>
      <c r="Y1847" s="27"/>
    </row>
    <row r="1848" spans="24:25" hidden="1" x14ac:dyDescent="0.3">
      <c r="X1848" s="27"/>
      <c r="Y1848" s="27"/>
    </row>
    <row r="1849" spans="24:25" hidden="1" x14ac:dyDescent="0.3">
      <c r="X1849" s="27"/>
      <c r="Y1849" s="27"/>
    </row>
    <row r="1850" spans="24:25" hidden="1" x14ac:dyDescent="0.3">
      <c r="X1850" s="27"/>
      <c r="Y1850" s="27"/>
    </row>
    <row r="1851" spans="24:25" hidden="1" x14ac:dyDescent="0.3">
      <c r="X1851" s="27"/>
      <c r="Y1851" s="27"/>
    </row>
    <row r="1852" spans="24:25" hidden="1" x14ac:dyDescent="0.3">
      <c r="X1852" s="27"/>
      <c r="Y1852" s="27"/>
    </row>
    <row r="1853" spans="24:25" hidden="1" x14ac:dyDescent="0.3">
      <c r="X1853" s="27"/>
      <c r="Y1853" s="27"/>
    </row>
    <row r="1854" spans="24:25" hidden="1" x14ac:dyDescent="0.3">
      <c r="X1854" s="27"/>
      <c r="Y1854" s="27"/>
    </row>
    <row r="1855" spans="24:25" hidden="1" x14ac:dyDescent="0.3">
      <c r="X1855" s="27"/>
      <c r="Y1855" s="27"/>
    </row>
    <row r="1856" spans="24:25" hidden="1" x14ac:dyDescent="0.3">
      <c r="X1856" s="27"/>
      <c r="Y1856" s="27"/>
    </row>
    <row r="1857" spans="24:25" hidden="1" x14ac:dyDescent="0.3">
      <c r="X1857" s="27"/>
      <c r="Y1857" s="27"/>
    </row>
    <row r="1858" spans="24:25" hidden="1" x14ac:dyDescent="0.3">
      <c r="X1858" s="27"/>
      <c r="Y1858" s="27"/>
    </row>
    <row r="1859" spans="24:25" hidden="1" x14ac:dyDescent="0.3">
      <c r="X1859" s="27"/>
      <c r="Y1859" s="27"/>
    </row>
    <row r="1860" spans="24:25" hidden="1" x14ac:dyDescent="0.3">
      <c r="X1860" s="27"/>
      <c r="Y1860" s="27"/>
    </row>
    <row r="1861" spans="24:25" hidden="1" x14ac:dyDescent="0.3">
      <c r="X1861" s="27"/>
      <c r="Y1861" s="27"/>
    </row>
    <row r="1862" spans="24:25" hidden="1" x14ac:dyDescent="0.3">
      <c r="X1862" s="27"/>
      <c r="Y1862" s="27"/>
    </row>
    <row r="1863" spans="24:25" hidden="1" x14ac:dyDescent="0.3">
      <c r="X1863" s="27"/>
      <c r="Y1863" s="27"/>
    </row>
    <row r="1864" spans="24:25" hidden="1" x14ac:dyDescent="0.3">
      <c r="X1864" s="27"/>
      <c r="Y1864" s="27"/>
    </row>
    <row r="1865" spans="24:25" hidden="1" x14ac:dyDescent="0.3">
      <c r="X1865" s="27"/>
      <c r="Y1865" s="27"/>
    </row>
    <row r="1866" spans="24:25" hidden="1" x14ac:dyDescent="0.3">
      <c r="X1866" s="27"/>
      <c r="Y1866" s="27"/>
    </row>
    <row r="1867" spans="24:25" hidden="1" x14ac:dyDescent="0.3">
      <c r="X1867" s="27"/>
      <c r="Y1867" s="27"/>
    </row>
    <row r="1868" spans="24:25" hidden="1" x14ac:dyDescent="0.3">
      <c r="X1868" s="27"/>
      <c r="Y1868" s="27"/>
    </row>
    <row r="1869" spans="24:25" hidden="1" x14ac:dyDescent="0.3">
      <c r="X1869" s="27"/>
      <c r="Y1869" s="27"/>
    </row>
    <row r="1870" spans="24:25" hidden="1" x14ac:dyDescent="0.3">
      <c r="X1870" s="27"/>
      <c r="Y1870" s="27"/>
    </row>
    <row r="1871" spans="24:25" hidden="1" x14ac:dyDescent="0.3">
      <c r="X1871" s="27"/>
      <c r="Y1871" s="27"/>
    </row>
    <row r="1872" spans="24:25" hidden="1" x14ac:dyDescent="0.3">
      <c r="X1872" s="27"/>
      <c r="Y1872" s="27"/>
    </row>
    <row r="1873" spans="24:25" hidden="1" x14ac:dyDescent="0.3">
      <c r="X1873" s="27"/>
      <c r="Y1873" s="27"/>
    </row>
    <row r="1874" spans="24:25" hidden="1" x14ac:dyDescent="0.3">
      <c r="X1874" s="27"/>
      <c r="Y1874" s="27"/>
    </row>
    <row r="1875" spans="24:25" hidden="1" x14ac:dyDescent="0.3">
      <c r="X1875" s="27"/>
      <c r="Y1875" s="27"/>
    </row>
    <row r="1876" spans="24:25" hidden="1" x14ac:dyDescent="0.3">
      <c r="X1876" s="27"/>
      <c r="Y1876" s="27"/>
    </row>
    <row r="1877" spans="24:25" hidden="1" x14ac:dyDescent="0.3">
      <c r="X1877" s="27"/>
      <c r="Y1877" s="27"/>
    </row>
    <row r="1878" spans="24:25" hidden="1" x14ac:dyDescent="0.3">
      <c r="X1878" s="27"/>
      <c r="Y1878" s="27"/>
    </row>
    <row r="1879" spans="24:25" hidden="1" x14ac:dyDescent="0.3">
      <c r="X1879" s="27"/>
      <c r="Y1879" s="27"/>
    </row>
    <row r="1880" spans="24:25" hidden="1" x14ac:dyDescent="0.3">
      <c r="X1880" s="27"/>
      <c r="Y1880" s="27"/>
    </row>
    <row r="1881" spans="24:25" hidden="1" x14ac:dyDescent="0.3">
      <c r="X1881" s="27"/>
      <c r="Y1881" s="27"/>
    </row>
    <row r="1882" spans="24:25" hidden="1" x14ac:dyDescent="0.3">
      <c r="X1882" s="27"/>
      <c r="Y1882" s="27"/>
    </row>
    <row r="1883" spans="24:25" hidden="1" x14ac:dyDescent="0.3">
      <c r="X1883" s="27"/>
      <c r="Y1883" s="27"/>
    </row>
    <row r="1884" spans="24:25" hidden="1" x14ac:dyDescent="0.3">
      <c r="X1884" s="27"/>
      <c r="Y1884" s="27"/>
    </row>
    <row r="1885" spans="24:25" hidden="1" x14ac:dyDescent="0.3">
      <c r="X1885" s="27"/>
      <c r="Y1885" s="27"/>
    </row>
    <row r="1886" spans="24:25" hidden="1" x14ac:dyDescent="0.3">
      <c r="X1886" s="27"/>
      <c r="Y1886" s="27"/>
    </row>
    <row r="1887" spans="24:25" hidden="1" x14ac:dyDescent="0.3">
      <c r="X1887" s="27"/>
      <c r="Y1887" s="27"/>
    </row>
    <row r="1888" spans="24:25" hidden="1" x14ac:dyDescent="0.3">
      <c r="X1888" s="27"/>
      <c r="Y1888" s="27"/>
    </row>
    <row r="1889" spans="24:25" hidden="1" x14ac:dyDescent="0.3">
      <c r="X1889" s="27"/>
      <c r="Y1889" s="27"/>
    </row>
    <row r="1890" spans="24:25" hidden="1" x14ac:dyDescent="0.3">
      <c r="X1890" s="27"/>
      <c r="Y1890" s="27"/>
    </row>
    <row r="1891" spans="24:25" hidden="1" x14ac:dyDescent="0.3">
      <c r="X1891" s="27"/>
      <c r="Y1891" s="27"/>
    </row>
    <row r="1892" spans="24:25" hidden="1" x14ac:dyDescent="0.3">
      <c r="X1892" s="27"/>
      <c r="Y1892" s="27"/>
    </row>
    <row r="1893" spans="24:25" hidden="1" x14ac:dyDescent="0.3">
      <c r="X1893" s="27"/>
      <c r="Y1893" s="27"/>
    </row>
    <row r="1894" spans="24:25" hidden="1" x14ac:dyDescent="0.3">
      <c r="X1894" s="27"/>
      <c r="Y1894" s="27"/>
    </row>
    <row r="1895" spans="24:25" hidden="1" x14ac:dyDescent="0.3">
      <c r="X1895" s="27"/>
      <c r="Y1895" s="27"/>
    </row>
    <row r="1896" spans="24:25" hidden="1" x14ac:dyDescent="0.3">
      <c r="X1896" s="27"/>
      <c r="Y1896" s="27"/>
    </row>
    <row r="1897" spans="24:25" hidden="1" x14ac:dyDescent="0.3">
      <c r="X1897" s="27"/>
      <c r="Y1897" s="27"/>
    </row>
    <row r="1898" spans="24:25" hidden="1" x14ac:dyDescent="0.3">
      <c r="X1898" s="27"/>
      <c r="Y1898" s="27"/>
    </row>
    <row r="1899" spans="24:25" hidden="1" x14ac:dyDescent="0.3">
      <c r="X1899" s="27"/>
      <c r="Y1899" s="27"/>
    </row>
    <row r="1900" spans="24:25" hidden="1" x14ac:dyDescent="0.3">
      <c r="X1900" s="27"/>
      <c r="Y1900" s="27"/>
    </row>
    <row r="1901" spans="24:25" hidden="1" x14ac:dyDescent="0.3">
      <c r="X1901" s="27"/>
      <c r="Y1901" s="27"/>
    </row>
    <row r="1902" spans="24:25" hidden="1" x14ac:dyDescent="0.3">
      <c r="X1902" s="27"/>
      <c r="Y1902" s="27"/>
    </row>
    <row r="1903" spans="24:25" hidden="1" x14ac:dyDescent="0.3">
      <c r="X1903" s="27"/>
      <c r="Y1903" s="27"/>
    </row>
    <row r="1904" spans="24:25" hidden="1" x14ac:dyDescent="0.3">
      <c r="X1904" s="27"/>
      <c r="Y1904" s="27"/>
    </row>
    <row r="1905" spans="24:25" hidden="1" x14ac:dyDescent="0.3">
      <c r="X1905" s="27"/>
      <c r="Y1905" s="27"/>
    </row>
    <row r="1906" spans="24:25" hidden="1" x14ac:dyDescent="0.3">
      <c r="X1906" s="27"/>
      <c r="Y1906" s="27"/>
    </row>
    <row r="1907" spans="24:25" hidden="1" x14ac:dyDescent="0.3">
      <c r="X1907" s="27"/>
      <c r="Y1907" s="27"/>
    </row>
    <row r="1908" spans="24:25" hidden="1" x14ac:dyDescent="0.3">
      <c r="X1908" s="27"/>
      <c r="Y1908" s="27"/>
    </row>
    <row r="1909" spans="24:25" hidden="1" x14ac:dyDescent="0.3">
      <c r="X1909" s="27"/>
      <c r="Y1909" s="27"/>
    </row>
    <row r="1910" spans="24:25" hidden="1" x14ac:dyDescent="0.3">
      <c r="X1910" s="27"/>
      <c r="Y1910" s="27"/>
    </row>
    <row r="1911" spans="24:25" hidden="1" x14ac:dyDescent="0.3">
      <c r="X1911" s="27"/>
      <c r="Y1911" s="27"/>
    </row>
    <row r="1912" spans="24:25" hidden="1" x14ac:dyDescent="0.3">
      <c r="X1912" s="27"/>
      <c r="Y1912" s="27"/>
    </row>
    <row r="1913" spans="24:25" hidden="1" x14ac:dyDescent="0.3">
      <c r="X1913" s="27"/>
      <c r="Y1913" s="27"/>
    </row>
    <row r="1914" spans="24:25" hidden="1" x14ac:dyDescent="0.3">
      <c r="X1914" s="27"/>
      <c r="Y1914" s="27"/>
    </row>
    <row r="1915" spans="24:25" hidden="1" x14ac:dyDescent="0.3">
      <c r="X1915" s="27"/>
      <c r="Y1915" s="27"/>
    </row>
    <row r="1916" spans="24:25" hidden="1" x14ac:dyDescent="0.3">
      <c r="X1916" s="27"/>
      <c r="Y1916" s="27"/>
    </row>
    <row r="1917" spans="24:25" hidden="1" x14ac:dyDescent="0.3">
      <c r="X1917" s="27"/>
      <c r="Y1917" s="27"/>
    </row>
    <row r="1918" spans="24:25" hidden="1" x14ac:dyDescent="0.3">
      <c r="X1918" s="27"/>
      <c r="Y1918" s="27"/>
    </row>
    <row r="1919" spans="24:25" hidden="1" x14ac:dyDescent="0.3">
      <c r="X1919" s="27"/>
      <c r="Y1919" s="27"/>
    </row>
    <row r="1920" spans="24:25" hidden="1" x14ac:dyDescent="0.3">
      <c r="X1920" s="27"/>
      <c r="Y1920" s="27"/>
    </row>
    <row r="1921" spans="24:25" hidden="1" x14ac:dyDescent="0.3">
      <c r="X1921" s="27"/>
      <c r="Y1921" s="27"/>
    </row>
    <row r="1922" spans="24:25" hidden="1" x14ac:dyDescent="0.3">
      <c r="X1922" s="27"/>
      <c r="Y1922" s="27"/>
    </row>
    <row r="1923" spans="24:25" hidden="1" x14ac:dyDescent="0.3">
      <c r="X1923" s="27"/>
      <c r="Y1923" s="27"/>
    </row>
    <row r="1924" spans="24:25" hidden="1" x14ac:dyDescent="0.3">
      <c r="X1924" s="27"/>
      <c r="Y1924" s="27"/>
    </row>
    <row r="1925" spans="24:25" hidden="1" x14ac:dyDescent="0.3">
      <c r="X1925" s="27"/>
      <c r="Y1925" s="27"/>
    </row>
    <row r="1926" spans="24:25" hidden="1" x14ac:dyDescent="0.3">
      <c r="X1926" s="27"/>
      <c r="Y1926" s="27"/>
    </row>
    <row r="1927" spans="24:25" hidden="1" x14ac:dyDescent="0.3">
      <c r="X1927" s="27"/>
      <c r="Y1927" s="27"/>
    </row>
    <row r="1928" spans="24:25" hidden="1" x14ac:dyDescent="0.3">
      <c r="X1928" s="27"/>
      <c r="Y1928" s="27"/>
    </row>
    <row r="1929" spans="24:25" hidden="1" x14ac:dyDescent="0.3">
      <c r="X1929" s="27"/>
      <c r="Y1929" s="27"/>
    </row>
    <row r="1930" spans="24:25" hidden="1" x14ac:dyDescent="0.3">
      <c r="X1930" s="27"/>
      <c r="Y1930" s="27"/>
    </row>
    <row r="1931" spans="24:25" hidden="1" x14ac:dyDescent="0.3">
      <c r="X1931" s="27"/>
      <c r="Y1931" s="27"/>
    </row>
    <row r="1932" spans="24:25" hidden="1" x14ac:dyDescent="0.3">
      <c r="X1932" s="27"/>
      <c r="Y1932" s="27"/>
    </row>
    <row r="1933" spans="24:25" hidden="1" x14ac:dyDescent="0.3">
      <c r="X1933" s="27"/>
      <c r="Y1933" s="27"/>
    </row>
    <row r="1934" spans="24:25" hidden="1" x14ac:dyDescent="0.3">
      <c r="X1934" s="27"/>
      <c r="Y1934" s="27"/>
    </row>
    <row r="1935" spans="24:25" hidden="1" x14ac:dyDescent="0.3">
      <c r="X1935" s="27"/>
      <c r="Y1935" s="27"/>
    </row>
    <row r="1936" spans="24:25" hidden="1" x14ac:dyDescent="0.3">
      <c r="X1936" s="27"/>
      <c r="Y1936" s="27"/>
    </row>
    <row r="1937" spans="24:25" hidden="1" x14ac:dyDescent="0.3">
      <c r="X1937" s="27"/>
      <c r="Y1937" s="27"/>
    </row>
    <row r="1938" spans="24:25" hidden="1" x14ac:dyDescent="0.3">
      <c r="X1938" s="27"/>
      <c r="Y1938" s="27"/>
    </row>
    <row r="1939" spans="24:25" hidden="1" x14ac:dyDescent="0.3">
      <c r="X1939" s="27"/>
      <c r="Y1939" s="27"/>
    </row>
    <row r="1940" spans="24:25" hidden="1" x14ac:dyDescent="0.3">
      <c r="X1940" s="27"/>
      <c r="Y1940" s="27"/>
    </row>
    <row r="1941" spans="24:25" hidden="1" x14ac:dyDescent="0.3">
      <c r="X1941" s="27"/>
      <c r="Y1941" s="27"/>
    </row>
    <row r="1942" spans="24:25" hidden="1" x14ac:dyDescent="0.3">
      <c r="X1942" s="27"/>
      <c r="Y1942" s="27"/>
    </row>
    <row r="1943" spans="24:25" hidden="1" x14ac:dyDescent="0.3">
      <c r="X1943" s="27"/>
      <c r="Y1943" s="27"/>
    </row>
    <row r="1944" spans="24:25" hidden="1" x14ac:dyDescent="0.3">
      <c r="X1944" s="27"/>
      <c r="Y1944" s="27"/>
    </row>
    <row r="1945" spans="24:25" hidden="1" x14ac:dyDescent="0.3">
      <c r="X1945" s="27"/>
      <c r="Y1945" s="27"/>
    </row>
    <row r="1946" spans="24:25" hidden="1" x14ac:dyDescent="0.3">
      <c r="X1946" s="27"/>
      <c r="Y1946" s="27"/>
    </row>
    <row r="1947" spans="24:25" hidden="1" x14ac:dyDescent="0.3">
      <c r="X1947" s="27"/>
      <c r="Y1947" s="27"/>
    </row>
    <row r="1948" spans="24:25" hidden="1" x14ac:dyDescent="0.3">
      <c r="X1948" s="27"/>
      <c r="Y1948" s="27"/>
    </row>
    <row r="1949" spans="24:25" hidden="1" x14ac:dyDescent="0.3">
      <c r="X1949" s="27"/>
      <c r="Y1949" s="27"/>
    </row>
    <row r="1950" spans="24:25" hidden="1" x14ac:dyDescent="0.3">
      <c r="X1950" s="27"/>
      <c r="Y1950" s="27"/>
    </row>
    <row r="1951" spans="24:25" hidden="1" x14ac:dyDescent="0.3">
      <c r="X1951" s="27"/>
      <c r="Y1951" s="27"/>
    </row>
    <row r="1952" spans="24:25" hidden="1" x14ac:dyDescent="0.3">
      <c r="X1952" s="27"/>
      <c r="Y1952" s="27"/>
    </row>
    <row r="1953" spans="24:25" hidden="1" x14ac:dyDescent="0.3">
      <c r="X1953" s="27"/>
      <c r="Y1953" s="27"/>
    </row>
    <row r="1954" spans="24:25" hidden="1" x14ac:dyDescent="0.3">
      <c r="X1954" s="27"/>
      <c r="Y1954" s="27"/>
    </row>
    <row r="1955" spans="24:25" hidden="1" x14ac:dyDescent="0.3">
      <c r="X1955" s="27"/>
      <c r="Y1955" s="27"/>
    </row>
    <row r="1956" spans="24:25" hidden="1" x14ac:dyDescent="0.3">
      <c r="X1956" s="27"/>
      <c r="Y1956" s="27"/>
    </row>
    <row r="1957" spans="24:25" hidden="1" x14ac:dyDescent="0.3">
      <c r="X1957" s="27"/>
      <c r="Y1957" s="27"/>
    </row>
    <row r="1958" spans="24:25" hidden="1" x14ac:dyDescent="0.3">
      <c r="X1958" s="27"/>
      <c r="Y1958" s="27"/>
    </row>
    <row r="1959" spans="24:25" hidden="1" x14ac:dyDescent="0.3">
      <c r="X1959" s="27"/>
      <c r="Y1959" s="27"/>
    </row>
    <row r="1960" spans="24:25" hidden="1" x14ac:dyDescent="0.3">
      <c r="X1960" s="27"/>
      <c r="Y1960" s="27"/>
    </row>
    <row r="1961" spans="24:25" hidden="1" x14ac:dyDescent="0.3">
      <c r="X1961" s="27"/>
      <c r="Y1961" s="27"/>
    </row>
    <row r="1962" spans="24:25" hidden="1" x14ac:dyDescent="0.3">
      <c r="X1962" s="27"/>
      <c r="Y1962" s="27"/>
    </row>
    <row r="1963" spans="24:25" hidden="1" x14ac:dyDescent="0.3">
      <c r="X1963" s="27"/>
      <c r="Y1963" s="27"/>
    </row>
    <row r="1964" spans="24:25" hidden="1" x14ac:dyDescent="0.3">
      <c r="X1964" s="27"/>
      <c r="Y1964" s="27"/>
    </row>
    <row r="1965" spans="24:25" hidden="1" x14ac:dyDescent="0.3">
      <c r="X1965" s="27"/>
      <c r="Y1965" s="27"/>
    </row>
    <row r="1966" spans="24:25" hidden="1" x14ac:dyDescent="0.3">
      <c r="X1966" s="27"/>
      <c r="Y1966" s="27"/>
    </row>
    <row r="1967" spans="24:25" hidden="1" x14ac:dyDescent="0.3">
      <c r="X1967" s="27"/>
      <c r="Y1967" s="27"/>
    </row>
    <row r="1968" spans="24:25" hidden="1" x14ac:dyDescent="0.3">
      <c r="X1968" s="27"/>
      <c r="Y1968" s="27"/>
    </row>
    <row r="1969" spans="24:25" hidden="1" x14ac:dyDescent="0.3">
      <c r="X1969" s="27"/>
      <c r="Y1969" s="27"/>
    </row>
    <row r="1970" spans="24:25" hidden="1" x14ac:dyDescent="0.3">
      <c r="X1970" s="27"/>
      <c r="Y1970" s="27"/>
    </row>
    <row r="1971" spans="24:25" hidden="1" x14ac:dyDescent="0.3">
      <c r="X1971" s="27"/>
      <c r="Y1971" s="27"/>
    </row>
    <row r="1972" spans="24:25" hidden="1" x14ac:dyDescent="0.3">
      <c r="X1972" s="27"/>
      <c r="Y1972" s="27"/>
    </row>
    <row r="1973" spans="24:25" hidden="1" x14ac:dyDescent="0.3">
      <c r="X1973" s="27"/>
      <c r="Y1973" s="27"/>
    </row>
    <row r="1974" spans="24:25" hidden="1" x14ac:dyDescent="0.3">
      <c r="X1974" s="27"/>
      <c r="Y1974" s="27"/>
    </row>
    <row r="1975" spans="24:25" hidden="1" x14ac:dyDescent="0.3">
      <c r="X1975" s="27"/>
      <c r="Y1975" s="27"/>
    </row>
    <row r="1976" spans="24:25" hidden="1" x14ac:dyDescent="0.3">
      <c r="X1976" s="27"/>
      <c r="Y1976" s="27"/>
    </row>
    <row r="1977" spans="24:25" hidden="1" x14ac:dyDescent="0.3">
      <c r="X1977" s="27"/>
      <c r="Y1977" s="27"/>
    </row>
    <row r="1978" spans="24:25" hidden="1" x14ac:dyDescent="0.3">
      <c r="X1978" s="27"/>
      <c r="Y1978" s="27"/>
    </row>
    <row r="1979" spans="24:25" hidden="1" x14ac:dyDescent="0.3">
      <c r="X1979" s="27"/>
      <c r="Y1979" s="27"/>
    </row>
    <row r="1980" spans="24:25" hidden="1" x14ac:dyDescent="0.3">
      <c r="X1980" s="27"/>
      <c r="Y1980" s="27"/>
    </row>
    <row r="1981" spans="24:25" hidden="1" x14ac:dyDescent="0.3">
      <c r="X1981" s="27"/>
      <c r="Y1981" s="27"/>
    </row>
    <row r="1982" spans="24:25" hidden="1" x14ac:dyDescent="0.3">
      <c r="X1982" s="27"/>
      <c r="Y1982" s="27"/>
    </row>
    <row r="1983" spans="24:25" hidden="1" x14ac:dyDescent="0.3">
      <c r="X1983" s="27"/>
      <c r="Y1983" s="27"/>
    </row>
    <row r="1984" spans="24:25" hidden="1" x14ac:dyDescent="0.3">
      <c r="X1984" s="27"/>
      <c r="Y1984" s="27"/>
    </row>
    <row r="1985" spans="24:25" hidden="1" x14ac:dyDescent="0.3">
      <c r="X1985" s="27"/>
      <c r="Y1985" s="27"/>
    </row>
    <row r="1986" spans="24:25" hidden="1" x14ac:dyDescent="0.3">
      <c r="X1986" s="27"/>
      <c r="Y1986" s="27"/>
    </row>
    <row r="1987" spans="24:25" hidden="1" x14ac:dyDescent="0.3">
      <c r="X1987" s="27"/>
      <c r="Y1987" s="27"/>
    </row>
    <row r="1988" spans="24:25" hidden="1" x14ac:dyDescent="0.3">
      <c r="X1988" s="27"/>
      <c r="Y1988" s="27"/>
    </row>
    <row r="1989" spans="24:25" hidden="1" x14ac:dyDescent="0.3">
      <c r="X1989" s="27"/>
      <c r="Y1989" s="27"/>
    </row>
    <row r="1990" spans="24:25" hidden="1" x14ac:dyDescent="0.3">
      <c r="X1990" s="27"/>
      <c r="Y1990" s="27"/>
    </row>
    <row r="1991" spans="24:25" hidden="1" x14ac:dyDescent="0.3">
      <c r="X1991" s="27"/>
      <c r="Y1991" s="27"/>
    </row>
    <row r="1992" spans="24:25" hidden="1" x14ac:dyDescent="0.3">
      <c r="X1992" s="27"/>
      <c r="Y1992" s="27"/>
    </row>
    <row r="1993" spans="24:25" hidden="1" x14ac:dyDescent="0.3">
      <c r="X1993" s="27"/>
      <c r="Y1993" s="27"/>
    </row>
    <row r="1994" spans="24:25" hidden="1" x14ac:dyDescent="0.3">
      <c r="X1994" s="27"/>
      <c r="Y1994" s="27"/>
    </row>
    <row r="1995" spans="24:25" hidden="1" x14ac:dyDescent="0.3">
      <c r="X1995" s="27"/>
      <c r="Y1995" s="27"/>
    </row>
    <row r="1996" spans="24:25" hidden="1" x14ac:dyDescent="0.3">
      <c r="X1996" s="27"/>
      <c r="Y1996" s="27"/>
    </row>
    <row r="1997" spans="24:25" hidden="1" x14ac:dyDescent="0.3">
      <c r="X1997" s="27"/>
      <c r="Y1997" s="27"/>
    </row>
    <row r="1998" spans="24:25" hidden="1" x14ac:dyDescent="0.3">
      <c r="X1998" s="27"/>
      <c r="Y1998" s="27"/>
    </row>
    <row r="1999" spans="24:25" hidden="1" x14ac:dyDescent="0.3">
      <c r="X1999" s="27"/>
      <c r="Y1999" s="27"/>
    </row>
    <row r="2000" spans="24:25" hidden="1" x14ac:dyDescent="0.3">
      <c r="X2000" s="27"/>
      <c r="Y2000" s="27"/>
    </row>
    <row r="2001" spans="24:25" hidden="1" x14ac:dyDescent="0.3">
      <c r="X2001" s="27"/>
      <c r="Y2001" s="27"/>
    </row>
    <row r="2002" spans="24:25" hidden="1" x14ac:dyDescent="0.3">
      <c r="X2002" s="27"/>
      <c r="Y2002" s="27"/>
    </row>
    <row r="2003" spans="24:25" hidden="1" x14ac:dyDescent="0.3">
      <c r="X2003" s="27"/>
      <c r="Y2003" s="27"/>
    </row>
    <row r="2004" spans="24:25" hidden="1" x14ac:dyDescent="0.3">
      <c r="X2004" s="27"/>
      <c r="Y2004" s="27"/>
    </row>
    <row r="2005" spans="24:25" hidden="1" x14ac:dyDescent="0.3">
      <c r="X2005" s="27"/>
      <c r="Y2005" s="27"/>
    </row>
    <row r="2006" spans="24:25" hidden="1" x14ac:dyDescent="0.3">
      <c r="X2006" s="27"/>
      <c r="Y2006" s="27"/>
    </row>
    <row r="2007" spans="24:25" hidden="1" x14ac:dyDescent="0.3">
      <c r="X2007" s="27"/>
      <c r="Y2007" s="27"/>
    </row>
  </sheetData>
  <mergeCells count="6">
    <mergeCell ref="AH2:AL2"/>
    <mergeCell ref="I2:L2"/>
    <mergeCell ref="N2:R2"/>
    <mergeCell ref="S2:U2"/>
    <mergeCell ref="D2:H2"/>
    <mergeCell ref="X2:AG2"/>
  </mergeCells>
  <phoneticPr fontId="4" type="noConversion"/>
  <pageMargins left="0.7" right="0.7" top="0.75" bottom="0.75" header="0.3" footer="0.3"/>
  <pageSetup orientation="portrait" horizontalDpi="300" verticalDpi="300" r:id="rId1"/>
  <legacy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75D15-2C43-44D5-8F4F-B56D1A434A95}">
  <sheetPr codeName="Sheet8"/>
  <dimension ref="B2:U48"/>
  <sheetViews>
    <sheetView topLeftCell="C1" zoomScale="85" zoomScaleNormal="85" workbookViewId="0">
      <selection activeCell="W1" sqref="W1:Z1048576"/>
    </sheetView>
  </sheetViews>
  <sheetFormatPr defaultRowHeight="14.4" x14ac:dyDescent="0.3"/>
  <cols>
    <col min="1" max="1" width="2.6640625" customWidth="1"/>
    <col min="2" max="2" width="28.33203125" bestFit="1" customWidth="1"/>
    <col min="3" max="6" width="6.6640625" customWidth="1"/>
    <col min="7" max="7" width="2.44140625" customWidth="1"/>
    <col min="8" max="8" width="28.44140625" customWidth="1"/>
    <col min="9" max="9" width="28.5546875" customWidth="1"/>
    <col min="10" max="10" width="6.109375" customWidth="1"/>
    <col min="11" max="11" width="2.44140625" customWidth="1"/>
    <col min="12" max="12" width="24.44140625" customWidth="1"/>
    <col min="13" max="13" width="4.6640625" customWidth="1"/>
    <col min="14" max="14" width="2.44140625" customWidth="1"/>
    <col min="15" max="15" width="23.44140625" customWidth="1"/>
    <col min="16" max="16" width="4.5546875" customWidth="1"/>
    <col min="17" max="17" width="2.44140625" customWidth="1"/>
    <col min="18" max="18" width="30.88671875" customWidth="1"/>
  </cols>
  <sheetData>
    <row r="2" spans="2:21" x14ac:dyDescent="0.3">
      <c r="B2" s="6" t="s">
        <v>421</v>
      </c>
      <c r="C2" s="3" t="s">
        <v>1071</v>
      </c>
      <c r="D2" s="3" t="s">
        <v>1072</v>
      </c>
      <c r="E2" s="3" t="s">
        <v>1073</v>
      </c>
      <c r="F2" s="3" t="s">
        <v>1074</v>
      </c>
      <c r="G2" s="3"/>
      <c r="H2" s="3"/>
      <c r="I2" s="6" t="s">
        <v>1075</v>
      </c>
      <c r="J2" s="3">
        <f>SUM(J3:J95)</f>
        <v>593</v>
      </c>
      <c r="K2" s="3"/>
      <c r="L2" s="6" t="s">
        <v>1076</v>
      </c>
      <c r="M2" s="3">
        <f>SUM(M3:M95)</f>
        <v>86</v>
      </c>
      <c r="N2" s="3"/>
      <c r="O2" s="6" t="s">
        <v>1077</v>
      </c>
      <c r="P2" s="3">
        <f>SUM(P3:P95)</f>
        <v>471</v>
      </c>
      <c r="Q2" s="3"/>
      <c r="R2" s="6" t="s">
        <v>1078</v>
      </c>
      <c r="S2" s="6" t="s">
        <v>311</v>
      </c>
      <c r="T2" s="6" t="s">
        <v>312</v>
      </c>
      <c r="U2" s="6" t="s">
        <v>313</v>
      </c>
    </row>
    <row r="3" spans="2:21" x14ac:dyDescent="0.3">
      <c r="B3" t="s">
        <v>329</v>
      </c>
      <c r="C3">
        <f>COUNTIF(LRVs!C:C,'Data Summary'!B3)</f>
        <v>353</v>
      </c>
      <c r="D3">
        <f>COUNTIFS(LRVs!$C:$C,'Data Summary'!$B3,LRVs!$BG:$BG,"Virus")</f>
        <v>159</v>
      </c>
      <c r="E3">
        <f>COUNTIFS(LRVs!$C:$C,'Data Summary'!$B3,LRVs!$BG:$BG,"Protozoa")</f>
        <v>28</v>
      </c>
      <c r="F3">
        <f>COUNTIFS(LRVs!$C:$C,'Data Summary'!$B3,LRVs!$BG:$BG,"Bacteria")</f>
        <v>166</v>
      </c>
      <c r="H3" t="s">
        <v>316</v>
      </c>
      <c r="I3" t="str" cm="1">
        <f t="array" ref="I3:I41">_xlfn._xlws.SORT(_xlfn.UNIQUE(_xlfn._xlws.FILTER(LRV[mo_name],LRV[mo_type]="virus")),1)</f>
        <v>Adenovirus</v>
      </c>
      <c r="J3">
        <f>COUNTIF(LRVs!BH:BH,'Data Summary'!I3)</f>
        <v>41</v>
      </c>
      <c r="L3" t="str" cm="1">
        <f t="array" ref="L3:L8">_xlfn.UNIQUE(_xlfn._xlws.FILTER(LRV[mo_name],LRV[mo_type]="protozoa"))</f>
        <v>Aerobic spores</v>
      </c>
      <c r="M3">
        <f>COUNTIF(LRVs!BH:BH,'Data Summary'!L3)</f>
        <v>27</v>
      </c>
      <c r="O3" t="str" cm="1">
        <f t="array" ref="O3:O23">_xlfn.UNIQUE(_xlfn._xlws.FILTER(LRV[mo_name],LRV[mo_type]="bacteria"))</f>
        <v>Coliform</v>
      </c>
      <c r="P3">
        <f>COUNTIF(LRVs!BH:BH,'Data Summary'!O3)</f>
        <v>27</v>
      </c>
      <c r="R3" t="str" cm="1">
        <f t="array" ref="R3:R48">_xlfn.UNIQUE(LRV[source],FALSE,FALSE)</f>
        <v>Bounty et al. (2012)</v>
      </c>
      <c r="S3">
        <f>COUNTIFS(LRV[source],R3,LRV[mo_type],S$2)</f>
        <v>2</v>
      </c>
      <c r="T3">
        <f>COUNTIFS(LRV[source],R3,LRV[mo_type],T$2)</f>
        <v>0</v>
      </c>
      <c r="U3">
        <f>COUNTIFS(LRV[source],R3,LRV[mo_type],U$2)</f>
        <v>0</v>
      </c>
    </row>
    <row r="4" spans="2:21" x14ac:dyDescent="0.3">
      <c r="B4" t="s">
        <v>330</v>
      </c>
      <c r="C4">
        <f>COUNTIF(LRVs!C:C,'Data Summary'!B4)</f>
        <v>202</v>
      </c>
      <c r="D4">
        <f>COUNTIFS(LRVs!$C:$C,'Data Summary'!$B4,LRVs!$BG:$BG,"Virus")</f>
        <v>143</v>
      </c>
      <c r="E4">
        <f>COUNTIFS(LRVs!$C:$C,'Data Summary'!$B4,LRVs!$BG:$BG,"Protozoa")</f>
        <v>13</v>
      </c>
      <c r="F4">
        <f>COUNTIFS(LRVs!$C:$C,'Data Summary'!$B4,LRVs!$BG:$BG,"Bacteria")</f>
        <v>46</v>
      </c>
      <c r="H4" t="s">
        <v>749</v>
      </c>
      <c r="I4" t="str">
        <v>Adenovirus 2</v>
      </c>
      <c r="J4">
        <f>COUNTIF(LRVs!BH:BH,'Data Summary'!I4)</f>
        <v>44</v>
      </c>
      <c r="L4" t="str">
        <v>Clostridium perfringens</v>
      </c>
      <c r="M4">
        <f>COUNTIF(LRVs!BH:BH,'Data Summary'!L4)</f>
        <v>21</v>
      </c>
      <c r="O4" t="str">
        <v>Total coliform</v>
      </c>
      <c r="P4">
        <f>COUNTIF(LRVs!BH:BH,'Data Summary'!O4)</f>
        <v>60</v>
      </c>
      <c r="R4" t="str">
        <v>Linden et al. (2012)</v>
      </c>
      <c r="S4">
        <f>COUNTIFS(LRV[source],R4,LRV[mo_type],S$2)</f>
        <v>63</v>
      </c>
      <c r="T4">
        <f>COUNTIFS(LRV[source],R4,LRV[mo_type],T$2)</f>
        <v>32</v>
      </c>
      <c r="U4">
        <f>COUNTIFS(LRV[source],R4,LRV[mo_type],U$2)</f>
        <v>27</v>
      </c>
    </row>
    <row r="5" spans="2:21" x14ac:dyDescent="0.3">
      <c r="B5" t="s">
        <v>6</v>
      </c>
      <c r="C5">
        <f>COUNTIF(LRVs!C:C,'Data Summary'!B5)</f>
        <v>140</v>
      </c>
      <c r="D5">
        <f>COUNTIFS(LRVs!$C:$C,'Data Summary'!$B5,LRVs!$BG:$BG,"Virus")</f>
        <v>83</v>
      </c>
      <c r="E5">
        <f>COUNTIFS(LRVs!$C:$C,'Data Summary'!$B5,LRVs!$BG:$BG,"Protozoa")</f>
        <v>2</v>
      </c>
      <c r="F5">
        <f>COUNTIFS(LRVs!$C:$C,'Data Summary'!$B5,LRVs!$BG:$BG,"Bacteria")</f>
        <v>55</v>
      </c>
      <c r="H5" t="s">
        <v>791</v>
      </c>
      <c r="I5" t="str">
        <v>Adenovirus-A</v>
      </c>
      <c r="J5">
        <f>COUNTIF(LRVs!BH:BH,'Data Summary'!I5)</f>
        <v>7</v>
      </c>
      <c r="L5" t="str">
        <v>Giardia</v>
      </c>
      <c r="M5">
        <f>COUNTIF(LRVs!BH:BH,'Data Summary'!L5)</f>
        <v>17</v>
      </c>
      <c r="O5" t="str">
        <v>Escherichia coli</v>
      </c>
      <c r="P5">
        <f>COUNTIF(LRVs!BH:BH,'Data Summary'!O5)</f>
        <v>116</v>
      </c>
      <c r="R5" t="str">
        <v>Petterson et al. (2016)</v>
      </c>
      <c r="S5">
        <f>COUNTIFS(LRV[source],R5,LRV[mo_type],S$2)</f>
        <v>7</v>
      </c>
      <c r="T5">
        <f>COUNTIFS(LRV[source],R5,LRV[mo_type],T$2)</f>
        <v>10</v>
      </c>
      <c r="U5">
        <f>COUNTIFS(LRV[source],R5,LRV[mo_type],U$2)</f>
        <v>7</v>
      </c>
    </row>
    <row r="6" spans="2:21" x14ac:dyDescent="0.3">
      <c r="B6" t="s">
        <v>335</v>
      </c>
      <c r="C6">
        <f>COUNTIF(LRVs!C:C,'Data Summary'!B6)</f>
        <v>64</v>
      </c>
      <c r="D6">
        <f>COUNTIFS(LRVs!$C:$C,'Data Summary'!$B6,LRVs!$BG:$BG,"Virus")</f>
        <v>30</v>
      </c>
      <c r="E6">
        <f>COUNTIFS(LRVs!$C:$C,'Data Summary'!$B6,LRVs!$BG:$BG,"Protozoa")</f>
        <v>14</v>
      </c>
      <c r="F6">
        <f>COUNTIFS(LRVs!$C:$C,'Data Summary'!$B6,LRVs!$BG:$BG,"Bacteria")</f>
        <v>20</v>
      </c>
      <c r="H6" t="s">
        <v>793</v>
      </c>
      <c r="I6" t="str">
        <v>Adenovirus-C</v>
      </c>
      <c r="J6">
        <f>COUNTIF(LRVs!BH:BH,'Data Summary'!I6)</f>
        <v>8</v>
      </c>
      <c r="L6" t="str">
        <v>Cryptosporidium</v>
      </c>
      <c r="M6">
        <f>COUNTIF(LRVs!BH:BH,'Data Summary'!L6)</f>
        <v>7</v>
      </c>
      <c r="O6" t="str">
        <v>Yeast</v>
      </c>
      <c r="P6">
        <f>COUNTIF(LRVs!BH:BH,'Data Summary'!O6)</f>
        <v>6</v>
      </c>
      <c r="R6" t="str">
        <v>Davies et al. (2008)</v>
      </c>
      <c r="S6">
        <f>COUNTIFS(LRV[source],R6,LRV[mo_type],S$2)</f>
        <v>6</v>
      </c>
      <c r="T6">
        <f>COUNTIFS(LRV[source],R6,LRV[mo_type],T$2)</f>
        <v>12</v>
      </c>
      <c r="U6">
        <f>COUNTIFS(LRV[source],R6,LRV[mo_type],U$2)</f>
        <v>0</v>
      </c>
    </row>
    <row r="7" spans="2:21" x14ac:dyDescent="0.3">
      <c r="B7" t="s">
        <v>341</v>
      </c>
      <c r="C7">
        <f>COUNTIF(LRVs!C:C,'Data Summary'!B7)</f>
        <v>57</v>
      </c>
      <c r="D7">
        <f>COUNTIFS(LRVs!$C:$C,'Data Summary'!$B7,LRVs!$BG:$BG,"Virus")</f>
        <v>28</v>
      </c>
      <c r="E7">
        <f>COUNTIFS(LRVs!$C:$C,'Data Summary'!$B7,LRVs!$BG:$BG,"Protozoa")</f>
        <v>12</v>
      </c>
      <c r="F7">
        <f>COUNTIFS(LRVs!$C:$C,'Data Summary'!$B7,LRVs!$BG:$BG,"Bacteria")</f>
        <v>17</v>
      </c>
      <c r="H7" t="s">
        <v>794</v>
      </c>
      <c r="I7" t="str">
        <v>Adenovirus-F</v>
      </c>
      <c r="J7">
        <f>COUNTIF(LRVs!BH:BH,'Data Summary'!I7)</f>
        <v>8</v>
      </c>
      <c r="L7" t="str">
        <v>Giardia lamblia</v>
      </c>
      <c r="M7">
        <f>COUNTIF(LRVs!BH:BH,'Data Summary'!L7)</f>
        <v>6</v>
      </c>
      <c r="O7" t="str">
        <v>Bacillus</v>
      </c>
      <c r="P7">
        <f>COUNTIF(LRVs!BH:BH,'Data Summary'!O7)</f>
        <v>1</v>
      </c>
      <c r="R7" t="str">
        <v>Sun et al. (2016)</v>
      </c>
      <c r="S7">
        <f>COUNTIFS(LRV[source],R7,LRV[mo_type],S$2)</f>
        <v>2</v>
      </c>
      <c r="T7">
        <f>COUNTIFS(LRV[source],R7,LRV[mo_type],T$2)</f>
        <v>5</v>
      </c>
      <c r="U7">
        <f>COUNTIFS(LRV[source],R7,LRV[mo_type],U$2)</f>
        <v>0</v>
      </c>
    </row>
    <row r="8" spans="2:21" x14ac:dyDescent="0.3">
      <c r="B8" t="s">
        <v>348</v>
      </c>
      <c r="C8">
        <f>COUNTIF(LRVs!C:C,'Data Summary'!B8)</f>
        <v>42</v>
      </c>
      <c r="D8">
        <f>COUNTIFS(LRVs!$C:$C,'Data Summary'!$B8,LRVs!$BG:$BG,"Virus")</f>
        <v>42</v>
      </c>
      <c r="E8">
        <f>COUNTIFS(LRVs!$C:$C,'Data Summary'!$B8,LRVs!$BG:$BG,"Protozoa")</f>
        <v>0</v>
      </c>
      <c r="F8">
        <f>COUNTIFS(LRVs!$C:$C,'Data Summary'!$B8,LRVs!$BG:$BG,"Bacteria")</f>
        <v>0</v>
      </c>
      <c r="H8" t="s">
        <v>738</v>
      </c>
      <c r="I8" t="str">
        <v>Astrovirus</v>
      </c>
      <c r="J8">
        <f>COUNTIF(LRVs!BH:BH,'Data Summary'!I8)</f>
        <v>3</v>
      </c>
      <c r="L8" t="str">
        <v>Giardia muris</v>
      </c>
      <c r="M8">
        <f>COUNTIF(LRVs!BH:BH,'Data Summary'!L8)</f>
        <v>8</v>
      </c>
      <c r="O8" t="str">
        <v>Fecal coliform</v>
      </c>
      <c r="P8">
        <f>COUNTIF(LRVs!BH:BH,'Data Summary'!O8)</f>
        <v>66</v>
      </c>
      <c r="R8" t="str">
        <v xml:space="preserve">Madaeni et al. (1995) </v>
      </c>
      <c r="S8">
        <f>COUNTIFS(LRV[source],R8,LRV[mo_type],S$2)</f>
        <v>12</v>
      </c>
      <c r="T8">
        <f>COUNTIFS(LRV[source],R8,LRV[mo_type],T$2)</f>
        <v>0</v>
      </c>
      <c r="U8">
        <f>COUNTIFS(LRV[source],R8,LRV[mo_type],U$2)</f>
        <v>0</v>
      </c>
    </row>
    <row r="9" spans="2:21" x14ac:dyDescent="0.3">
      <c r="B9" t="s">
        <v>340</v>
      </c>
      <c r="C9">
        <f>COUNTIF(LRVs!C:C,'Data Summary'!B9)</f>
        <v>39</v>
      </c>
      <c r="D9">
        <f>COUNTIFS(LRVs!$C:$C,'Data Summary'!$B9,LRVs!$BG:$BG,"Virus")</f>
        <v>16</v>
      </c>
      <c r="E9">
        <f>COUNTIFS(LRVs!$C:$C,'Data Summary'!$B9,LRVs!$BG:$BG,"Protozoa")</f>
        <v>0</v>
      </c>
      <c r="F9">
        <f>COUNTIFS(LRVs!$C:$C,'Data Summary'!$B9,LRVs!$BG:$BG,"Bacteria")</f>
        <v>23</v>
      </c>
      <c r="H9" t="s">
        <v>624</v>
      </c>
      <c r="I9" t="str">
        <v>Coliphage</v>
      </c>
      <c r="J9">
        <f>COUNTIF(LRVs!BH:BH,'Data Summary'!I9)</f>
        <v>11</v>
      </c>
      <c r="O9" t="str">
        <v>Heterotrophic plate count</v>
      </c>
      <c r="P9">
        <f>COUNTIF(LRVs!BH:BH,'Data Summary'!O9)</f>
        <v>3</v>
      </c>
      <c r="R9" t="str">
        <v>Simmons &amp; Xagoraraki (2011)</v>
      </c>
      <c r="S9">
        <f>COUNTIFS(LRV[source],R9,LRV[mo_type],S$2)</f>
        <v>7</v>
      </c>
      <c r="T9">
        <f>COUNTIFS(LRV[source],R9,LRV[mo_type],T$2)</f>
        <v>0</v>
      </c>
      <c r="U9">
        <f>COUNTIFS(LRV[source],R9,LRV[mo_type],U$2)</f>
        <v>0</v>
      </c>
    </row>
    <row r="10" spans="2:21" x14ac:dyDescent="0.3">
      <c r="B10" t="s">
        <v>333</v>
      </c>
      <c r="C10">
        <f>COUNTIF(LRVs!C:C,'Data Summary'!B10)</f>
        <v>38</v>
      </c>
      <c r="D10">
        <f>COUNTIFS(LRVs!$C:$C,'Data Summary'!$B10,LRVs!$BG:$BG,"Virus")</f>
        <v>23</v>
      </c>
      <c r="E10">
        <f>COUNTIFS(LRVs!$C:$C,'Data Summary'!$B10,LRVs!$BG:$BG,"Protozoa")</f>
        <v>3</v>
      </c>
      <c r="F10">
        <f>COUNTIFS(LRVs!$C:$C,'Data Summary'!$B10,LRVs!$BG:$BG,"Bacteria")</f>
        <v>12</v>
      </c>
      <c r="H10" t="s">
        <v>608</v>
      </c>
      <c r="I10" t="str">
        <v>Coxsackievirus</v>
      </c>
      <c r="J10">
        <f>COUNTIF(LRVs!BH:BH,'Data Summary'!I10)</f>
        <v>63</v>
      </c>
      <c r="O10" t="str">
        <v>Enterococci</v>
      </c>
      <c r="P10">
        <f>COUNTIF(LRVs!BH:BH,'Data Summary'!O10)</f>
        <v>79</v>
      </c>
      <c r="R10" t="str">
        <v>Rose et al. (1996)</v>
      </c>
      <c r="S10">
        <f>COUNTIFS(LRV[source],R10,LRV[mo_type],S$2)</f>
        <v>16</v>
      </c>
      <c r="T10">
        <f>COUNTIFS(LRV[source],R10,LRV[mo_type],T$2)</f>
        <v>11</v>
      </c>
      <c r="U10">
        <f>COUNTIFS(LRV[source],R10,LRV[mo_type],U$2)</f>
        <v>8</v>
      </c>
    </row>
    <row r="11" spans="2:21" x14ac:dyDescent="0.3">
      <c r="B11" t="s">
        <v>346</v>
      </c>
      <c r="C11">
        <f>COUNTIF(LRVs!C:C,'Data Summary'!B11)</f>
        <v>30</v>
      </c>
      <c r="D11">
        <f>COUNTIFS(LRVs!$C:$C,'Data Summary'!$B11,LRVs!$BG:$BG,"Virus")</f>
        <v>8</v>
      </c>
      <c r="E11">
        <f>COUNTIFS(LRVs!$C:$C,'Data Summary'!$B11,LRVs!$BG:$BG,"Protozoa")</f>
        <v>8</v>
      </c>
      <c r="F11">
        <f>COUNTIFS(LRVs!$C:$C,'Data Summary'!$B11,LRVs!$BG:$BG,"Bacteria")</f>
        <v>14</v>
      </c>
      <c r="H11" t="s">
        <v>747</v>
      </c>
      <c r="I11" t="str">
        <v>Coxsackievirus B3</v>
      </c>
      <c r="J11">
        <f>COUNTIF(LRVs!BH:BH,'Data Summary'!I11)</f>
        <v>4</v>
      </c>
      <c r="O11" t="str">
        <v>Enterococcus faecalis</v>
      </c>
      <c r="P11">
        <f>COUNTIF(LRVs!BH:BH,'Data Summary'!O11)</f>
        <v>26</v>
      </c>
      <c r="R11" t="str">
        <v>Wickramanayake et al. (1985)</v>
      </c>
      <c r="S11">
        <f>COUNTIFS(LRV[source],R11,LRV[mo_type],S$2)</f>
        <v>0</v>
      </c>
      <c r="T11">
        <f>COUNTIFS(LRV[source],R11,LRV[mo_type],T$2)</f>
        <v>0</v>
      </c>
      <c r="U11">
        <f>COUNTIFS(LRV[source],R11,LRV[mo_type],U$2)</f>
        <v>14</v>
      </c>
    </row>
    <row r="12" spans="2:21" x14ac:dyDescent="0.3">
      <c r="B12" t="s">
        <v>337</v>
      </c>
      <c r="C12">
        <f>COUNTIF(LRVs!C:C,'Data Summary'!B12)</f>
        <v>26</v>
      </c>
      <c r="D12">
        <f>COUNTIFS(LRVs!$C:$C,'Data Summary'!$B12,LRVs!$BG:$BG,"Virus")</f>
        <v>6</v>
      </c>
      <c r="E12">
        <f>COUNTIFS(LRVs!$C:$C,'Data Summary'!$B12,LRVs!$BG:$BG,"Protozoa")</f>
        <v>0</v>
      </c>
      <c r="F12">
        <f>COUNTIFS(LRVs!$C:$C,'Data Summary'!$B12,LRVs!$BG:$BG,"Bacteria")</f>
        <v>20</v>
      </c>
      <c r="H12" t="s">
        <v>746</v>
      </c>
      <c r="I12" t="str">
        <v>Coxsackievirus B5</v>
      </c>
      <c r="J12">
        <f>COUNTIF(LRVs!BH:BH,'Data Summary'!I12)</f>
        <v>8</v>
      </c>
      <c r="O12" t="str">
        <v>Salmonella enteritidis</v>
      </c>
      <c r="P12">
        <f>COUNTIF(LRVs!BH:BH,'Data Summary'!O12)</f>
        <v>19</v>
      </c>
      <c r="R12" t="str">
        <v>Qiu et al. (2015)</v>
      </c>
      <c r="S12">
        <f>COUNTIFS(LRV[source],R12,LRV[mo_type],S$2)</f>
        <v>22</v>
      </c>
      <c r="T12">
        <f>COUNTIFS(LRV[source],R12,LRV[mo_type],T$2)</f>
        <v>0</v>
      </c>
      <c r="U12">
        <f>COUNTIFS(LRV[source],R12,LRV[mo_type],U$2)</f>
        <v>0</v>
      </c>
    </row>
    <row r="13" spans="2:21" x14ac:dyDescent="0.3">
      <c r="B13" t="s">
        <v>334</v>
      </c>
      <c r="C13">
        <f>COUNTIF(LRVs!C:C,'Data Summary'!B13)</f>
        <v>23</v>
      </c>
      <c r="D13">
        <f>COUNTIFS(LRVs!$C:$C,'Data Summary'!$B13,LRVs!$BG:$BG,"Virus")</f>
        <v>5</v>
      </c>
      <c r="E13">
        <f>COUNTIFS(LRVs!$C:$C,'Data Summary'!$B13,LRVs!$BG:$BG,"Protozoa")</f>
        <v>0</v>
      </c>
      <c r="F13">
        <f>COUNTIFS(LRVs!$C:$C,'Data Summary'!$B13,LRVs!$BG:$BG,"Bacteria")</f>
        <v>18</v>
      </c>
      <c r="H13" t="s">
        <v>742</v>
      </c>
      <c r="I13" t="str">
        <v>Echovirus 1</v>
      </c>
      <c r="J13">
        <f>COUNTIF(LRVs!BH:BH,'Data Summary'!I13)</f>
        <v>4</v>
      </c>
      <c r="O13" t="str">
        <v>Fecal streptococci</v>
      </c>
      <c r="P13">
        <f>COUNTIF(LRVs!BH:BH,'Data Summary'!O13)</f>
        <v>3</v>
      </c>
      <c r="R13" t="str">
        <v>Gerba et al. (2002)</v>
      </c>
      <c r="S13">
        <f>COUNTIFS(LRV[source],R13,LRV[mo_type],S$2)</f>
        <v>24</v>
      </c>
      <c r="T13">
        <f>COUNTIFS(LRV[source],R13,LRV[mo_type],T$2)</f>
        <v>0</v>
      </c>
      <c r="U13">
        <f>COUNTIFS(LRV[source],R13,LRV[mo_type],U$2)</f>
        <v>0</v>
      </c>
    </row>
    <row r="14" spans="2:21" x14ac:dyDescent="0.3">
      <c r="B14" t="s">
        <v>369</v>
      </c>
      <c r="C14">
        <f>COUNTIF(LRVs!C:C,'Data Summary'!B14)</f>
        <v>16</v>
      </c>
      <c r="D14">
        <f>COUNTIFS(LRVs!$C:$C,'Data Summary'!$B14,LRVs!$BG:$BG,"Virus")</f>
        <v>2</v>
      </c>
      <c r="E14">
        <f>COUNTIFS(LRVs!$C:$C,'Data Summary'!$B14,LRVs!$BG:$BG,"Protozoa")</f>
        <v>0</v>
      </c>
      <c r="F14">
        <f>COUNTIFS(LRVs!$C:$C,'Data Summary'!$B14,LRVs!$BG:$BG,"Bacteria")</f>
        <v>14</v>
      </c>
      <c r="H14" t="s">
        <v>745</v>
      </c>
      <c r="I14" t="str">
        <v>Echovirus 2</v>
      </c>
      <c r="J14">
        <f>COUNTIF(LRVs!BH:BH,'Data Summary'!I14)</f>
        <v>4</v>
      </c>
      <c r="O14" t="str">
        <v>Salmonella enterica</v>
      </c>
      <c r="P14">
        <f>COUNTIF(LRVs!BH:BH,'Data Summary'!O14)</f>
        <v>6</v>
      </c>
      <c r="R14" t="str">
        <v>Keegan et al. (2012)</v>
      </c>
      <c r="S14">
        <f>COUNTIFS(LRV[source],R14,LRV[mo_type],S$2)</f>
        <v>93</v>
      </c>
      <c r="T14">
        <f>COUNTIFS(LRV[source],R14,LRV[mo_type],T$2)</f>
        <v>0</v>
      </c>
      <c r="U14">
        <f>COUNTIFS(LRV[source],R14,LRV[mo_type],U$2)</f>
        <v>0</v>
      </c>
    </row>
    <row r="15" spans="2:21" x14ac:dyDescent="0.3">
      <c r="B15" t="s">
        <v>339</v>
      </c>
      <c r="C15">
        <f>COUNTIF(LRVs!C:C,'Data Summary'!B15)</f>
        <v>13</v>
      </c>
      <c r="D15">
        <f>COUNTIFS(LRVs!$C:$C,'Data Summary'!$B15,LRVs!$BG:$BG,"Virus")</f>
        <v>4</v>
      </c>
      <c r="E15">
        <f>COUNTIFS(LRVs!$C:$C,'Data Summary'!$B15,LRVs!$BG:$BG,"Protozoa")</f>
        <v>0</v>
      </c>
      <c r="F15">
        <f>COUNTIFS(LRVs!$C:$C,'Data Summary'!$B15,LRVs!$BG:$BG,"Bacteria")</f>
        <v>9</v>
      </c>
      <c r="H15" t="s">
        <v>779</v>
      </c>
      <c r="I15" t="str">
        <v>Enterovirus</v>
      </c>
      <c r="J15">
        <f>COUNTIF(LRVs!BH:BH,'Data Summary'!I15)</f>
        <v>29</v>
      </c>
      <c r="O15" t="str">
        <v>P. aeruginosa</v>
      </c>
      <c r="P15">
        <f>COUNTIF(LRVs!BH:BH,'Data Summary'!O15)</f>
        <v>11</v>
      </c>
      <c r="R15" t="str">
        <v>Francy et al. (2012)</v>
      </c>
      <c r="S15">
        <f>COUNTIFS(LRV[source],R15,LRV[mo_type],S$2)</f>
        <v>97</v>
      </c>
      <c r="T15">
        <f>COUNTIFS(LRV[source],R15,LRV[mo_type],T$2)</f>
        <v>78</v>
      </c>
      <c r="U15">
        <f>COUNTIFS(LRV[source],R15,LRV[mo_type],U$2)</f>
        <v>0</v>
      </c>
    </row>
    <row r="16" spans="2:21" x14ac:dyDescent="0.3">
      <c r="B16" t="s">
        <v>359</v>
      </c>
      <c r="C16">
        <f>COUNTIF(LRVs!C:C,'Data Summary'!B16)</f>
        <v>13</v>
      </c>
      <c r="D16">
        <f>COUNTIFS(LRVs!$C:$C,'Data Summary'!$B16,LRVs!$BG:$BG,"Virus")</f>
        <v>3</v>
      </c>
      <c r="E16">
        <f>COUNTIFS(LRVs!$C:$C,'Data Summary'!$B16,LRVs!$BG:$BG,"Protozoa")</f>
        <v>0</v>
      </c>
      <c r="F16">
        <f>COUNTIFS(LRVs!$C:$C,'Data Summary'!$B16,LRVs!$BG:$BG,"Bacteria")</f>
        <v>10</v>
      </c>
      <c r="H16" t="s">
        <v>675</v>
      </c>
      <c r="I16" t="str">
        <v>f2</v>
      </c>
      <c r="J16">
        <f>COUNTIF(LRVs!BH:BH,'Data Summary'!I16)</f>
        <v>2</v>
      </c>
      <c r="O16" t="str">
        <v>S. aureus</v>
      </c>
      <c r="P16">
        <f>COUNTIF(LRVs!BH:BH,'Data Summary'!O16)</f>
        <v>9</v>
      </c>
      <c r="R16" t="str">
        <v>Koivunen &amp; Heinonen-Tanksi (2005)</v>
      </c>
      <c r="S16">
        <f>COUNTIFS(LRV[source],R16,LRV[mo_type],S$2)</f>
        <v>18</v>
      </c>
      <c r="T16">
        <f>COUNTIFS(LRV[source],R16,LRV[mo_type],T$2)</f>
        <v>43</v>
      </c>
      <c r="U16">
        <f>COUNTIFS(LRV[source],R16,LRV[mo_type],U$2)</f>
        <v>0</v>
      </c>
    </row>
    <row r="17" spans="2:21" x14ac:dyDescent="0.3">
      <c r="B17" t="s">
        <v>331</v>
      </c>
      <c r="C17">
        <f>COUNTIF(LRVs!C:C,'Data Summary'!B17)</f>
        <v>13</v>
      </c>
      <c r="D17">
        <f>COUNTIFS(LRVs!$C:$C,'Data Summary'!$B17,LRVs!$BG:$BG,"Virus")</f>
        <v>4</v>
      </c>
      <c r="E17">
        <f>COUNTIFS(LRVs!$C:$C,'Data Summary'!$B17,LRVs!$BG:$BG,"Protozoa")</f>
        <v>0</v>
      </c>
      <c r="F17">
        <f>COUNTIFS(LRVs!$C:$C,'Data Summary'!$B17,LRVs!$BG:$BG,"Bacteria")</f>
        <v>9</v>
      </c>
      <c r="H17" t="s">
        <v>830</v>
      </c>
      <c r="I17" t="str">
        <v>F-RNA phage</v>
      </c>
      <c r="J17">
        <f>COUNTIF(LRVs!BH:BH,'Data Summary'!I17)</f>
        <v>16</v>
      </c>
      <c r="O17" t="str">
        <v>Salmonella</v>
      </c>
      <c r="P17">
        <f>COUNTIF(LRVs!BH:BH,'Data Summary'!O17)</f>
        <v>7</v>
      </c>
      <c r="R17" t="str">
        <v>Kuo et al. (2010)</v>
      </c>
      <c r="S17">
        <f>COUNTIFS(LRV[source],R17,LRV[mo_type],S$2)</f>
        <v>23</v>
      </c>
      <c r="T17">
        <f>COUNTIFS(LRV[source],R17,LRV[mo_type],T$2)</f>
        <v>0</v>
      </c>
      <c r="U17">
        <f>COUNTIFS(LRV[source],R17,LRV[mo_type],U$2)</f>
        <v>0</v>
      </c>
    </row>
    <row r="18" spans="2:21" x14ac:dyDescent="0.3">
      <c r="B18" t="s">
        <v>353</v>
      </c>
      <c r="C18">
        <f>COUNTIF(LRVs!C:C,'Data Summary'!B18)</f>
        <v>12</v>
      </c>
      <c r="D18">
        <f>COUNTIFS(LRVs!$C:$C,'Data Summary'!$B18,LRVs!$BG:$BG,"Virus")</f>
        <v>5</v>
      </c>
      <c r="E18">
        <f>COUNTIFS(LRVs!$C:$C,'Data Summary'!$B18,LRVs!$BG:$BG,"Protozoa")</f>
        <v>0</v>
      </c>
      <c r="F18">
        <f>COUNTIFS(LRVs!$C:$C,'Data Summary'!$B18,LRVs!$BG:$BG,"Bacteria")</f>
        <v>7</v>
      </c>
      <c r="H18" t="s">
        <v>763</v>
      </c>
      <c r="I18" t="str">
        <v>F-specific coliphage</v>
      </c>
      <c r="J18">
        <f>COUNTIF(LRVs!BH:BH,'Data Summary'!I18)</f>
        <v>35</v>
      </c>
      <c r="O18" t="str">
        <v>Campylobacter</v>
      </c>
      <c r="P18">
        <f>COUNTIF(LRVs!BH:BH,'Data Summary'!O18)</f>
        <v>7</v>
      </c>
      <c r="R18" t="str">
        <v>Ueda &amp; Horan (2000)</v>
      </c>
      <c r="S18">
        <f>COUNTIFS(LRV[source],R18,LRV[mo_type],S$2)</f>
        <v>4</v>
      </c>
      <c r="T18">
        <f>COUNTIFS(LRV[source],R18,LRV[mo_type],T$2)</f>
        <v>6</v>
      </c>
      <c r="U18">
        <f>COUNTIFS(LRV[source],R18,LRV[mo_type],U$2)</f>
        <v>0</v>
      </c>
    </row>
    <row r="19" spans="2:21" x14ac:dyDescent="0.3">
      <c r="B19" t="s">
        <v>357</v>
      </c>
      <c r="C19">
        <f>COUNTIF(LRVs!C:C,'Data Summary'!B19)</f>
        <v>11</v>
      </c>
      <c r="D19">
        <f>COUNTIFS(LRVs!$C:$C,'Data Summary'!$B19,LRVs!$BG:$BG,"Virus")</f>
        <v>6</v>
      </c>
      <c r="E19">
        <f>COUNTIFS(LRVs!$C:$C,'Data Summary'!$B19,LRVs!$BG:$BG,"Protozoa")</f>
        <v>2</v>
      </c>
      <c r="F19">
        <f>COUNTIFS(LRVs!$C:$C,'Data Summary'!$B19,LRVs!$BG:$BG,"Bacteria")</f>
        <v>3</v>
      </c>
      <c r="H19" t="s">
        <v>780</v>
      </c>
      <c r="I19" t="str">
        <v>GB124 phage</v>
      </c>
      <c r="J19">
        <f>COUNTIF(LRVs!BH:BH,'Data Summary'!I19)</f>
        <v>3</v>
      </c>
      <c r="O19" t="str">
        <v>SW8</v>
      </c>
      <c r="P19">
        <f>COUNTIF(LRVs!BH:BH,'Data Summary'!O19)</f>
        <v>11</v>
      </c>
      <c r="R19" t="str">
        <v>Hu et al. (2003)</v>
      </c>
      <c r="S19">
        <f>COUNTIFS(LRV[source],R19,LRV[mo_type],S$2)</f>
        <v>3</v>
      </c>
      <c r="T19">
        <f>COUNTIFS(LRV[source],R19,LRV[mo_type],T$2)</f>
        <v>0</v>
      </c>
      <c r="U19">
        <f>COUNTIFS(LRV[source],R19,LRV[mo_type],U$2)</f>
        <v>0</v>
      </c>
    </row>
    <row r="20" spans="2:21" x14ac:dyDescent="0.3">
      <c r="B20" t="s">
        <v>351</v>
      </c>
      <c r="C20">
        <f>COUNTIF(LRVs!C:C,'Data Summary'!B20)</f>
        <v>9</v>
      </c>
      <c r="D20">
        <f>COUNTIFS(LRVs!$C:$C,'Data Summary'!$B20,LRVs!$BG:$BG,"Virus")</f>
        <v>8</v>
      </c>
      <c r="E20">
        <f>COUNTIFS(LRVs!$C:$C,'Data Summary'!$B20,LRVs!$BG:$BG,"Protozoa")</f>
        <v>0</v>
      </c>
      <c r="F20">
        <f>COUNTIFS(LRVs!$C:$C,'Data Summary'!$B20,LRVs!$BG:$BG,"Bacteria")</f>
        <v>1</v>
      </c>
      <c r="H20" t="s">
        <v>877</v>
      </c>
      <c r="I20" t="str">
        <v>Indigenous enterovirus</v>
      </c>
      <c r="J20">
        <f>COUNTIF(LRVs!BH:BH,'Data Summary'!I20)</f>
        <v>2</v>
      </c>
      <c r="O20" t="str">
        <v>NA</v>
      </c>
      <c r="P20">
        <f>COUNTIF(LRVs!BH:BH,'Data Summary'!O20)</f>
        <v>11</v>
      </c>
      <c r="R20" t="str">
        <v>Ottoson et al. (2006)a</v>
      </c>
      <c r="S20">
        <f>COUNTIFS(LRV[source],R20,LRV[mo_type],S$2)</f>
        <v>12</v>
      </c>
      <c r="T20">
        <f>COUNTIFS(LRV[source],R20,LRV[mo_type],T$2)</f>
        <v>6</v>
      </c>
      <c r="U20">
        <f>COUNTIFS(LRV[source],R20,LRV[mo_type],U$2)</f>
        <v>7</v>
      </c>
    </row>
    <row r="21" spans="2:21" x14ac:dyDescent="0.3">
      <c r="B21" t="s">
        <v>350</v>
      </c>
      <c r="C21">
        <f>COUNTIF(LRVs!C:C,'Data Summary'!B21)</f>
        <v>9</v>
      </c>
      <c r="D21">
        <f>COUNTIFS(LRVs!$C:$C,'Data Summary'!$B21,LRVs!$BG:$BG,"Virus")</f>
        <v>3</v>
      </c>
      <c r="E21">
        <f>COUNTIFS(LRVs!$C:$C,'Data Summary'!$B21,LRVs!$BG:$BG,"Protozoa")</f>
        <v>3</v>
      </c>
      <c r="F21">
        <f>COUNTIFS(LRVs!$C:$C,'Data Summary'!$B21,LRVs!$BG:$BG,"Bacteria")</f>
        <v>3</v>
      </c>
      <c r="H21" t="s">
        <v>705</v>
      </c>
      <c r="I21" t="str">
        <v>Indigenous phage</v>
      </c>
      <c r="J21">
        <f>COUNTIF(LRVs!BH:BH,'Data Summary'!I21)</f>
        <v>2</v>
      </c>
      <c r="O21" t="str">
        <v>Total Bacteria</v>
      </c>
      <c r="P21">
        <f>COUNTIF(LRVs!BH:BH,'Data Summary'!O21)</f>
        <v>1</v>
      </c>
      <c r="R21" t="str">
        <v>Ottoson et al. (2006)b</v>
      </c>
      <c r="S21">
        <f>COUNTIFS(LRV[source],R21,LRV[mo_type],S$2)</f>
        <v>12</v>
      </c>
      <c r="T21">
        <f>COUNTIFS(LRV[source],R21,LRV[mo_type],T$2)</f>
        <v>10</v>
      </c>
      <c r="U21">
        <f>COUNTIFS(LRV[source],R21,LRV[mo_type],U$2)</f>
        <v>7</v>
      </c>
    </row>
    <row r="22" spans="2:21" x14ac:dyDescent="0.3">
      <c r="B22" t="s">
        <v>367</v>
      </c>
      <c r="C22">
        <f>COUNTIF(LRVs!C:C,'Data Summary'!B22)</f>
        <v>9</v>
      </c>
      <c r="D22">
        <f>COUNTIFS(LRVs!$C:$C,'Data Summary'!$B22,LRVs!$BG:$BG,"Virus")</f>
        <v>4</v>
      </c>
      <c r="E22">
        <f>COUNTIFS(LRVs!$C:$C,'Data Summary'!$B22,LRVs!$BG:$BG,"Protozoa")</f>
        <v>0</v>
      </c>
      <c r="F22">
        <f>COUNTIFS(LRVs!$C:$C,'Data Summary'!$B22,LRVs!$BG:$BG,"Bacteria")</f>
        <v>5</v>
      </c>
      <c r="H22" t="s">
        <v>704</v>
      </c>
      <c r="I22" t="str">
        <v>JC virus</v>
      </c>
      <c r="J22">
        <f>COUNTIF(LRVs!BH:BH,'Data Summary'!I22)</f>
        <v>3</v>
      </c>
      <c r="O22" t="str">
        <v>Live Bacteria</v>
      </c>
      <c r="P22">
        <f>COUNTIF(LRVs!BH:BH,'Data Summary'!O22)</f>
        <v>1</v>
      </c>
      <c r="R22" t="str">
        <v>Zheng &amp; Liu (2007)</v>
      </c>
      <c r="S22">
        <f>COUNTIFS(LRV[source],R22,LRV[mo_type],S$2)</f>
        <v>10</v>
      </c>
      <c r="T22">
        <f>COUNTIFS(LRV[source],R22,LRV[mo_type],T$2)</f>
        <v>0</v>
      </c>
      <c r="U22">
        <f>COUNTIFS(LRV[source],R22,LRV[mo_type],U$2)</f>
        <v>0</v>
      </c>
    </row>
    <row r="23" spans="2:21" x14ac:dyDescent="0.3">
      <c r="B23" t="s">
        <v>366</v>
      </c>
      <c r="C23">
        <f>COUNTIF(LRVs!C:C,'Data Summary'!B23)</f>
        <v>7</v>
      </c>
      <c r="D23">
        <f>COUNTIFS(LRVs!$C:$C,'Data Summary'!$B23,LRVs!$BG:$BG,"Virus")</f>
        <v>4</v>
      </c>
      <c r="E23">
        <f>COUNTIFS(LRVs!$C:$C,'Data Summary'!$B23,LRVs!$BG:$BG,"Protozoa")</f>
        <v>1</v>
      </c>
      <c r="F23">
        <f>COUNTIFS(LRVs!$C:$C,'Data Summary'!$B23,LRVs!$BG:$BG,"Bacteria")</f>
        <v>2</v>
      </c>
      <c r="H23" t="s">
        <v>740</v>
      </c>
      <c r="I23" t="str">
        <v>Male Specific Coliphage</v>
      </c>
      <c r="J23">
        <f>COUNTIF(LRVs!BH:BH,'Data Summary'!I23)</f>
        <v>9</v>
      </c>
      <c r="O23" t="str">
        <v>Dead Bacteria</v>
      </c>
      <c r="P23">
        <f>COUNTIF(LRVs!BH:BH,'Data Summary'!O23)</f>
        <v>1</v>
      </c>
      <c r="R23" t="str">
        <v>Beck et al., 2013</v>
      </c>
      <c r="S23">
        <f>COUNTIFS(LRV[source],R23,LRV[mo_type],S$2)</f>
        <v>32</v>
      </c>
      <c r="T23">
        <f>COUNTIFS(LRV[source],R23,LRV[mo_type],T$2)</f>
        <v>46</v>
      </c>
      <c r="U23">
        <f>COUNTIFS(LRV[source],R23,LRV[mo_type],U$2)</f>
        <v>0</v>
      </c>
    </row>
    <row r="24" spans="2:21" x14ac:dyDescent="0.3">
      <c r="B24" t="s">
        <v>382</v>
      </c>
      <c r="C24">
        <f>COUNTIF(LRVs!C:C,'Data Summary'!B24)</f>
        <v>6</v>
      </c>
      <c r="D24">
        <f>COUNTIFS(LRVs!$C:$C,'Data Summary'!$B24,LRVs!$BG:$BG,"Virus")</f>
        <v>3</v>
      </c>
      <c r="E24">
        <f>COUNTIFS(LRVs!$C:$C,'Data Summary'!$B24,LRVs!$BG:$BG,"Protozoa")</f>
        <v>0</v>
      </c>
      <c r="F24">
        <f>COUNTIFS(LRVs!$C:$C,'Data Summary'!$B24,LRVs!$BG:$BG,"Bacteria")</f>
        <v>3</v>
      </c>
      <c r="H24" t="s">
        <v>1114</v>
      </c>
      <c r="I24" t="str">
        <v>MS2</v>
      </c>
      <c r="J24">
        <f>COUNTIF(LRVs!BH:BH,'Data Summary'!I24)</f>
        <v>98</v>
      </c>
      <c r="R24" t="str">
        <v>Ekeren et al., 2016</v>
      </c>
      <c r="S24">
        <f>COUNTIFS(LRV[source],R24,LRV[mo_type],S$2)</f>
        <v>2</v>
      </c>
      <c r="T24">
        <f>COUNTIFS(LRV[source],R24,LRV[mo_type],T$2)</f>
        <v>14</v>
      </c>
      <c r="U24">
        <f>COUNTIFS(LRV[source],R24,LRV[mo_type],U$2)</f>
        <v>0</v>
      </c>
    </row>
    <row r="25" spans="2:21" x14ac:dyDescent="0.3">
      <c r="B25" t="s">
        <v>352</v>
      </c>
      <c r="C25">
        <f>COUNTIF(LRVs!C:C,'Data Summary'!B25)</f>
        <v>6</v>
      </c>
      <c r="D25">
        <f>COUNTIFS(LRVs!$C:$C,'Data Summary'!$B25,LRVs!$BG:$BG,"Virus")</f>
        <v>0</v>
      </c>
      <c r="E25">
        <f>COUNTIFS(LRVs!$C:$C,'Data Summary'!$B25,LRVs!$BG:$BG,"Protozoa")</f>
        <v>0</v>
      </c>
      <c r="F25">
        <f>COUNTIFS(LRVs!$C:$C,'Data Summary'!$B25,LRVs!$BG:$BG,"Bacteria")</f>
        <v>6</v>
      </c>
      <c r="H25" t="s">
        <v>315</v>
      </c>
      <c r="I25" t="str">
        <v>Norovirus</v>
      </c>
      <c r="J25">
        <f>COUNTIF(LRVs!BH:BH,'Data Summary'!I25)</f>
        <v>17</v>
      </c>
      <c r="R25" t="str">
        <v>Friedler et al., 2011</v>
      </c>
      <c r="S25">
        <f>COUNTIFS(LRV[source],R25,LRV[mo_type],S$2)</f>
        <v>0</v>
      </c>
      <c r="T25">
        <f>COUNTIFS(LRV[source],R25,LRV[mo_type],T$2)</f>
        <v>6</v>
      </c>
      <c r="U25">
        <f>COUNTIFS(LRV[source],R25,LRV[mo_type],U$2)</f>
        <v>0</v>
      </c>
    </row>
    <row r="26" spans="2:21" x14ac:dyDescent="0.3">
      <c r="B26" t="s">
        <v>377</v>
      </c>
      <c r="C26">
        <f>COUNTIF(LRVs!C:C,'Data Summary'!B26)</f>
        <v>4</v>
      </c>
      <c r="D26">
        <f>COUNTIFS(LRVs!$C:$C,'Data Summary'!$B26,LRVs!$BG:$BG,"Virus")</f>
        <v>1</v>
      </c>
      <c r="E26">
        <f>COUNTIFS(LRVs!$C:$C,'Data Summary'!$B26,LRVs!$BG:$BG,"Protozoa")</f>
        <v>0</v>
      </c>
      <c r="F26">
        <f>COUNTIFS(LRVs!$C:$C,'Data Summary'!$B26,LRVs!$BG:$BG,"Bacteria")</f>
        <v>3</v>
      </c>
      <c r="H26" t="s">
        <v>734</v>
      </c>
      <c r="I26" t="str">
        <v>Norovirus-GIA</v>
      </c>
      <c r="J26">
        <f>COUNTIF(LRVs!BH:BH,'Data Summary'!I26)</f>
        <v>7</v>
      </c>
      <c r="R26" t="str">
        <v>Friedler et al., 2005</v>
      </c>
      <c r="S26">
        <f>COUNTIFS(LRV[source],R26,LRV[mo_type],S$2)</f>
        <v>0</v>
      </c>
      <c r="T26">
        <f>COUNTIFS(LRV[source],R26,LRV[mo_type],T$2)</f>
        <v>1</v>
      </c>
      <c r="U26">
        <f>COUNTIFS(LRV[source],R26,LRV[mo_type],U$2)</f>
        <v>0</v>
      </c>
    </row>
    <row r="27" spans="2:21" x14ac:dyDescent="0.3">
      <c r="B27" t="s">
        <v>386</v>
      </c>
      <c r="C27">
        <f>COUNTIF(LRVs!C:C,'Data Summary'!B27)</f>
        <v>2</v>
      </c>
      <c r="D27">
        <f>COUNTIFS(LRVs!$C:$C,'Data Summary'!$B27,LRVs!$BG:$BG,"Virus")</f>
        <v>0</v>
      </c>
      <c r="E27">
        <f>COUNTIFS(LRVs!$C:$C,'Data Summary'!$B27,LRVs!$BG:$BG,"Protozoa")</f>
        <v>0</v>
      </c>
      <c r="F27">
        <f>COUNTIFS(LRVs!$C:$C,'Data Summary'!$B27,LRVs!$BG:$BG,"Bacteria")</f>
        <v>2</v>
      </c>
      <c r="H27" t="s">
        <v>1204</v>
      </c>
      <c r="I27" t="str">
        <v>Norovirus-GIB</v>
      </c>
      <c r="J27">
        <f>COUNTIF(LRVs!BH:BH,'Data Summary'!I27)</f>
        <v>7</v>
      </c>
      <c r="R27" t="str">
        <v>Friedler et al., 2006</v>
      </c>
      <c r="S27">
        <f>COUNTIFS(LRV[source],R27,LRV[mo_type],S$2)</f>
        <v>0</v>
      </c>
      <c r="T27">
        <f>COUNTIFS(LRV[source],R27,LRV[mo_type],T$2)</f>
        <v>3</v>
      </c>
      <c r="U27">
        <f>COUNTIFS(LRV[source],R27,LRV[mo_type],U$2)</f>
        <v>0</v>
      </c>
    </row>
    <row r="28" spans="2:21" x14ac:dyDescent="0.3">
      <c r="B28" t="s">
        <v>343</v>
      </c>
      <c r="C28">
        <f>COUNTIF(LRVs!C:C,'Data Summary'!B28)</f>
        <v>1</v>
      </c>
      <c r="D28">
        <f>COUNTIFS(LRVs!$C:$C,'Data Summary'!$B28,LRVs!$BG:$BG,"Virus")</f>
        <v>0</v>
      </c>
      <c r="E28">
        <f>COUNTIFS(LRVs!$C:$C,'Data Summary'!$B28,LRVs!$BG:$BG,"Protozoa")</f>
        <v>0</v>
      </c>
      <c r="F28">
        <f>COUNTIFS(LRVs!$C:$C,'Data Summary'!$B28,LRVs!$BG:$BG,"Bacteria")</f>
        <v>1</v>
      </c>
      <c r="H28" t="s">
        <v>1205</v>
      </c>
      <c r="I28" t="str">
        <v>Norovirus-GII</v>
      </c>
      <c r="J28">
        <f>COUNTIF(LRVs!BH:BH,'Data Summary'!I28)</f>
        <v>7</v>
      </c>
      <c r="R28" t="str">
        <v>Winward et al., 2008b</v>
      </c>
      <c r="S28">
        <f>COUNTIFS(LRV[source],R28,LRV[mo_type],S$2)</f>
        <v>0</v>
      </c>
      <c r="T28">
        <f>COUNTIFS(LRV[source],R28,LRV[mo_type],T$2)</f>
        <v>3</v>
      </c>
      <c r="U28">
        <f>COUNTIFS(LRV[source],R28,LRV[mo_type],U$2)</f>
        <v>0</v>
      </c>
    </row>
    <row r="29" spans="2:21" x14ac:dyDescent="0.3">
      <c r="B29" t="s">
        <v>345</v>
      </c>
      <c r="C29">
        <f>COUNTIF(LRVs!C:C,'Data Summary'!B29)</f>
        <v>1</v>
      </c>
      <c r="D29">
        <f>COUNTIFS(LRVs!$C:$C,'Data Summary'!$B29,LRVs!$BG:$BG,"Virus")</f>
        <v>0</v>
      </c>
      <c r="E29">
        <f>COUNTIFS(LRVs!$C:$C,'Data Summary'!$B29,LRVs!$BG:$BG,"Protozoa")</f>
        <v>0</v>
      </c>
      <c r="F29">
        <f>COUNTIFS(LRVs!$C:$C,'Data Summary'!$B29,LRVs!$BG:$BG,"Bacteria")</f>
        <v>1</v>
      </c>
      <c r="H29" t="s">
        <v>1206</v>
      </c>
      <c r="I29" t="str">
        <v>OX174</v>
      </c>
      <c r="J29">
        <f>COUNTIF(LRVs!BH:BH,'Data Summary'!I29)</f>
        <v>4</v>
      </c>
      <c r="R29" t="str">
        <v>El Hamouri et al., 2008</v>
      </c>
      <c r="S29">
        <f>COUNTIFS(LRV[source],R29,LRV[mo_type],S$2)</f>
        <v>0</v>
      </c>
      <c r="T29">
        <f>COUNTIFS(LRV[source],R29,LRV[mo_type],T$2)</f>
        <v>1</v>
      </c>
      <c r="U29">
        <f>COUNTIFS(LRV[source],R29,LRV[mo_type],U$2)</f>
        <v>0</v>
      </c>
    </row>
    <row r="30" spans="2:21" x14ac:dyDescent="0.3">
      <c r="B30" t="s">
        <v>355</v>
      </c>
      <c r="C30">
        <f>COUNTIF(LRVs!C:C,'Data Summary'!B30)</f>
        <v>1</v>
      </c>
      <c r="D30">
        <f>COUNTIFS(LRVs!$C:$C,'Data Summary'!$B30,LRVs!$BG:$BG,"Virus")</f>
        <v>0</v>
      </c>
      <c r="E30">
        <f>COUNTIFS(LRVs!$C:$C,'Data Summary'!$B30,LRVs!$BG:$BG,"Protozoa")</f>
        <v>0</v>
      </c>
      <c r="F30">
        <f>COUNTIFS(LRVs!$C:$C,'Data Summary'!$B30,LRVs!$BG:$BG,"Bacteria")</f>
        <v>1</v>
      </c>
      <c r="H30" t="s">
        <v>970</v>
      </c>
      <c r="I30" t="str">
        <v>Phage</v>
      </c>
      <c r="J30">
        <f>COUNTIF(LRVs!BH:BH,'Data Summary'!I30)</f>
        <v>3</v>
      </c>
      <c r="R30" t="str">
        <v>Frieder et al., 2011</v>
      </c>
      <c r="S30">
        <f>COUNTIFS(LRV[source],R30,LRV[mo_type],S$2)</f>
        <v>0</v>
      </c>
      <c r="T30">
        <f>COUNTIFS(LRV[source],R30,LRV[mo_type],T$2)</f>
        <v>18</v>
      </c>
      <c r="U30">
        <f>COUNTIFS(LRV[source],R30,LRV[mo_type],U$2)</f>
        <v>0</v>
      </c>
    </row>
    <row r="31" spans="2:21" x14ac:dyDescent="0.3">
      <c r="B31" t="s">
        <v>362</v>
      </c>
      <c r="C31">
        <f>COUNTIF(LRVs!C:C,'Data Summary'!B31)</f>
        <v>1</v>
      </c>
      <c r="D31">
        <f>COUNTIFS(LRVs!$C:$C,'Data Summary'!$B31,LRVs!$BG:$BG,"Virus")</f>
        <v>1</v>
      </c>
      <c r="E31">
        <f>COUNTIFS(LRVs!$C:$C,'Data Summary'!$B31,LRVs!$BG:$BG,"Protozoa")</f>
        <v>0</v>
      </c>
      <c r="F31">
        <f>COUNTIFS(LRVs!$C:$C,'Data Summary'!$B31,LRVs!$BG:$BG,"Bacteria")</f>
        <v>0</v>
      </c>
      <c r="H31" t="s">
        <v>700</v>
      </c>
      <c r="I31" t="str">
        <v>Phage T4</v>
      </c>
      <c r="J31">
        <f>COUNTIF(LRVs!BH:BH,'Data Summary'!I31)</f>
        <v>17</v>
      </c>
      <c r="R31" t="str">
        <v>Friedler and Gilboa, 2010</v>
      </c>
      <c r="S31">
        <f>COUNTIFS(LRV[source],R31,LRV[mo_type],S$2)</f>
        <v>1</v>
      </c>
      <c r="T31">
        <f>COUNTIFS(LRV[source],R31,LRV[mo_type],T$2)</f>
        <v>3</v>
      </c>
      <c r="U31">
        <f>COUNTIFS(LRV[source],R31,LRV[mo_type],U$2)</f>
        <v>0</v>
      </c>
    </row>
    <row r="32" spans="2:21" x14ac:dyDescent="0.3">
      <c r="B32" t="s">
        <v>364</v>
      </c>
      <c r="C32">
        <f>COUNTIF(LRVs!C:C,'Data Summary'!B32)</f>
        <v>1</v>
      </c>
      <c r="D32">
        <f>COUNTIFS(LRVs!$C:$C,'Data Summary'!$B32,LRVs!$BG:$BG,"Virus")</f>
        <v>1</v>
      </c>
      <c r="E32">
        <f>COUNTIFS(LRVs!$C:$C,'Data Summary'!$B32,LRVs!$BG:$BG,"Protozoa")</f>
        <v>0</v>
      </c>
      <c r="F32">
        <f>COUNTIFS(LRVs!$C:$C,'Data Summary'!$B32,LRVs!$BG:$BG,"Bacteria")</f>
        <v>0</v>
      </c>
      <c r="H32" t="s">
        <v>828</v>
      </c>
      <c r="I32" t="str">
        <v>Phage T7</v>
      </c>
      <c r="J32">
        <f>COUNTIF(LRVs!BH:BH,'Data Summary'!I32)</f>
        <v>9</v>
      </c>
      <c r="R32" t="str">
        <v>Winward et al., 2008c</v>
      </c>
      <c r="S32">
        <f>COUNTIFS(LRV[source],R32,LRV[mo_type],S$2)</f>
        <v>0</v>
      </c>
      <c r="T32">
        <f>COUNTIFS(LRV[source],R32,LRV[mo_type],T$2)</f>
        <v>12</v>
      </c>
      <c r="U32">
        <f>COUNTIFS(LRV[source],R32,LRV[mo_type],U$2)</f>
        <v>0</v>
      </c>
    </row>
    <row r="33" spans="2:21" x14ac:dyDescent="0.3">
      <c r="B33" t="s">
        <v>379</v>
      </c>
      <c r="C33">
        <f>COUNTIF(LRVs!C:C,'Data Summary'!B33)</f>
        <v>1</v>
      </c>
      <c r="D33">
        <f>COUNTIFS(LRVs!$C:$C,'Data Summary'!$B33,LRVs!$BG:$BG,"Virus")</f>
        <v>1</v>
      </c>
      <c r="E33">
        <f>COUNTIFS(LRVs!$C:$C,'Data Summary'!$B33,LRVs!$BG:$BG,"Protozoa")</f>
        <v>0</v>
      </c>
      <c r="F33">
        <f>COUNTIFS(LRVs!$C:$C,'Data Summary'!$B33,LRVs!$BG:$BG,"Bacteria")</f>
        <v>0</v>
      </c>
      <c r="H33" t="s">
        <v>974</v>
      </c>
      <c r="I33" t="str">
        <v>Poliovirus</v>
      </c>
      <c r="J33">
        <f>COUNTIF(LRVs!BH:BH,'Data Summary'!I33)</f>
        <v>12</v>
      </c>
      <c r="R33" t="str">
        <v>Russo  et al. (2019)</v>
      </c>
      <c r="S33">
        <f>COUNTIFS(LRV[source],R33,LRV[mo_type],S$2)</f>
        <v>6</v>
      </c>
      <c r="T33">
        <f>COUNTIFS(LRV[source],R33,LRV[mo_type],T$2)</f>
        <v>18</v>
      </c>
      <c r="U33">
        <f>COUNTIFS(LRV[source],R33,LRV[mo_type],U$2)</f>
        <v>6</v>
      </c>
    </row>
    <row r="34" spans="2:21" x14ac:dyDescent="0.3">
      <c r="C34">
        <f>SUM(C3:C33)</f>
        <v>1150</v>
      </c>
      <c r="D34">
        <f>SUM(D3:D33)</f>
        <v>593</v>
      </c>
      <c r="E34">
        <f t="shared" ref="E34:F34" si="0">SUM(E3:E33)</f>
        <v>86</v>
      </c>
      <c r="F34">
        <f t="shared" si="0"/>
        <v>471</v>
      </c>
      <c r="H34" t="s">
        <v>661</v>
      </c>
      <c r="I34" t="str">
        <v>Poliovirus 1</v>
      </c>
      <c r="J34">
        <f>COUNTIF(LRVs!BH:BH,'Data Summary'!I34)</f>
        <v>8</v>
      </c>
      <c r="R34" t="str">
        <v>Stefanakis et al. (2018)</v>
      </c>
      <c r="S34">
        <f>COUNTIFS(LRV[source],R34,LRV[mo_type],S$2)</f>
        <v>9</v>
      </c>
      <c r="T34">
        <f>COUNTIFS(LRV[source],R34,LRV[mo_type],T$2)</f>
        <v>9</v>
      </c>
      <c r="U34">
        <f>COUNTIFS(LRV[source],R34,LRV[mo_type],U$2)</f>
        <v>0</v>
      </c>
    </row>
    <row r="35" spans="2:21" x14ac:dyDescent="0.3">
      <c r="H35" t="s">
        <v>748</v>
      </c>
      <c r="I35" t="str">
        <v>PRD-1</v>
      </c>
      <c r="J35">
        <f>COUNTIF(LRVs!BH:BH,'Data Summary'!I35)</f>
        <v>4</v>
      </c>
      <c r="R35" t="str">
        <v>Kaliakatsos et al. (2019)</v>
      </c>
      <c r="S35">
        <f>COUNTIFS(LRV[source],R35,LRV[mo_type],S$2)</f>
        <v>1</v>
      </c>
      <c r="T35">
        <f>COUNTIFS(LRV[source],R35,LRV[mo_type],T$2)</f>
        <v>6</v>
      </c>
      <c r="U35">
        <f>COUNTIFS(LRV[source],R35,LRV[mo_type],U$2)</f>
        <v>0</v>
      </c>
    </row>
    <row r="36" spans="2:21" x14ac:dyDescent="0.3">
      <c r="H36" t="s">
        <v>971</v>
      </c>
      <c r="I36" t="str">
        <v>Reovirus</v>
      </c>
      <c r="J36">
        <f>COUNTIF(LRVs!BH:BH,'Data Summary'!I36)</f>
        <v>12</v>
      </c>
      <c r="R36" s="14" t="str">
        <v>Chaudhry et al. (2015)</v>
      </c>
      <c r="S36">
        <f>COUNTIFS(LRV[source],R36,LRV[mo_type],S$2)</f>
        <v>3</v>
      </c>
      <c r="T36">
        <f>COUNTIFS(LRV[source],R36,LRV[mo_type],T$2)</f>
        <v>0</v>
      </c>
      <c r="U36">
        <f>COUNTIFS(LRV[source],R36,LRV[mo_type],U$2)</f>
        <v>0</v>
      </c>
    </row>
    <row r="37" spans="2:21" x14ac:dyDescent="0.3">
      <c r="H37" t="s">
        <v>609</v>
      </c>
      <c r="I37" t="str">
        <v>Rotavirus</v>
      </c>
      <c r="J37">
        <f>COUNTIF(LRVs!BH:BH,'Data Summary'!I37)</f>
        <v>4</v>
      </c>
      <c r="R37" s="14" t="str">
        <v>Olson et al. (2005)</v>
      </c>
      <c r="S37">
        <f>COUNTIFS(LRV[source],R37,LRV[mo_type],S$2)</f>
        <v>8</v>
      </c>
      <c r="T37">
        <f>COUNTIFS(LRV[source],R37,LRV[mo_type],T$2)</f>
        <v>4</v>
      </c>
      <c r="U37">
        <f>COUNTIFS(LRV[source],R37,LRV[mo_type],U$2)</f>
        <v>0</v>
      </c>
    </row>
    <row r="38" spans="2:21" x14ac:dyDescent="0.3">
      <c r="H38" t="s">
        <v>724</v>
      </c>
      <c r="I38" t="str">
        <v>Sapovirus</v>
      </c>
      <c r="J38">
        <f>COUNTIF(LRVs!BH:BH,'Data Summary'!I38)</f>
        <v>3</v>
      </c>
      <c r="R38" s="14" t="str">
        <v>Pundsack et al. (2001)</v>
      </c>
      <c r="S38">
        <f>COUNTIFS(LRV[source],R38,LRV[mo_type],S$2)</f>
        <v>0</v>
      </c>
      <c r="T38">
        <f>COUNTIFS(LRV[source],R38,LRV[mo_type],T$2)</f>
        <v>15</v>
      </c>
      <c r="U38">
        <f>COUNTIFS(LRV[source],R38,LRV[mo_type],U$2)</f>
        <v>0</v>
      </c>
    </row>
    <row r="39" spans="2:21" x14ac:dyDescent="0.3">
      <c r="H39" t="s">
        <v>737</v>
      </c>
      <c r="I39" t="str">
        <v>Somatic coliphage</v>
      </c>
      <c r="J39">
        <f>COUNTIF(LRVs!BH:BH,'Data Summary'!I39)</f>
        <v>61</v>
      </c>
      <c r="R39" t="str">
        <v>Seeger et al. (2016)</v>
      </c>
      <c r="S39">
        <f>COUNTIFS(LRV[source],R39,LRV[mo_type],S$2)</f>
        <v>0</v>
      </c>
      <c r="T39">
        <f>COUNTIFS(LRV[source],R39,LRV[mo_type],T$2)</f>
        <v>6</v>
      </c>
      <c r="U39">
        <f>COUNTIFS(LRV[source],R39,LRV[mo_type],U$2)</f>
        <v>0</v>
      </c>
    </row>
    <row r="40" spans="2:21" x14ac:dyDescent="0.3">
      <c r="H40" t="s">
        <v>631</v>
      </c>
      <c r="I40" t="str">
        <v>Total culturable virus</v>
      </c>
      <c r="J40">
        <f>COUNTIF(LRVs!BH:BH,'Data Summary'!I40)</f>
        <v>12</v>
      </c>
      <c r="R40" t="str">
        <v>Gomez et al. (2006)</v>
      </c>
      <c r="S40">
        <f>COUNTIFS(LRV[source],R40,LRV[mo_type],S$2)</f>
        <v>0</v>
      </c>
      <c r="T40">
        <f>COUNTIFS(LRV[source],R40,LRV[mo_type],T$2)</f>
        <v>6</v>
      </c>
      <c r="U40">
        <f>COUNTIFS(LRV[source],R40,LRV[mo_type],U$2)</f>
        <v>0</v>
      </c>
    </row>
    <row r="41" spans="2:21" x14ac:dyDescent="0.3">
      <c r="H41" t="s">
        <v>678</v>
      </c>
      <c r="I41" t="str">
        <v>Vibriophage</v>
      </c>
      <c r="J41">
        <f>COUNTIF(LRVs!BH:BH,'Data Summary'!I41)</f>
        <v>2</v>
      </c>
      <c r="R41" t="str">
        <v>Maciel et al. (2021)</v>
      </c>
      <c r="S41">
        <f>COUNTIFS(LRV[source],R41,LRV[mo_type],S$2)</f>
        <v>0</v>
      </c>
      <c r="T41">
        <f>COUNTIFS(LRV[source],R41,LRV[mo_type],T$2)</f>
        <v>12</v>
      </c>
      <c r="U41">
        <f>COUNTIFS(LRV[source],R41,LRV[mo_type],U$2)</f>
        <v>0</v>
      </c>
    </row>
    <row r="42" spans="2:21" x14ac:dyDescent="0.3">
      <c r="H42" t="s">
        <v>702</v>
      </c>
      <c r="J42">
        <f>COUNTIF(LRVs!BH:BH,'Data Summary'!I42)</f>
        <v>0</v>
      </c>
      <c r="R42" t="str">
        <v>Schang et al. (2021)</v>
      </c>
      <c r="S42">
        <f>COUNTIFS(LRV[source],R42,LRV[mo_type],S$2)</f>
        <v>7</v>
      </c>
      <c r="T42">
        <f>COUNTIFS(LRV[source],R42,LRV[mo_type],T$2)</f>
        <v>28</v>
      </c>
      <c r="U42">
        <f>COUNTIFS(LRV[source],R42,LRV[mo_type],U$2)</f>
        <v>0</v>
      </c>
    </row>
    <row r="43" spans="2:21" x14ac:dyDescent="0.3">
      <c r="R43" t="str">
        <v>Ghayeni et al. (1999)</v>
      </c>
      <c r="S43">
        <f>COUNTIFS(LRV[source],R43,LRV[mo_type],S$2)</f>
        <v>0</v>
      </c>
      <c r="T43">
        <f>COUNTIFS(LRV[source],R43,LRV[mo_type],T$2)</f>
        <v>22</v>
      </c>
      <c r="U43">
        <f>COUNTIFS(LRV[source],R43,LRV[mo_type],U$2)</f>
        <v>0</v>
      </c>
    </row>
    <row r="44" spans="2:21" x14ac:dyDescent="0.3">
      <c r="R44" t="str">
        <v>Oliveira et al. (2022)</v>
      </c>
      <c r="S44">
        <f>COUNTIFS(LRV[source],R44,LRV[mo_type],S$2)</f>
        <v>0</v>
      </c>
      <c r="T44">
        <f>COUNTIFS(LRV[source],R44,LRV[mo_type],T$2)</f>
        <v>3</v>
      </c>
      <c r="U44">
        <f>COUNTIFS(LRV[source],R44,LRV[mo_type],U$2)</f>
        <v>0</v>
      </c>
    </row>
    <row r="45" spans="2:21" x14ac:dyDescent="0.3">
      <c r="R45" t="str">
        <v>Sigmon et al., 2015</v>
      </c>
      <c r="S45">
        <f>COUNTIFS(LRV[source],R45,LRV[mo_type],S$2)</f>
        <v>20</v>
      </c>
      <c r="T45">
        <f>COUNTIFS(LRV[source],R45,LRV[mo_type],T$2)</f>
        <v>4</v>
      </c>
      <c r="U45">
        <f>COUNTIFS(LRV[source],R45,LRV[mo_type],U$2)</f>
        <v>0</v>
      </c>
    </row>
    <row r="46" spans="2:21" x14ac:dyDescent="0.3">
      <c r="R46" t="str">
        <v>Bohrerova et al.,2008</v>
      </c>
      <c r="S46">
        <f>COUNTIFS(LRV[source],R46,LRV[mo_type],S$2)</f>
        <v>18</v>
      </c>
      <c r="T46">
        <f>COUNTIFS(LRV[source],R46,LRV[mo_type],T$2)</f>
        <v>9</v>
      </c>
      <c r="U46">
        <f>COUNTIFS(LRV[source],R46,LRV[mo_type],U$2)</f>
        <v>0</v>
      </c>
    </row>
    <row r="47" spans="2:21" x14ac:dyDescent="0.3">
      <c r="R47" t="str">
        <v>Katz et al. (2017)</v>
      </c>
      <c r="S47">
        <f>COUNTIFS(LRV[source],R47,LRV[mo_type],S$2)</f>
        <v>53</v>
      </c>
      <c r="T47">
        <f>COUNTIFS(LRV[source],R47,LRV[mo_type],T$2)</f>
        <v>9</v>
      </c>
      <c r="U47">
        <f>COUNTIFS(LRV[source],R47,LRV[mo_type],U$2)</f>
        <v>10</v>
      </c>
    </row>
    <row r="48" spans="2:21" x14ac:dyDescent="0.3">
      <c r="R48">
        <v>0</v>
      </c>
    </row>
  </sheetData>
  <sortState xmlns:xlrd2="http://schemas.microsoft.com/office/spreadsheetml/2017/richdata2" ref="H4:H664">
    <sortCondition ref="H3:H664"/>
  </sortStat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95721-9AF7-4CB4-8325-CB58B0776F1E}">
  <sheetPr codeName="Sheet3"/>
  <dimension ref="B1:Z15"/>
  <sheetViews>
    <sheetView showGridLines="0" zoomScale="85" zoomScaleNormal="85" workbookViewId="0">
      <selection activeCell="O9" sqref="O9"/>
    </sheetView>
  </sheetViews>
  <sheetFormatPr defaultRowHeight="14.4" x14ac:dyDescent="0.3"/>
  <cols>
    <col min="1" max="1" width="16.44140625" customWidth="1"/>
    <col min="2" max="2" width="15.6640625" customWidth="1"/>
    <col min="3" max="3" width="27.88671875" customWidth="1"/>
    <col min="4" max="6" width="7.33203125" customWidth="1"/>
    <col min="7" max="9" width="13.44140625" customWidth="1"/>
    <col min="10" max="10" width="3.5546875" customWidth="1"/>
    <col min="11" max="11" width="21" style="18" customWidth="1"/>
    <col min="12" max="26" width="6" customWidth="1"/>
  </cols>
  <sheetData>
    <row r="1" spans="2:26" x14ac:dyDescent="0.3">
      <c r="L1" s="133" t="s">
        <v>3</v>
      </c>
      <c r="M1" s="133"/>
      <c r="N1" s="133"/>
      <c r="O1" s="133"/>
      <c r="P1" s="133"/>
      <c r="Q1" s="133"/>
      <c r="R1" s="134" t="s">
        <v>1</v>
      </c>
      <c r="S1" s="134"/>
      <c r="T1" s="134"/>
      <c r="U1" s="134"/>
      <c r="V1" s="134"/>
      <c r="W1" s="134"/>
    </row>
    <row r="2" spans="2:26" x14ac:dyDescent="0.3">
      <c r="B2" s="137" t="s">
        <v>421</v>
      </c>
      <c r="C2" s="137" t="s">
        <v>1107</v>
      </c>
      <c r="D2" s="135" t="s">
        <v>1139</v>
      </c>
      <c r="E2" s="135"/>
      <c r="F2" s="135"/>
      <c r="G2" s="135" t="s">
        <v>1140</v>
      </c>
      <c r="H2" s="135"/>
      <c r="I2" s="135"/>
      <c r="L2" s="98" t="s">
        <v>992</v>
      </c>
      <c r="M2" s="98" t="s">
        <v>992</v>
      </c>
      <c r="N2" s="98" t="s">
        <v>1000</v>
      </c>
      <c r="O2" s="98" t="s">
        <v>1000</v>
      </c>
      <c r="P2" s="98" t="s">
        <v>996</v>
      </c>
      <c r="Q2" s="98" t="s">
        <v>996</v>
      </c>
      <c r="R2" s="97" t="s">
        <v>992</v>
      </c>
      <c r="S2" s="97" t="s">
        <v>992</v>
      </c>
      <c r="T2" s="97" t="s">
        <v>1000</v>
      </c>
      <c r="U2" s="97" t="s">
        <v>1000</v>
      </c>
      <c r="V2" s="97" t="s">
        <v>996</v>
      </c>
      <c r="W2" s="97" t="s">
        <v>996</v>
      </c>
      <c r="X2" s="96" t="s">
        <v>992</v>
      </c>
      <c r="Y2" s="96" t="s">
        <v>1000</v>
      </c>
      <c r="Z2" s="96" t="s">
        <v>996</v>
      </c>
    </row>
    <row r="3" spans="2:26" x14ac:dyDescent="0.3">
      <c r="B3" s="137"/>
      <c r="C3" s="137"/>
      <c r="D3" s="91" t="s">
        <v>1072</v>
      </c>
      <c r="E3" s="91" t="s">
        <v>1073</v>
      </c>
      <c r="F3" s="91" t="s">
        <v>1074</v>
      </c>
      <c r="G3" s="91" t="s">
        <v>1072</v>
      </c>
      <c r="H3" s="91" t="s">
        <v>1073</v>
      </c>
      <c r="I3" s="91" t="s">
        <v>1074</v>
      </c>
      <c r="L3" s="99" t="s">
        <v>1084</v>
      </c>
      <c r="M3" s="99" t="s">
        <v>1085</v>
      </c>
      <c r="N3" s="99" t="s">
        <v>1084</v>
      </c>
      <c r="O3" s="99" t="s">
        <v>1085</v>
      </c>
      <c r="P3" s="99" t="s">
        <v>1084</v>
      </c>
      <c r="Q3" s="99" t="s">
        <v>1085</v>
      </c>
      <c r="R3" s="91" t="s">
        <v>1084</v>
      </c>
      <c r="S3" s="91" t="s">
        <v>1085</v>
      </c>
      <c r="T3" s="91" t="s">
        <v>1084</v>
      </c>
      <c r="U3" s="91" t="s">
        <v>1085</v>
      </c>
      <c r="V3" s="91" t="s">
        <v>1084</v>
      </c>
      <c r="W3" s="91" t="s">
        <v>1085</v>
      </c>
      <c r="X3" s="95" t="s">
        <v>297</v>
      </c>
      <c r="Y3" s="95" t="s">
        <v>297</v>
      </c>
      <c r="Z3" s="95" t="s">
        <v>297</v>
      </c>
    </row>
    <row r="4" spans="2:26" ht="28.95" customHeight="1" x14ac:dyDescent="0.3">
      <c r="B4" s="92" t="s">
        <v>329</v>
      </c>
      <c r="C4" s="138" t="s">
        <v>1144</v>
      </c>
      <c r="D4" s="102" t="str">
        <f>IF(M4=0,"n.d.",_xlfn.CONCAT(L4,"-",M4))</f>
        <v>0.5-6</v>
      </c>
      <c r="E4" s="102" t="str">
        <f>IF(O4=0,"n.d.",_xlfn.CONCAT(N4,"-",O4))</f>
        <v>0.5-6</v>
      </c>
      <c r="F4" s="102" t="str">
        <f>IF(Q4=0,"n.d.",_xlfn.CONCAT(P4,"-",Q4))</f>
        <v>n.d.</v>
      </c>
      <c r="G4" s="102" t="str">
        <f>IF(X4=0,"n.d.",_xlfn.CONCAT(R4,"-",S4," [",X4,"]"))</f>
        <v>-0.4-5.8 [159]</v>
      </c>
      <c r="H4" s="102" t="str">
        <f>IF(Y4=0,"n.d.",_xlfn.CONCAT(T4,"-",U4," [",Y4,"]"))</f>
        <v>0.1-3.4 [28]</v>
      </c>
      <c r="I4" s="102" t="str">
        <f>IF(Z4=0,"n.d.",_xlfn.CONCAT(V4,"-",W4," [",Z4,"]"))</f>
        <v>-0.3-8.3 [166]</v>
      </c>
      <c r="K4" s="111" t="s">
        <v>329</v>
      </c>
      <c r="L4" s="100">
        <f>_xlfn.MINIFS(LRC[lrc],LRC[mo_type],L$2,LRC[unitprocess],$K4)</f>
        <v>0.5</v>
      </c>
      <c r="M4" s="100">
        <f>_xlfn.MAXIFS(LRC[lrc],LRC[mo_type],M$2,LRC[unitprocess],$K4)</f>
        <v>6</v>
      </c>
      <c r="N4" s="100">
        <f>_xlfn.MINIFS(LRC[lrc],LRC[mo_type],N$2,LRC[unitprocess],$K4)</f>
        <v>0.5</v>
      </c>
      <c r="O4" s="100">
        <f>_xlfn.MAXIFS(LRC[lrc],LRC[mo_type],O$2,LRC[unitprocess],$K4)</f>
        <v>6</v>
      </c>
      <c r="P4" s="100">
        <f>_xlfn.MINIFS(LRC[lrc],LRC[mo_type],P$2,LRC[unitprocess],$K4)</f>
        <v>0</v>
      </c>
      <c r="Q4" s="100">
        <f>_xlfn.MAXIFS(LRC[lrc],LRC[mo_type],Q$2,LRC[unitprocess],$K4)</f>
        <v>0</v>
      </c>
      <c r="R4" s="101">
        <f>ROUND(_xlfn.MINIFS(LRV[lrv_ave],LRV[mo_type],R$2,LRV[unitprocess],$K4),1)</f>
        <v>-0.4</v>
      </c>
      <c r="S4" s="101">
        <f>ROUND(_xlfn.MAXIFS(LRV[lrv_ave],LRV[mo_type],S$2,LRV[unitprocess],$K4),1)</f>
        <v>5.8</v>
      </c>
      <c r="T4" s="101">
        <f>ROUND(_xlfn.MINIFS(LRV[lrv_ave],LRV[mo_type],T$2,LRV[unitprocess],$K4),1)</f>
        <v>0.1</v>
      </c>
      <c r="U4" s="101">
        <f>ROUND(_xlfn.MAXIFS(LRV[lrv_ave],LRV[mo_type],U$2,LRV[unitprocess],$K4),1)</f>
        <v>3.4</v>
      </c>
      <c r="V4" s="101">
        <f>ROUND(_xlfn.MINIFS(LRV[lrv_ave],LRV[mo_type],V$2,LRV[unitprocess],$K4),1)</f>
        <v>-0.3</v>
      </c>
      <c r="W4" s="101">
        <f>ROUND(_xlfn.MAXIFS(LRV[lrv_ave],LRV[mo_type],W$2,LRV[unitprocess],$K4),1)</f>
        <v>8.3000000000000007</v>
      </c>
      <c r="X4">
        <f>COUNTIFS(LRV[unitprocess],$K4,LRV[mo_type],X$2)</f>
        <v>159</v>
      </c>
      <c r="Y4">
        <f>COUNTIFS(LRV[unitprocess],$K4,LRV[mo_type],Y$2)</f>
        <v>28</v>
      </c>
      <c r="Z4">
        <f>COUNTIFS(LRV[unitprocess],$K4,LRV[mo_type],Z$2)</f>
        <v>166</v>
      </c>
    </row>
    <row r="5" spans="2:26" x14ac:dyDescent="0.3">
      <c r="B5" s="92" t="s">
        <v>333</v>
      </c>
      <c r="C5" s="139"/>
      <c r="D5" s="102" t="str">
        <f>IF(M5=0,"n.d.",_xlfn.CONCAT(L5,"-",M5))</f>
        <v>6-6</v>
      </c>
      <c r="E5" s="102" t="str">
        <f>IF(O5=0,"n.d.",_xlfn.CONCAT(N5,"-",O5))</f>
        <v>6-6</v>
      </c>
      <c r="F5" s="102" t="str">
        <f>IF(Q5=0,"n.d.",_xlfn.CONCAT(P5,"-",Q5))</f>
        <v>n.d.</v>
      </c>
      <c r="G5" s="102" t="str">
        <f t="shared" ref="G5:G8" si="0">IF(X5=0,"n.d.",_xlfn.CONCAT(R5,"-",S5," [",X5,"]"))</f>
        <v>0.9-4 [23]</v>
      </c>
      <c r="H5" s="102" t="str">
        <f t="shared" ref="H5:H8" si="1">IF(Y5=0,"n.d.",_xlfn.CONCAT(T5,"-",U5," [",Y5,"]"))</f>
        <v>0.7-2.2 [3]</v>
      </c>
      <c r="I5" s="102" t="str">
        <f t="shared" ref="I5:I7" si="2">IF(Z5=0,"n.d.",_xlfn.CONCAT(V5,"-",W5," [",Z5,"]"))</f>
        <v>0.4-5 [12]</v>
      </c>
      <c r="K5" s="111" t="s">
        <v>333</v>
      </c>
      <c r="L5" s="100">
        <f>_xlfn.MINIFS(LRC[lrc],LRC[mo_type],L$2,LRC[unitprocess],$K5)</f>
        <v>6</v>
      </c>
      <c r="M5" s="100">
        <f>_xlfn.MAXIFS(LRC[lrc],LRC[mo_type],M$2,LRC[unitprocess],$K5)</f>
        <v>6</v>
      </c>
      <c r="N5" s="100">
        <f>_xlfn.MINIFS(LRC[lrc],LRC[mo_type],N$2,LRC[unitprocess],$K5)</f>
        <v>6</v>
      </c>
      <c r="O5" s="100">
        <f>_xlfn.MAXIFS(LRC[lrc],LRC[mo_type],O$2,LRC[unitprocess],$K5)</f>
        <v>6</v>
      </c>
      <c r="P5" s="100">
        <f>_xlfn.MINIFS(LRC[lrc],LRC[mo_type],P$2,LRC[unitprocess],$K5)</f>
        <v>0</v>
      </c>
      <c r="Q5" s="100">
        <f>_xlfn.MAXIFS(LRC[lrc],LRC[mo_type],Q$2,LRC[unitprocess],$K5)</f>
        <v>0</v>
      </c>
      <c r="R5" s="101">
        <f>ROUND(_xlfn.MINIFS(LRV[lrv_ave],LRV[mo_type],R$2,LRV[unitprocess],$K5),1)</f>
        <v>0.9</v>
      </c>
      <c r="S5" s="101">
        <f>ROUND(_xlfn.MAXIFS(LRV[lrv_ave],LRV[mo_type],S$2,LRV[unitprocess],$K5),1)</f>
        <v>4</v>
      </c>
      <c r="T5" s="101">
        <f>ROUND(_xlfn.MINIFS(LRV[lrv_ave],LRV[mo_type],T$2,LRV[unitprocess],$K5),1)</f>
        <v>0.7</v>
      </c>
      <c r="U5" s="101">
        <f>ROUND(_xlfn.MAXIFS(LRV[lrv_ave],LRV[mo_type],U$2,LRV[unitprocess],$K5),1)</f>
        <v>2.2000000000000002</v>
      </c>
      <c r="V5" s="101">
        <f>ROUND(_xlfn.MINIFS(LRV[lrv_ave],LRV[mo_type],V$2,LRV[unitprocess],$K5),1)</f>
        <v>0.4</v>
      </c>
      <c r="W5" s="101">
        <f>ROUND(_xlfn.MAXIFS(LRV[lrv_ave],LRV[mo_type],W$2,LRV[unitprocess],$K5),1)</f>
        <v>5</v>
      </c>
      <c r="X5">
        <f>COUNTIFS(LRV[unitprocess],$K5,LRV[mo_type],X$2)</f>
        <v>23</v>
      </c>
      <c r="Y5">
        <f>COUNTIFS(LRV[unitprocess],$K5,LRV[mo_type],Y$2)</f>
        <v>3</v>
      </c>
      <c r="Z5">
        <f>COUNTIFS(LRV[unitprocess],$K5,LRV[mo_type],Z$2)</f>
        <v>12</v>
      </c>
    </row>
    <row r="6" spans="2:26" ht="41.4" x14ac:dyDescent="0.3">
      <c r="B6" s="92" t="s">
        <v>330</v>
      </c>
      <c r="C6" s="92" t="s">
        <v>1141</v>
      </c>
      <c r="D6" s="102" t="str">
        <f t="shared" ref="D6:D8" si="3">IF(M6=0,"n.d.",_xlfn.CONCAT(L6,"-",M6))</f>
        <v>1-1.5</v>
      </c>
      <c r="E6" s="102" t="str">
        <f>IF(O6=0,"n.d.",_xlfn.CONCAT(N6,"-",O6))</f>
        <v>2-2.5</v>
      </c>
      <c r="F6" s="102" t="str">
        <f>IF(Q6=0,"n.d.",_xlfn.CONCAT(P6,"-",Q6))</f>
        <v>4-4</v>
      </c>
      <c r="G6" s="102" t="str">
        <f t="shared" si="0"/>
        <v>1.1-8.7 [143]</v>
      </c>
      <c r="H6" s="102" t="str">
        <f t="shared" si="1"/>
        <v>1.4-6 [13]</v>
      </c>
      <c r="I6" s="102" t="str">
        <f t="shared" si="2"/>
        <v>3.4-7.5 [46]</v>
      </c>
      <c r="K6" s="111" t="s">
        <v>330</v>
      </c>
      <c r="L6" s="100">
        <f>_xlfn.MINIFS(LRC[lrc],LRC[mo_type],L$2,LRC[unitprocess],$K6)</f>
        <v>1</v>
      </c>
      <c r="M6" s="100">
        <f>_xlfn.MAXIFS(LRC[lrc],LRC[mo_type],M$2,LRC[unitprocess],$K6)</f>
        <v>1.5</v>
      </c>
      <c r="N6" s="100">
        <f>_xlfn.MINIFS(LRC[lrc],LRC[mo_type],N$2,LRC[unitprocess],$K6)</f>
        <v>2</v>
      </c>
      <c r="O6" s="100">
        <f>_xlfn.MAXIFS(LRC[lrc],LRC[mo_type],O$2,LRC[unitprocess],$K6)</f>
        <v>2.5</v>
      </c>
      <c r="P6" s="100">
        <f>_xlfn.MINIFS(LRC[lrc],LRC[mo_type],P$2,LRC[unitprocess],$K6)</f>
        <v>4</v>
      </c>
      <c r="Q6" s="100">
        <f>_xlfn.MAXIFS(LRC[lrc],LRC[mo_type],Q$2,LRC[unitprocess],$K6)</f>
        <v>4</v>
      </c>
      <c r="R6" s="101">
        <f>ROUND(_xlfn.MINIFS(LRV[lrv_ave],LRV[mo_type],R$2,LRV[unitprocess],$K6),1)</f>
        <v>1.1000000000000001</v>
      </c>
      <c r="S6" s="101">
        <f>ROUND(_xlfn.MAXIFS(LRV[lrv_ave],LRV[mo_type],S$2,LRV[unitprocess],$K6),1)</f>
        <v>8.6999999999999993</v>
      </c>
      <c r="T6" s="101">
        <f>ROUND(_xlfn.MINIFS(LRV[lrv_ave],LRV[mo_type],T$2,LRV[unitprocess],$K6),1)</f>
        <v>1.4</v>
      </c>
      <c r="U6" s="101">
        <f>ROUND(_xlfn.MAXIFS(LRV[lrv_ave],LRV[mo_type],U$2,LRV[unitprocess],$K6),1)</f>
        <v>6</v>
      </c>
      <c r="V6" s="101">
        <f>ROUND(_xlfn.MINIFS(LRV[lrv_ave],LRV[mo_type],V$2,LRV[unitprocess],$K6),1)</f>
        <v>3.4</v>
      </c>
      <c r="W6" s="101">
        <f>ROUND(_xlfn.MAXIFS(LRV[lrv_ave],LRV[mo_type],W$2,LRV[unitprocess],$K6),1)</f>
        <v>7.5</v>
      </c>
      <c r="X6">
        <f>COUNTIFS(LRV[unitprocess],$K6,LRV[mo_type],X$2)</f>
        <v>143</v>
      </c>
      <c r="Y6">
        <f>COUNTIFS(LRV[unitprocess],$K6,LRV[mo_type],Y$2)</f>
        <v>13</v>
      </c>
      <c r="Z6">
        <f>COUNTIFS(LRV[unitprocess],$K6,LRV[mo_type],Z$2)</f>
        <v>46</v>
      </c>
    </row>
    <row r="7" spans="2:26" ht="27.6" x14ac:dyDescent="0.3">
      <c r="B7" s="92" t="s">
        <v>6</v>
      </c>
      <c r="C7" s="92" t="s">
        <v>1142</v>
      </c>
      <c r="D7" s="102" t="str">
        <f t="shared" si="3"/>
        <v>1-4</v>
      </c>
      <c r="E7" s="102" t="str">
        <f>IF(O7=0,"n.d.",_xlfn.CONCAT(N7,"-",O7))</f>
        <v>0-3</v>
      </c>
      <c r="F7" s="102" t="str">
        <f>IF(Q7=0,"n.d.",_xlfn.CONCAT(P7,"-",Q7))</f>
        <v>1-4</v>
      </c>
      <c r="G7" s="102" t="str">
        <f t="shared" si="0"/>
        <v>-0.4-6.5 [83]</v>
      </c>
      <c r="H7" s="102" t="str">
        <f t="shared" si="1"/>
        <v>0.4-0.7 [2]</v>
      </c>
      <c r="I7" s="102" t="str">
        <f t="shared" si="2"/>
        <v>0.3-8 [55]</v>
      </c>
      <c r="K7" s="111" t="s">
        <v>6</v>
      </c>
      <c r="L7" s="100">
        <f>_xlfn.MINIFS(LRC[lrc],LRC[mo_type],L$2,LRC[unitprocess],$K7)</f>
        <v>1</v>
      </c>
      <c r="M7" s="100">
        <f>_xlfn.MAXIFS(LRC[lrc],LRC[mo_type],M$2,LRC[unitprocess],$K7)</f>
        <v>4</v>
      </c>
      <c r="N7" s="100">
        <f>_xlfn.MINIFS(LRC[lrc],LRC[mo_type],N$2,LRC[unitprocess],$K7)</f>
        <v>0</v>
      </c>
      <c r="O7" s="100">
        <f>_xlfn.MAXIFS(LRC[lrc],LRC[mo_type],O$2,LRC[unitprocess],$K7)</f>
        <v>3</v>
      </c>
      <c r="P7" s="100">
        <f>_xlfn.MINIFS(LRC[lrc],LRC[mo_type],P$2,LRC[unitprocess],$K7)</f>
        <v>1</v>
      </c>
      <c r="Q7" s="100">
        <f>_xlfn.MAXIFS(LRC[lrc],LRC[mo_type],Q$2,LRC[unitprocess],$K7)</f>
        <v>4</v>
      </c>
      <c r="R7" s="101">
        <f>ROUND(_xlfn.MINIFS(LRV[lrv_ave],LRV[mo_type],R$2,LRV[unitprocess],$K7),1)</f>
        <v>-0.4</v>
      </c>
      <c r="S7" s="101">
        <f>ROUND(_xlfn.MAXIFS(LRV[lrv_ave],LRV[mo_type],S$2,LRV[unitprocess],$K7),1)</f>
        <v>6.5</v>
      </c>
      <c r="T7" s="101">
        <f>ROUND(_xlfn.MINIFS(LRV[lrv_ave],LRV[mo_type],T$2,LRV[unitprocess],$K7),1)</f>
        <v>0.4</v>
      </c>
      <c r="U7" s="101">
        <f>ROUND(_xlfn.MAXIFS(LRV[lrv_ave],LRV[mo_type],U$2,LRV[unitprocess],$K7),1)</f>
        <v>0.7</v>
      </c>
      <c r="V7" s="101">
        <f>ROUND(_xlfn.MINIFS(LRV[lrv_ave],LRV[mo_type],V$2,LRV[unitprocess],$K7),1)</f>
        <v>0.3</v>
      </c>
      <c r="W7" s="101">
        <f>ROUND(_xlfn.MAXIFS(LRV[lrv_ave],LRV[mo_type],W$2,LRV[unitprocess],$K7),1)</f>
        <v>8</v>
      </c>
      <c r="X7">
        <f>COUNTIFS(LRV[unitprocess],$K7,LRV[mo_type],X$2)</f>
        <v>83</v>
      </c>
      <c r="Y7">
        <f>COUNTIFS(LRV[unitprocess],$K7,LRV[mo_type],Y$2)</f>
        <v>2</v>
      </c>
      <c r="Z7">
        <f>COUNTIFS(LRV[unitprocess],$K7,LRV[mo_type],Z$2)</f>
        <v>55</v>
      </c>
    </row>
    <row r="8" spans="2:26" ht="43.2" customHeight="1" x14ac:dyDescent="0.3">
      <c r="B8" s="92" t="s">
        <v>335</v>
      </c>
      <c r="C8" s="92" t="s">
        <v>1143</v>
      </c>
      <c r="D8" s="102" t="str">
        <f t="shared" si="3"/>
        <v>1-4</v>
      </c>
      <c r="E8" s="102" t="str">
        <f>IF(O8=0,"n.d.",_xlfn.CONCAT(N8,"-",O8))</f>
        <v>0.25-3</v>
      </c>
      <c r="F8" s="102" t="str">
        <f>IF(Q8=0,"n.d.",_xlfn.CONCAT(P8,"-",Q8))</f>
        <v>1-4</v>
      </c>
      <c r="G8" s="102" t="str">
        <f t="shared" si="0"/>
        <v>0.2-5.6 [30]</v>
      </c>
      <c r="H8" s="102" t="str">
        <f t="shared" si="1"/>
        <v>2-2 [14]</v>
      </c>
      <c r="I8" s="102" t="str">
        <f>IF(Z8=0,"n.d.",_xlfn.CONCAT(V8,"-",W8," [",Z8,"]"))</f>
        <v>0.3-4 [20]</v>
      </c>
      <c r="K8" s="111" t="s">
        <v>335</v>
      </c>
      <c r="L8" s="100">
        <f>_xlfn.MINIFS(LRC[lrc],LRC[mo_type],L$2,LRC[unitprocess],$K8)</f>
        <v>1</v>
      </c>
      <c r="M8" s="100">
        <f>_xlfn.MAXIFS(LRC[lrc],LRC[mo_type],M$2,LRC[unitprocess],$K8)</f>
        <v>4</v>
      </c>
      <c r="N8" s="100">
        <f>_xlfn.MINIFS(LRC[lrc],LRC[mo_type],N$2,LRC[unitprocess],$K8)</f>
        <v>0.25</v>
      </c>
      <c r="O8" s="100">
        <f>_xlfn.MAXIFS(LRC[lrc],LRC[mo_type],O$2,LRC[unitprocess],$K8)</f>
        <v>3</v>
      </c>
      <c r="P8" s="100">
        <f>_xlfn.MINIFS(LRC[lrc],LRC[mo_type],P$2,LRC[unitprocess],$K8)</f>
        <v>1</v>
      </c>
      <c r="Q8" s="100">
        <f>_xlfn.MAXIFS(LRC[lrc],LRC[mo_type],Q$2,LRC[unitprocess],$K8)</f>
        <v>4</v>
      </c>
      <c r="R8" s="101">
        <f>ROUND(_xlfn.MINIFS(LRV[lrv_ave],LRV[mo_type],R$2,LRV[unitprocess],$K8),1)</f>
        <v>0.2</v>
      </c>
      <c r="S8" s="101">
        <f>ROUND(_xlfn.MAXIFS(LRV[lrv_ave],LRV[mo_type],S$2,LRV[unitprocess],$K8),1)</f>
        <v>5.6</v>
      </c>
      <c r="T8" s="101">
        <f>ROUND(_xlfn.MINIFS(LRV[lrv_ave],LRV[mo_type],T$2,LRV[unitprocess],$K8),1)</f>
        <v>2</v>
      </c>
      <c r="U8" s="101">
        <f>ROUND(_xlfn.MAXIFS(LRV[lrv_ave],LRV[mo_type],U$2,LRV[unitprocess],$K8),1)</f>
        <v>2</v>
      </c>
      <c r="V8" s="101">
        <f>ROUND(_xlfn.MINIFS(LRV[lrv_ave],LRV[mo_type],V$2,LRV[unitprocess],$K8),1)</f>
        <v>0.3</v>
      </c>
      <c r="W8" s="101">
        <f>ROUND(_xlfn.MAXIFS(LRV[lrv_ave],LRV[mo_type],W$2,LRV[unitprocess],$K8),1)</f>
        <v>4</v>
      </c>
      <c r="X8">
        <f>COUNTIFS(LRV[unitprocess],$K8,LRV[mo_type],X$2)</f>
        <v>30</v>
      </c>
      <c r="Y8">
        <f>COUNTIFS(LRV[unitprocess],$K8,LRV[mo_type],Y$2)</f>
        <v>14</v>
      </c>
      <c r="Z8">
        <f>COUNTIFS(LRV[unitprocess],$K8,LRV[mo_type],Z$2)</f>
        <v>20</v>
      </c>
    </row>
    <row r="9" spans="2:26" ht="27.6" x14ac:dyDescent="0.3">
      <c r="B9" s="92" t="s">
        <v>1056</v>
      </c>
      <c r="C9" s="92" t="s">
        <v>1295</v>
      </c>
      <c r="D9" s="102" t="str">
        <f>IF(M11=0,"n.d.",_xlfn.CONCAT(L11,"-",M11))</f>
        <v>n.d.</v>
      </c>
      <c r="E9" s="102" t="str">
        <f>IF(O11=0,"n.d.",_xlfn.CONCAT(N11,"-",O11))</f>
        <v>4-4</v>
      </c>
      <c r="F9" s="102" t="str">
        <f>IF(Q11=0,"n.d.",_xlfn.CONCAT(P11,"-",Q11))</f>
        <v>n.d.</v>
      </c>
      <c r="G9" s="102" t="str">
        <f>IF(X11=0,"n.d.",_xlfn.CONCAT(R11,"-",S11," [",X11,"]"))</f>
        <v>0.3-5.8 [24]</v>
      </c>
      <c r="H9" s="102" t="str">
        <f>IF(Y11=0,"n.d.",_xlfn.CONCAT(T11,"-",U11," [",Y11,"]"))</f>
        <v>n.d.</v>
      </c>
      <c r="I9" s="102" t="str">
        <f>IF(Z11=0,"n.d.",_xlfn.CONCAT(V11,"-",W11," [",Z11,"]"))</f>
        <v>1.5-7.4 [24]</v>
      </c>
      <c r="K9" s="112" t="s">
        <v>340</v>
      </c>
      <c r="L9" s="100">
        <f>_xlfn.MINIFS(LRC[lrc],LRC[mo_type],L$2,LRC[unitprocess],$K9)</f>
        <v>0</v>
      </c>
      <c r="M9" s="100">
        <f>_xlfn.MAXIFS(LRC[lrc],LRC[mo_type],M$2,LRC[unitprocess],$K9)</f>
        <v>0</v>
      </c>
      <c r="N9" s="100">
        <f>_xlfn.MINIFS(LRC[lrc],LRC[mo_type],N$2,LRC[unitprocess],$K9)</f>
        <v>0</v>
      </c>
      <c r="O9" s="100">
        <f>_xlfn.MAXIFS(LRC[lrc],LRC[mo_type],O$2,LRC[unitprocess],$K9)</f>
        <v>0</v>
      </c>
      <c r="P9" s="100">
        <f>_xlfn.MINIFS(LRC[lrc],LRC[mo_type],P$2,LRC[unitprocess],$K9)</f>
        <v>0</v>
      </c>
      <c r="Q9" s="100">
        <f>_xlfn.MAXIFS(LRC[lrc],LRC[mo_type],Q$2,LRC[unitprocess],$K9)</f>
        <v>0</v>
      </c>
      <c r="R9" s="101">
        <f>ROUND(_xlfn.MINIFS(LRV[lrv_ave],LRV[mo_type],R$2,LRV[unitprocess],$K9),1)</f>
        <v>0.3</v>
      </c>
      <c r="S9" s="101">
        <f>ROUND(_xlfn.MAXIFS(LRV[lrv_ave],LRV[mo_type],S$2,LRV[unitprocess],$K9),1)</f>
        <v>5.8</v>
      </c>
      <c r="T9" s="101">
        <f>ROUND(_xlfn.MINIFS(LRV[lrv_ave],LRV[mo_type],T$2,LRV[unitprocess],$K9),1)</f>
        <v>0</v>
      </c>
      <c r="U9" s="101">
        <f>ROUND(_xlfn.MAXIFS(LRV[lrv_ave],LRV[mo_type],U$2,LRV[unitprocess],$K9),1)</f>
        <v>0</v>
      </c>
      <c r="V9" s="101">
        <f>ROUND(_xlfn.MINIFS(LRV[lrv_ave],LRV[mo_type],V$2,LRV[unitprocess],$K9),1)</f>
        <v>1.5</v>
      </c>
      <c r="W9" s="101">
        <f>ROUND(_xlfn.MAXIFS(LRV[lrv_ave],LRV[mo_type],W$2,LRV[unitprocess],$K9),1)</f>
        <v>7.4</v>
      </c>
      <c r="X9">
        <f>COUNTIFS(LRV[unitprocess],$K9,LRV[mo_type],X$2)</f>
        <v>16</v>
      </c>
      <c r="Y9">
        <f>COUNTIFS(LRV[unitprocess],$K9,LRV[mo_type],Y$2)</f>
        <v>0</v>
      </c>
      <c r="Z9">
        <f>COUNTIFS(LRV[unitprocess],$K9,LRV[mo_type],Z$2)</f>
        <v>23</v>
      </c>
    </row>
    <row r="10" spans="2:26" ht="41.4" x14ac:dyDescent="0.3">
      <c r="B10" s="92" t="s">
        <v>1296</v>
      </c>
      <c r="C10" s="92" t="s">
        <v>1297</v>
      </c>
      <c r="D10" s="102" t="str">
        <f>IF(M14=0,"n.d.",_xlfn.CONCAT(L14,"-",M14))</f>
        <v>2-4</v>
      </c>
      <c r="E10" s="102" t="str">
        <f>IF(O14=0,"n.d.",_xlfn.CONCAT(N14,"-",O14))</f>
        <v>2-4</v>
      </c>
      <c r="F10" s="102" t="str">
        <f>IF(Q14=0,"n.d.",_xlfn.CONCAT(P14,"-",Q14))</f>
        <v>2-4</v>
      </c>
      <c r="G10" s="102" t="str">
        <f>IF(X14=0,"n.d.",_xlfn.CONCAT(R14,"-",S14," [",X14,"]"))</f>
        <v>2.4-3.9 [33]</v>
      </c>
      <c r="H10" s="102" t="str">
        <f>IF(Y14=0,"n.d.",_xlfn.CONCAT(T14,"-",U14," [",Y14,"]"))</f>
        <v>n.d.</v>
      </c>
      <c r="I10" s="102" t="str">
        <f>IF(Z14=0,"n.d.",_xlfn.CONCAT(V14,"-",W14," [",Z14,"]"))</f>
        <v>0-1.9 [28]</v>
      </c>
      <c r="K10" s="112" t="s">
        <v>351</v>
      </c>
      <c r="L10" s="100">
        <f>_xlfn.MINIFS(LRC[lrc],LRC[mo_type],L$2,LRC[unitprocess],$K10)</f>
        <v>0</v>
      </c>
      <c r="M10" s="100">
        <f>_xlfn.MAXIFS(LRC[lrc],LRC[mo_type],M$2,LRC[unitprocess],$K10)</f>
        <v>0</v>
      </c>
      <c r="N10" s="100">
        <f>_xlfn.MINIFS(LRC[lrc],LRC[mo_type],N$2,LRC[unitprocess],$K10)</f>
        <v>0</v>
      </c>
      <c r="O10" s="100">
        <f>_xlfn.MAXIFS(LRC[lrc],LRC[mo_type],O$2,LRC[unitprocess],$K10)</f>
        <v>0</v>
      </c>
      <c r="P10" s="100">
        <f>_xlfn.MINIFS(LRC[lrc],LRC[mo_type],P$2,LRC[unitprocess],$K10)</f>
        <v>0</v>
      </c>
      <c r="Q10" s="100">
        <f>_xlfn.MAXIFS(LRC[lrc],LRC[mo_type],Q$2,LRC[unitprocess],$K10)</f>
        <v>0</v>
      </c>
      <c r="R10" s="101">
        <f>ROUND(_xlfn.MINIFS(LRV[lrv_ave],LRV[mo_type],R$2,LRV[unitprocess],$K10),1)</f>
        <v>0.8</v>
      </c>
      <c r="S10" s="101">
        <f>ROUND(_xlfn.MAXIFS(LRV[lrv_ave],LRV[mo_type],S$2,LRV[unitprocess],$K10),1)</f>
        <v>4.9000000000000004</v>
      </c>
      <c r="T10" s="101">
        <f>ROUND(_xlfn.MINIFS(LRV[lrv_ave],LRV[mo_type],T$2,LRV[unitprocess],$K10),1)</f>
        <v>0</v>
      </c>
      <c r="U10" s="101">
        <f>ROUND(_xlfn.MAXIFS(LRV[lrv_ave],LRV[mo_type],U$2,LRV[unitprocess],$K10),1)</f>
        <v>0</v>
      </c>
      <c r="V10" s="101">
        <f>ROUND(_xlfn.MINIFS(LRV[lrv_ave],LRV[mo_type],V$2,LRV[unitprocess],$K10),1)</f>
        <v>4.7</v>
      </c>
      <c r="W10" s="101">
        <f>ROUND(_xlfn.MAXIFS(LRV[lrv_ave],LRV[mo_type],W$2,LRV[unitprocess],$K10),1)</f>
        <v>4.7</v>
      </c>
      <c r="X10">
        <f>COUNTIFS(LRV[unitprocess],$K10,LRV[mo_type],X$2)</f>
        <v>8</v>
      </c>
      <c r="Y10">
        <f>COUNTIFS(LRV[unitprocess],$K10,LRV[mo_type],Y$2)</f>
        <v>0</v>
      </c>
      <c r="Z10">
        <f>COUNTIFS(LRV[unitprocess],$K10,LRV[mo_type],Z$2)</f>
        <v>1</v>
      </c>
    </row>
    <row r="11" spans="2:26" ht="27.6" x14ac:dyDescent="0.3">
      <c r="B11" s="92" t="s">
        <v>1054</v>
      </c>
      <c r="C11" s="92" t="s">
        <v>1145</v>
      </c>
      <c r="D11" s="102" t="str">
        <f>IF(M15=0,"n.d.",_xlfn.CONCAT(L15,"-",M15))</f>
        <v>1.9-1.9</v>
      </c>
      <c r="E11" s="102" t="str">
        <f>IF(O15=0,"n.d.",_xlfn.CONCAT(N15,"-",O15))</f>
        <v>0.8-1.2</v>
      </c>
      <c r="F11" s="102" t="str">
        <f>IF(Q15=0,"n.d.",_xlfn.CONCAT(P15,"-",Q15))</f>
        <v>n.d.</v>
      </c>
      <c r="G11" s="102" t="str">
        <f>IF(X15=0,"n.d.",_xlfn.CONCAT(R15,"-",S15," [",X15,"]"))</f>
        <v>0.8-3.5 [28]</v>
      </c>
      <c r="H11" s="102" t="str">
        <f>IF(Y15=0,"n.d.",_xlfn.CONCAT(T15,"-",U15," [",Y15,"]"))</f>
        <v>1.1-3.5 [12]</v>
      </c>
      <c r="I11" s="102" t="str">
        <f>IF(Z15=0,"n.d.",_xlfn.CONCAT(V15,"-",W15," [",Z15,"]"))</f>
        <v>1.2-3.2 [17]</v>
      </c>
      <c r="K11" s="112" t="s">
        <v>1056</v>
      </c>
      <c r="L11" s="100">
        <f>_xlfn.MINIFS(LRC[lrc],LRC[mo_type],L$2,LRC[unitprocess],$K11)</f>
        <v>0</v>
      </c>
      <c r="M11" s="100">
        <f>_xlfn.MAXIFS(LRC[lrc],LRC[mo_type],M$2,LRC[unitprocess],$K11)</f>
        <v>0</v>
      </c>
      <c r="N11" s="100">
        <f>_xlfn.MINIFS(LRC[lrc],LRC[mo_type],N$2,LRC[unitprocess],$K11)</f>
        <v>4</v>
      </c>
      <c r="O11" s="100">
        <f>_xlfn.MAXIFS(LRC[lrc],LRC[mo_type],O$2,LRC[unitprocess],$K11)</f>
        <v>4</v>
      </c>
      <c r="P11" s="100">
        <f>_xlfn.MINIFS(LRC[lrc],LRC[mo_type],P$2,LRC[unitprocess],$K11)</f>
        <v>0</v>
      </c>
      <c r="Q11" s="100">
        <f>_xlfn.MAXIFS(LRC[lrc],LRC[mo_type],Q$2,LRC[unitprocess],$K11)</f>
        <v>0</v>
      </c>
      <c r="R11" s="101">
        <f>MIN(R9:R10)</f>
        <v>0.3</v>
      </c>
      <c r="S11" s="101">
        <f>MAX(S9:S10)</f>
        <v>5.8</v>
      </c>
      <c r="T11" s="101">
        <f t="shared" ref="T11" si="4">MIN(T9:T10)</f>
        <v>0</v>
      </c>
      <c r="U11" s="101">
        <f t="shared" ref="U11" si="5">MAX(U9:U10)</f>
        <v>0</v>
      </c>
      <c r="V11" s="101">
        <f t="shared" ref="V11" si="6">MIN(V9:V10)</f>
        <v>1.5</v>
      </c>
      <c r="W11" s="101">
        <f t="shared" ref="W11" si="7">MAX(W9:W10)</f>
        <v>7.4</v>
      </c>
      <c r="X11">
        <f>X9+X10</f>
        <v>24</v>
      </c>
      <c r="Y11">
        <f t="shared" ref="Y11:Z11" si="8">Y9+Y10</f>
        <v>0</v>
      </c>
      <c r="Z11">
        <f t="shared" si="8"/>
        <v>24</v>
      </c>
    </row>
    <row r="12" spans="2:26" x14ac:dyDescent="0.3">
      <c r="B12" s="136" t="s">
        <v>1146</v>
      </c>
      <c r="C12" s="136"/>
      <c r="D12" s="136"/>
      <c r="E12" s="136"/>
      <c r="F12" s="136"/>
      <c r="G12" s="136"/>
      <c r="H12" s="136"/>
      <c r="I12" s="136"/>
      <c r="K12" s="111" t="s">
        <v>379</v>
      </c>
      <c r="L12" s="100">
        <f>_xlfn.MINIFS(LRC[lrc],LRC[mo_type],L$2,LRC[unitprocess],$K12)</f>
        <v>2</v>
      </c>
      <c r="M12" s="100">
        <f>_xlfn.MAXIFS(LRC[lrc],LRC[mo_type],M$2,LRC[unitprocess],$K12)</f>
        <v>2</v>
      </c>
      <c r="N12" s="100">
        <f>_xlfn.MINIFS(LRC[lrc],LRC[mo_type],N$2,LRC[unitprocess],$K12)</f>
        <v>2</v>
      </c>
      <c r="O12" s="100">
        <f>_xlfn.MAXIFS(LRC[lrc],LRC[mo_type],O$2,LRC[unitprocess],$K12)</f>
        <v>2</v>
      </c>
      <c r="P12" s="100">
        <f>_xlfn.MINIFS(LRC[lrc],LRC[mo_type],P$2,LRC[unitprocess],$K12)</f>
        <v>0</v>
      </c>
      <c r="Q12" s="100">
        <f>_xlfn.MAXIFS(LRC[lrc],LRC[mo_type],Q$2,LRC[unitprocess],$K12)</f>
        <v>0</v>
      </c>
      <c r="R12" s="101">
        <f>ROUND(_xlfn.MINIFS(LRV[lrv_ave],LRV[mo_type],R$2,LRV[unitprocess],$K12),1)</f>
        <v>3.9</v>
      </c>
      <c r="S12" s="101">
        <f>ROUND(_xlfn.MAXIFS(LRV[lrv_ave],LRV[mo_type],S$2,LRV[unitprocess],$K12),1)</f>
        <v>3.9</v>
      </c>
      <c r="T12" s="101">
        <f>ROUND(_xlfn.MINIFS(LRV[lrv_ave],LRV[mo_type],T$2,LRV[unitprocess],$K12),1)</f>
        <v>0</v>
      </c>
      <c r="U12" s="101">
        <f>ROUND(_xlfn.MAXIFS(LRV[lrv_ave],LRV[mo_type],U$2,LRV[unitprocess],$K12),1)</f>
        <v>0</v>
      </c>
      <c r="V12" s="101">
        <f>ROUND(_xlfn.MINIFS(LRV[lrv_ave],LRV[mo_type],V$2,LRV[unitprocess],$K12),1)</f>
        <v>0</v>
      </c>
      <c r="W12" s="101">
        <f>ROUND(_xlfn.MAXIFS(LRV[lrv_ave],LRV[mo_type],W$2,LRV[unitprocess],$K12),1)</f>
        <v>0</v>
      </c>
      <c r="X12">
        <f>X10+X11</f>
        <v>32</v>
      </c>
      <c r="Y12">
        <f t="shared" ref="Y12" si="9">Y10+Y11</f>
        <v>0</v>
      </c>
      <c r="Z12">
        <f>Z10+Z11</f>
        <v>25</v>
      </c>
    </row>
    <row r="13" spans="2:26" x14ac:dyDescent="0.3">
      <c r="K13" s="111" t="s">
        <v>377</v>
      </c>
      <c r="L13" s="100">
        <f>_xlfn.MINIFS(LRC[lrc],LRC[mo_type],L$2,LRC[unitprocess],$K13)</f>
        <v>0</v>
      </c>
      <c r="M13" s="100">
        <f>_xlfn.MAXIFS(LRC[lrc],LRC[mo_type],M$2,LRC[unitprocess],$K13)</f>
        <v>0</v>
      </c>
      <c r="N13" s="100">
        <f>_xlfn.MINIFS(LRC[lrc],LRC[mo_type],N$2,LRC[unitprocess],$K13)</f>
        <v>0</v>
      </c>
      <c r="O13" s="100">
        <f>_xlfn.MAXIFS(LRC[lrc],LRC[mo_type],O$2,LRC[unitprocess],$K13)</f>
        <v>0</v>
      </c>
      <c r="P13" s="100">
        <f>_xlfn.MINIFS(LRC[lrc],LRC[mo_type],P$2,LRC[unitprocess],$K13)</f>
        <v>0</v>
      </c>
      <c r="Q13" s="100">
        <f>_xlfn.MAXIFS(LRC[lrc],LRC[mo_type],Q$2,LRC[unitprocess],$K13)</f>
        <v>0</v>
      </c>
      <c r="R13" s="101">
        <f>ROUND(_xlfn.MINIFS(LRV[lrv_ave],LRV[mo_type],R$2,LRV[unitprocess],$K13),1)</f>
        <v>2.4</v>
      </c>
      <c r="S13" s="101">
        <f>ROUND(_xlfn.MAXIFS(LRV[lrv_ave],LRV[mo_type],S$2,LRV[unitprocess],$K13),1)</f>
        <v>2.4</v>
      </c>
      <c r="T13" s="101">
        <f>ROUND(_xlfn.MINIFS(LRV[lrv_ave],LRV[mo_type],T$2,LRV[unitprocess],$K13),1)</f>
        <v>0</v>
      </c>
      <c r="U13" s="101">
        <f>ROUND(_xlfn.MAXIFS(LRV[lrv_ave],LRV[mo_type],U$2,LRV[unitprocess],$K13),1)</f>
        <v>0</v>
      </c>
      <c r="V13" s="101">
        <f>ROUND(_xlfn.MINIFS(LRV[lrv_ave],LRV[mo_type],V$2,LRV[unitprocess],$K13),1)</f>
        <v>1.8</v>
      </c>
      <c r="W13" s="101">
        <f>ROUND(_xlfn.MAXIFS(LRV[lrv_ave],LRV[mo_type],W$2,LRV[unitprocess],$K13),1)</f>
        <v>1.9</v>
      </c>
      <c r="X13">
        <f>COUNTIFS(LRV[unitprocess],$K13,LRV[mo_type],X$2)</f>
        <v>1</v>
      </c>
      <c r="Y13">
        <f>COUNTIFS(LRV[unitprocess],$K13,LRV[mo_type],Y$2)</f>
        <v>0</v>
      </c>
      <c r="Z13">
        <f>COUNTIFS(LRV[unitprocess],$K13,LRV[mo_type],Z$2)</f>
        <v>3</v>
      </c>
    </row>
    <row r="14" spans="2:26" ht="27.6" x14ac:dyDescent="0.3">
      <c r="K14" s="112" t="s">
        <v>1296</v>
      </c>
      <c r="L14" s="100">
        <f>_xlfn.MINIFS(LRC[lrc],LRC[mo_type],L$2,LRC[unitprocess],$K14)</f>
        <v>2</v>
      </c>
      <c r="M14" s="100">
        <f>_xlfn.MAXIFS(LRC[lrc],LRC[mo_type],M$2,LRC[unitprocess],$K14)</f>
        <v>4</v>
      </c>
      <c r="N14" s="100">
        <f>_xlfn.MINIFS(LRC[lrc],LRC[mo_type],N$2,LRC[unitprocess],$K14)</f>
        <v>2</v>
      </c>
      <c r="O14" s="100">
        <f>_xlfn.MAXIFS(LRC[lrc],LRC[mo_type],O$2,LRC[unitprocess],$K14)</f>
        <v>4</v>
      </c>
      <c r="P14" s="100">
        <f>_xlfn.MINIFS(LRC[lrc],LRC[mo_type],P$2,LRC[unitprocess],$K14)</f>
        <v>2</v>
      </c>
      <c r="Q14" s="100">
        <f>_xlfn.MAXIFS(LRC[lrc],LRC[mo_type],Q$2,LRC[unitprocess],$K14)</f>
        <v>4</v>
      </c>
      <c r="R14" s="101">
        <f>MIN(R12:R13)</f>
        <v>2.4</v>
      </c>
      <c r="S14" s="101">
        <f>MAX(S12:S13)</f>
        <v>3.9</v>
      </c>
      <c r="T14" s="101">
        <f t="shared" ref="T14" si="10">MIN(T12:T13)</f>
        <v>0</v>
      </c>
      <c r="U14" s="101">
        <f t="shared" ref="U14" si="11">MAX(U12:U13)</f>
        <v>0</v>
      </c>
      <c r="V14" s="101">
        <f>MIN(V12:V13)</f>
        <v>0</v>
      </c>
      <c r="W14" s="101">
        <f>MAX(W12:W13)</f>
        <v>1.9</v>
      </c>
      <c r="X14">
        <f>X12+X13</f>
        <v>33</v>
      </c>
      <c r="Y14">
        <f t="shared" ref="Y14" si="12">Y12+Y13</f>
        <v>0</v>
      </c>
      <c r="Z14">
        <f>Z12+Z13</f>
        <v>28</v>
      </c>
    </row>
    <row r="15" spans="2:26" x14ac:dyDescent="0.3">
      <c r="K15" s="111" t="s">
        <v>1215</v>
      </c>
      <c r="L15" s="100">
        <f>_xlfn.MINIFS(LRC[lrc],LRC[mo_type],L$2,LRC[unitprocess],$K15)</f>
        <v>1.9</v>
      </c>
      <c r="M15" s="100">
        <f>_xlfn.MAXIFS(LRC[lrc],LRC[mo_type],M$2,LRC[unitprocess],$K15)</f>
        <v>1.9</v>
      </c>
      <c r="N15" s="100">
        <f>_xlfn.MINIFS(LRC[lrc],LRC[mo_type],N$2,LRC[unitprocess],$K15)</f>
        <v>0.8</v>
      </c>
      <c r="O15" s="100">
        <f>_xlfn.MAXIFS(LRC[lrc],LRC[mo_type],O$2,LRC[unitprocess],$K15)</f>
        <v>1.2</v>
      </c>
      <c r="P15" s="100">
        <f>_xlfn.MINIFS(LRC[lrc],LRC[mo_type],P$2,LRC[unitprocess],$K15)</f>
        <v>0</v>
      </c>
      <c r="Q15" s="100">
        <f>_xlfn.MAXIFS(LRC[lrc],LRC[mo_type],Q$2,LRC[unitprocess],$K15)</f>
        <v>0</v>
      </c>
      <c r="R15" s="101">
        <f>ROUND(_xlfn.MINIFS(LRV[lrv_ave],LRV[mo_type],R$2,LRV[unitprocess],$K15),1)</f>
        <v>0.8</v>
      </c>
      <c r="S15" s="101">
        <f>ROUND(_xlfn.MAXIFS(LRV[lrv_ave],LRV[mo_type],S$2,LRV[unitprocess],$K15),1)</f>
        <v>3.5</v>
      </c>
      <c r="T15" s="101">
        <f>ROUND(_xlfn.MINIFS(LRV[lrv_ave],LRV[mo_type],T$2,LRV[unitprocess],$K15),1)</f>
        <v>1.1000000000000001</v>
      </c>
      <c r="U15" s="101">
        <f>ROUND(_xlfn.MAXIFS(LRV[lrv_ave],LRV[mo_type],U$2,LRV[unitprocess],$K15),1)</f>
        <v>3.5</v>
      </c>
      <c r="V15" s="101">
        <f>ROUND(_xlfn.MINIFS(LRV[lrv_ave],LRV[mo_type],V$2,LRV[unitprocess],$K15),1)</f>
        <v>1.2</v>
      </c>
      <c r="W15" s="101">
        <f>ROUND(_xlfn.MAXIFS(LRV[lrv_ave],LRV[mo_type],W$2,LRV[unitprocess],$K15),1)</f>
        <v>3.2</v>
      </c>
      <c r="X15">
        <f>COUNTIFS(LRV[unitprocess],$K15,LRV[mo_type],X$2)</f>
        <v>28</v>
      </c>
      <c r="Y15">
        <f>COUNTIFS(LRV[unitprocess],$K15,LRV[mo_type],Y$2)</f>
        <v>12</v>
      </c>
      <c r="Z15">
        <f>COUNTIFS(LRV[unitprocess],$K15,LRV[mo_type],Z$2)</f>
        <v>17</v>
      </c>
    </row>
  </sheetData>
  <mergeCells count="8">
    <mergeCell ref="L1:Q1"/>
    <mergeCell ref="R1:W1"/>
    <mergeCell ref="G2:I2"/>
    <mergeCell ref="B12:I12"/>
    <mergeCell ref="B2:B3"/>
    <mergeCell ref="C2:C3"/>
    <mergeCell ref="D2:F2"/>
    <mergeCell ref="C4:C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237DA-5EEA-4C49-85C7-FA475194A277}">
  <sheetPr codeName="Sheet4"/>
  <dimension ref="A1:AR1153"/>
  <sheetViews>
    <sheetView zoomScale="70" zoomScaleNormal="70" workbookViewId="0">
      <selection activeCell="AD23" sqref="AD23"/>
    </sheetView>
  </sheetViews>
  <sheetFormatPr defaultRowHeight="14.4" x14ac:dyDescent="0.3"/>
  <cols>
    <col min="3" max="6" width="8.88671875" style="13"/>
    <col min="9" max="9" width="18.109375" customWidth="1"/>
    <col min="10" max="10" width="9.6640625" customWidth="1"/>
    <col min="25" max="25" width="32.33203125" bestFit="1" customWidth="1"/>
    <col min="27" max="27" width="35.6640625" bestFit="1" customWidth="1"/>
    <col min="32" max="32" width="21.6640625" bestFit="1" customWidth="1"/>
    <col min="34" max="34" width="29.33203125" customWidth="1"/>
    <col min="39" max="39" width="13.6640625" customWidth="1"/>
    <col min="41" max="41" width="25" customWidth="1"/>
  </cols>
  <sheetData>
    <row r="1" spans="1:44" x14ac:dyDescent="0.3">
      <c r="I1" s="140" t="s">
        <v>304</v>
      </c>
      <c r="J1" s="140"/>
      <c r="K1" s="140"/>
      <c r="L1" s="140"/>
      <c r="Q1" s="140" t="s">
        <v>305</v>
      </c>
      <c r="R1" s="140"/>
      <c r="S1" s="140"/>
      <c r="T1" s="140"/>
      <c r="Y1" s="141" t="s">
        <v>306</v>
      </c>
      <c r="Z1" s="141"/>
      <c r="AA1" s="141"/>
      <c r="AB1" s="141"/>
      <c r="AC1" s="141"/>
      <c r="AD1" s="141"/>
      <c r="AF1" s="141" t="s">
        <v>307</v>
      </c>
      <c r="AG1" s="141"/>
      <c r="AH1" s="141"/>
      <c r="AI1" s="141"/>
      <c r="AJ1" s="141"/>
      <c r="AK1" s="141"/>
      <c r="AM1" s="140" t="s">
        <v>308</v>
      </c>
      <c r="AN1" s="140"/>
      <c r="AO1" s="140"/>
      <c r="AP1" s="140"/>
      <c r="AQ1" s="140"/>
      <c r="AR1" s="140"/>
    </row>
    <row r="2" spans="1:44" s="103" customFormat="1" ht="57.6" x14ac:dyDescent="0.3">
      <c r="A2"/>
      <c r="B2" s="4" t="s">
        <v>292</v>
      </c>
      <c r="C2" s="4" t="s">
        <v>293</v>
      </c>
      <c r="D2" s="4" t="s">
        <v>294</v>
      </c>
      <c r="E2" s="4" t="s">
        <v>295</v>
      </c>
      <c r="F2" s="4"/>
      <c r="G2" s="4" t="s">
        <v>296</v>
      </c>
      <c r="I2" s="103" t="s">
        <v>310</v>
      </c>
      <c r="J2" s="103" t="s">
        <v>311</v>
      </c>
      <c r="K2" s="103" t="s">
        <v>312</v>
      </c>
      <c r="L2" s="103" t="s">
        <v>313</v>
      </c>
      <c r="M2" s="103" t="s">
        <v>314</v>
      </c>
      <c r="N2" s="103" t="s">
        <v>315</v>
      </c>
      <c r="O2" s="103" t="s">
        <v>316</v>
      </c>
      <c r="Q2" s="103" t="s">
        <v>310</v>
      </c>
      <c r="R2" s="103" t="s">
        <v>311</v>
      </c>
      <c r="S2" s="103" t="s">
        <v>312</v>
      </c>
      <c r="T2" s="103" t="s">
        <v>313</v>
      </c>
      <c r="U2" s="103" t="s">
        <v>314</v>
      </c>
      <c r="V2" s="103" t="s">
        <v>315</v>
      </c>
      <c r="W2" s="103" t="s">
        <v>316</v>
      </c>
      <c r="Y2" s="104"/>
      <c r="Z2" s="104" t="s">
        <v>317</v>
      </c>
      <c r="AA2" s="104" t="s">
        <v>318</v>
      </c>
      <c r="AB2" s="104" t="s">
        <v>319</v>
      </c>
      <c r="AC2" s="104" t="s">
        <v>320</v>
      </c>
      <c r="AD2" s="104" t="s">
        <v>321</v>
      </c>
      <c r="AF2" s="104"/>
      <c r="AG2" s="104" t="s">
        <v>317</v>
      </c>
      <c r="AH2" s="104" t="s">
        <v>318</v>
      </c>
      <c r="AI2" s="104" t="s">
        <v>322</v>
      </c>
      <c r="AJ2" s="104" t="s">
        <v>323</v>
      </c>
      <c r="AK2" s="104" t="s">
        <v>324</v>
      </c>
      <c r="AM2" s="104"/>
      <c r="AN2" s="104" t="s">
        <v>317</v>
      </c>
      <c r="AO2" s="104" t="s">
        <v>318</v>
      </c>
      <c r="AP2" s="104" t="s">
        <v>325</v>
      </c>
      <c r="AQ2" s="104" t="s">
        <v>326</v>
      </c>
      <c r="AR2" s="104" t="s">
        <v>327</v>
      </c>
    </row>
    <row r="3" spans="1:44" x14ac:dyDescent="0.3">
      <c r="A3" s="103"/>
      <c r="B3" s="110" cm="1">
        <f t="array" ref="B3:B1153">_xlfn._xlws.SORT(_xlfn.UNIQUE(_xlfn._xlws.FILTER(LRV[id],1)))</f>
        <v>1</v>
      </c>
      <c r="C3" s="13" t="str">
        <f>_xlfn.XLOOKUP($B3,LRV[id],LRV[source])</f>
        <v>Bounty et al. (2012)</v>
      </c>
      <c r="D3" s="12" t="str">
        <f>_xlfn.XLOOKUP(B3,LRV[id],LRV[unitprocess])</f>
        <v>UV</v>
      </c>
      <c r="E3" s="12" t="str">
        <f>_xlfn.XLOOKUP($B3,LRV[id],LRV[mo_type])</f>
        <v>Virus</v>
      </c>
      <c r="F3" s="13" t="str">
        <f>_xlfn.XLOOKUP($B3,LRV[id],LRV[mo_name])</f>
        <v>Adenovirus</v>
      </c>
      <c r="G3" s="103">
        <f>_xlfn.XLOOKUP($B3,LRV[id],LRV[lrv_ave])</f>
        <v>4</v>
      </c>
      <c r="I3" t="s">
        <v>329</v>
      </c>
      <c r="J3">
        <f t="shared" ref="J3:L33" si="0">_xlfn.MINIFS($G$3:$G$1153,$D$3:$D$1153,$I3,$E$3:$E$1153,J$2)</f>
        <v>-0.36991128507179405</v>
      </c>
      <c r="K3">
        <f t="shared" si="0"/>
        <v>-0.30102999566398125</v>
      </c>
      <c r="L3">
        <f t="shared" si="0"/>
        <v>0.06</v>
      </c>
      <c r="M3">
        <f t="shared" ref="M3:M33" si="1">_xlfn.MINIFS($G$3:$G$1153,$D$3:$D$1153,$I3,$F$3:$F$1153,"*coli")</f>
        <v>0</v>
      </c>
      <c r="N3">
        <f t="shared" ref="N3:O33" si="2">_xlfn.MINIFS($G$3:$G$1153,$D$3:$D$1153,$I3,$F$3:$F$1153,N$2)</f>
        <v>0.71</v>
      </c>
      <c r="O3">
        <f t="shared" si="2"/>
        <v>-0.36991128507179405</v>
      </c>
      <c r="Q3" t="s">
        <v>329</v>
      </c>
      <c r="R3">
        <f t="shared" ref="R3:T33" si="3">_xlfn.MAXIFS($G$3:$G$1153,$D$3:$D$1153,$I3,$E$3:$E$1153,R$2)</f>
        <v>5.8</v>
      </c>
      <c r="S3">
        <f t="shared" si="3"/>
        <v>8.3000000000000007</v>
      </c>
      <c r="T3">
        <f t="shared" si="3"/>
        <v>3.43</v>
      </c>
      <c r="U3">
        <f t="shared" ref="U3:U33" si="4">_xlfn.MAXIFS($G$3:$G$1153,$D$3:$D$1153,$I3,$F$3:$F$1153,"*coli")</f>
        <v>5.6</v>
      </c>
      <c r="V3">
        <f t="shared" ref="V3:W33" si="5">_xlfn.MAXIFS($G$3:$G$1153,$D$3:$D$1153,$I3,$F$3:$F$1153,V$2)</f>
        <v>5.8</v>
      </c>
      <c r="W3">
        <f t="shared" si="5"/>
        <v>4</v>
      </c>
      <c r="Y3" s="19" t="s">
        <v>330</v>
      </c>
      <c r="Z3" s="19">
        <f t="shared" ref="Z3:Z23" si="6">COUNTIFS($D$3:$D$1153,Y3,$E$3:$E$1153,"Virus")</f>
        <v>90</v>
      </c>
      <c r="AA3" s="19" t="str">
        <f t="shared" ref="AA3:AA21" si="7">_xlfn.CONCAT(Y3," (",Z3,")")</f>
        <v>Membrane bioreactor (90)</v>
      </c>
      <c r="AB3" s="19">
        <f t="shared" ref="AB3:AB23" si="8">AVERAGE(AC3:AD3)</f>
        <v>4.62</v>
      </c>
      <c r="AC3" s="19">
        <f t="shared" ref="AC3:AC23" si="9">_xlfn.XLOOKUP(Y3,$I$3:$I$33,$J$3:$J$33)</f>
        <v>1.1399999999999999</v>
      </c>
      <c r="AD3" s="19">
        <f>_xlfn.XLOOKUP(Y3,$Q$3:$Q$33,$R$3:$R$33)</f>
        <v>8.1</v>
      </c>
      <c r="AF3" s="19" t="s">
        <v>331</v>
      </c>
      <c r="AG3" s="19">
        <f t="shared" ref="AG3:AG21" si="10">COUNTIFS($D$3:$D$1153,AF3,$E$3:$E$1153,"Bacteria")</f>
        <v>9</v>
      </c>
      <c r="AH3" s="19" t="str">
        <f t="shared" ref="AH3:AH16" si="11">_xlfn.CONCAT(AF3," (",AG3,")")</f>
        <v>Peat Filter (9)</v>
      </c>
      <c r="AI3" s="19">
        <f t="shared" ref="AI3:AI21" si="12">AVERAGE(AJ3:AK3)</f>
        <v>6.7</v>
      </c>
      <c r="AJ3" s="19">
        <f t="shared" ref="AJ3:AJ21" si="13">_xlfn.XLOOKUP(AF3,$I$3:$I$33,$K$3:$K$33)</f>
        <v>4.5</v>
      </c>
      <c r="AK3" s="19">
        <f t="shared" ref="AK3:AK21" si="14">_xlfn.XLOOKUP(AF3,$Q$3:$Q$33,$S$3:$S$33)</f>
        <v>8.9</v>
      </c>
      <c r="AM3" s="19" t="s">
        <v>330</v>
      </c>
      <c r="AN3" s="19">
        <f t="shared" ref="AN3:AN9" si="15">COUNTIFS($D$3:$D$1153,AM3,$E$3:$E$1153,"Protozoa")</f>
        <v>3</v>
      </c>
      <c r="AO3" s="19" t="str">
        <f>_xlfn.CONCAT(AM3," (",AN3,")")</f>
        <v>Membrane bioreactor (3)</v>
      </c>
      <c r="AP3" s="19">
        <f t="shared" ref="AP3:AP9" si="16">AVERAGE(AQ3:AR3)</f>
        <v>2.6550000000000002</v>
      </c>
      <c r="AQ3" s="19">
        <f t="shared" ref="AQ3:AQ9" si="17">_xlfn.XLOOKUP(AM3,$I$3:$I$33,$L$3:$L$33)</f>
        <v>1.44</v>
      </c>
      <c r="AR3" s="19">
        <f t="shared" ref="AR3:AR9" si="18">_xlfn.XLOOKUP(AM3,$Q$3:$Q$33,$T$3:$T$33)</f>
        <v>3.87</v>
      </c>
    </row>
    <row r="4" spans="1:44" x14ac:dyDescent="0.3">
      <c r="B4">
        <v>2</v>
      </c>
      <c r="C4" s="13" t="str">
        <f>_xlfn.XLOOKUP(B4,LRV[id],LRV[source])</f>
        <v>Bounty et al. (2012)</v>
      </c>
      <c r="D4" s="13" t="str">
        <f>LRVs!C6</f>
        <v>UV + H2O2</v>
      </c>
      <c r="E4" s="13" t="str">
        <f>LRVs!BG6</f>
        <v>Virus</v>
      </c>
      <c r="F4" s="13" t="str">
        <f>IF(LRVs!BH6="","",LRVs!BH6)</f>
        <v>Adenovirus</v>
      </c>
      <c r="G4">
        <f>IF(LRVs!BL6="","",LRVs!BL6)</f>
        <v>4</v>
      </c>
      <c r="I4" t="s">
        <v>330</v>
      </c>
      <c r="J4">
        <f t="shared" si="0"/>
        <v>1.1399999999999999</v>
      </c>
      <c r="K4">
        <f t="shared" si="0"/>
        <v>4.5199999999999996</v>
      </c>
      <c r="L4">
        <f t="shared" si="0"/>
        <v>1.44</v>
      </c>
      <c r="M4">
        <f t="shared" si="1"/>
        <v>4.97</v>
      </c>
      <c r="N4">
        <f t="shared" si="2"/>
        <v>0</v>
      </c>
      <c r="O4">
        <f t="shared" si="2"/>
        <v>2.384004230728745</v>
      </c>
      <c r="Q4" t="s">
        <v>330</v>
      </c>
      <c r="R4">
        <f t="shared" si="3"/>
        <v>8.1</v>
      </c>
      <c r="S4">
        <f t="shared" si="3"/>
        <v>7.4913616938342731</v>
      </c>
      <c r="T4">
        <f t="shared" si="3"/>
        <v>3.87</v>
      </c>
      <c r="U4">
        <f t="shared" si="4"/>
        <v>6.8450980400142569</v>
      </c>
      <c r="V4">
        <f t="shared" si="5"/>
        <v>0</v>
      </c>
      <c r="W4">
        <f t="shared" si="5"/>
        <v>4.8557561081963128</v>
      </c>
      <c r="Y4" s="19" t="s">
        <v>331</v>
      </c>
      <c r="Z4" s="19">
        <f t="shared" si="6"/>
        <v>4</v>
      </c>
      <c r="AA4" s="19" t="str">
        <f t="shared" si="7"/>
        <v>Peat Filter (4)</v>
      </c>
      <c r="AB4" s="19">
        <f t="shared" si="8"/>
        <v>4.9000000000000004</v>
      </c>
      <c r="AC4" s="19">
        <f t="shared" si="9"/>
        <v>2.8</v>
      </c>
      <c r="AD4" s="19">
        <f t="shared" ref="AD3:AD23" si="19">_xlfn.XLOOKUP(Y4,$Q$3:$Q$33,$R$3:$R$33)</f>
        <v>7</v>
      </c>
      <c r="AF4" s="19" t="s">
        <v>334</v>
      </c>
      <c r="AG4" s="19">
        <f t="shared" si="10"/>
        <v>18</v>
      </c>
      <c r="AH4" s="19" t="str">
        <f t="shared" si="11"/>
        <v>Sand filter (18)</v>
      </c>
      <c r="AI4" s="19">
        <f t="shared" si="12"/>
        <v>4.3405572927029947</v>
      </c>
      <c r="AJ4" s="19">
        <f t="shared" si="13"/>
        <v>0.1811145854059901</v>
      </c>
      <c r="AK4" s="19">
        <f t="shared" si="14"/>
        <v>8.5</v>
      </c>
      <c r="AM4" s="19" t="s">
        <v>341</v>
      </c>
      <c r="AN4" s="19">
        <f t="shared" si="15"/>
        <v>12</v>
      </c>
      <c r="AO4" s="19" t="str">
        <f>_xlfn.CONCAT(AM4," (",AN4,")")</f>
        <v>Activated sludge (12)</v>
      </c>
      <c r="AP4" s="19">
        <f t="shared" si="16"/>
        <v>2.3050000000000002</v>
      </c>
      <c r="AQ4" s="19">
        <f t="shared" si="17"/>
        <v>1.0900000000000001</v>
      </c>
      <c r="AR4" s="19">
        <f t="shared" si="18"/>
        <v>3.52</v>
      </c>
    </row>
    <row r="5" spans="1:44" x14ac:dyDescent="0.3">
      <c r="B5">
        <v>3</v>
      </c>
      <c r="C5" s="13" t="str">
        <f>_xlfn.XLOOKUP(B5,LRV[id],LRV[source])</f>
        <v>Linden et al. (2012)</v>
      </c>
      <c r="D5" s="13" t="str">
        <f>LRVs!C7</f>
        <v>UV</v>
      </c>
      <c r="E5" s="13" t="str">
        <f>LRVs!BG7</f>
        <v>Bacteria</v>
      </c>
      <c r="F5" s="13" t="str">
        <f>IF(LRVs!BH7="","",LRVs!BH7)</f>
        <v>Coliform</v>
      </c>
      <c r="G5">
        <f>IF(LRVs!BL7="","",LRVs!BL7)</f>
        <v>3.24</v>
      </c>
      <c r="I5" t="s">
        <v>6</v>
      </c>
      <c r="J5">
        <f t="shared" si="0"/>
        <v>-0.4242689473943867</v>
      </c>
      <c r="K5">
        <f t="shared" si="0"/>
        <v>0.28000000000000003</v>
      </c>
      <c r="L5">
        <f t="shared" si="0"/>
        <v>0.41</v>
      </c>
      <c r="M5">
        <f t="shared" si="1"/>
        <v>0.28000000000000003</v>
      </c>
      <c r="N5">
        <f t="shared" si="2"/>
        <v>1.03</v>
      </c>
      <c r="O5">
        <f t="shared" si="2"/>
        <v>-0.4242689473943867</v>
      </c>
      <c r="Q5" t="s">
        <v>6</v>
      </c>
      <c r="R5">
        <f t="shared" si="3"/>
        <v>6.5</v>
      </c>
      <c r="S5">
        <f t="shared" si="3"/>
        <v>8</v>
      </c>
      <c r="T5">
        <f t="shared" si="3"/>
        <v>0.65</v>
      </c>
      <c r="U5">
        <f t="shared" si="4"/>
        <v>7.1</v>
      </c>
      <c r="V5">
        <f t="shared" si="5"/>
        <v>6.5</v>
      </c>
      <c r="W5">
        <f t="shared" si="5"/>
        <v>0.92941892571429263</v>
      </c>
      <c r="Y5" s="19" t="s">
        <v>6</v>
      </c>
      <c r="Z5" s="19">
        <f t="shared" si="6"/>
        <v>83</v>
      </c>
      <c r="AA5" s="19" t="str">
        <f t="shared" si="7"/>
        <v>Chlorine (83)</v>
      </c>
      <c r="AB5" s="19">
        <f t="shared" si="8"/>
        <v>3.0378655263028067</v>
      </c>
      <c r="AC5" s="19">
        <f t="shared" si="9"/>
        <v>-0.4242689473943867</v>
      </c>
      <c r="AD5" s="19">
        <f t="shared" si="19"/>
        <v>6.5</v>
      </c>
      <c r="AF5" s="19" t="s">
        <v>329</v>
      </c>
      <c r="AG5" s="19">
        <f t="shared" si="10"/>
        <v>137</v>
      </c>
      <c r="AH5" s="19" t="str">
        <f t="shared" si="11"/>
        <v>UV (137)</v>
      </c>
      <c r="AI5" s="19">
        <f t="shared" si="12"/>
        <v>3.9994850021680097</v>
      </c>
      <c r="AJ5" s="19">
        <f t="shared" si="13"/>
        <v>-0.30102999566398125</v>
      </c>
      <c r="AK5" s="19">
        <f t="shared" si="14"/>
        <v>8.3000000000000007</v>
      </c>
      <c r="AM5" s="19" t="s">
        <v>329</v>
      </c>
      <c r="AN5" s="19">
        <f t="shared" si="15"/>
        <v>28</v>
      </c>
      <c r="AO5" s="19" t="str">
        <f>_xlfn.CONCAT(AM5," (",AN5,")")</f>
        <v>UV (28)</v>
      </c>
      <c r="AP5" s="19">
        <f t="shared" si="16"/>
        <v>1.7450000000000001</v>
      </c>
      <c r="AQ5" s="19">
        <f t="shared" si="17"/>
        <v>0.06</v>
      </c>
      <c r="AR5" s="19">
        <f t="shared" si="18"/>
        <v>3.43</v>
      </c>
    </row>
    <row r="6" spans="1:44" x14ac:dyDescent="0.3">
      <c r="B6">
        <v>4</v>
      </c>
      <c r="C6" s="13" t="str">
        <f>_xlfn.XLOOKUP(B6,LRV[id],LRV[source])</f>
        <v>Linden et al. (2012)</v>
      </c>
      <c r="D6" s="13" t="str">
        <f>LRVs!C8</f>
        <v>UV</v>
      </c>
      <c r="E6" s="13" t="str">
        <f>LRVs!BG8</f>
        <v>Bacteria</v>
      </c>
      <c r="F6" s="13" t="str">
        <f>IF(LRVs!BH8="","",LRVs!BH8)</f>
        <v>Coliform</v>
      </c>
      <c r="G6">
        <f>IF(LRVs!BL8="","",LRVs!BL8)</f>
        <v>3.19</v>
      </c>
      <c r="I6" t="s">
        <v>335</v>
      </c>
      <c r="J6">
        <f t="shared" si="0"/>
        <v>0.2</v>
      </c>
      <c r="K6">
        <f t="shared" si="0"/>
        <v>0.32283531366052998</v>
      </c>
      <c r="L6">
        <f t="shared" si="0"/>
        <v>2</v>
      </c>
      <c r="M6">
        <f t="shared" si="1"/>
        <v>0</v>
      </c>
      <c r="N6">
        <f t="shared" si="2"/>
        <v>0.2</v>
      </c>
      <c r="O6">
        <f t="shared" si="2"/>
        <v>0</v>
      </c>
      <c r="Q6" t="s">
        <v>335</v>
      </c>
      <c r="R6">
        <f t="shared" si="3"/>
        <v>5.6</v>
      </c>
      <c r="S6">
        <f t="shared" si="3"/>
        <v>2.9</v>
      </c>
      <c r="T6">
        <f t="shared" si="3"/>
        <v>2</v>
      </c>
      <c r="U6">
        <f t="shared" si="4"/>
        <v>0</v>
      </c>
      <c r="V6">
        <f t="shared" si="5"/>
        <v>5.6</v>
      </c>
      <c r="W6">
        <f t="shared" si="5"/>
        <v>0</v>
      </c>
      <c r="Y6" s="19" t="s">
        <v>329</v>
      </c>
      <c r="Z6" s="19">
        <f t="shared" si="6"/>
        <v>136</v>
      </c>
      <c r="AA6" s="19" t="str">
        <f t="shared" si="7"/>
        <v>UV (136)</v>
      </c>
      <c r="AB6" s="19">
        <f t="shared" si="8"/>
        <v>2.715044357464103</v>
      </c>
      <c r="AC6" s="19">
        <f>_xlfn.XLOOKUP(Y6,$I$3:$I$33,$J$3:$J$33)</f>
        <v>-0.36991128507179405</v>
      </c>
      <c r="AD6" s="19">
        <f t="shared" si="19"/>
        <v>5.8</v>
      </c>
      <c r="AF6" s="19" t="s">
        <v>6</v>
      </c>
      <c r="AG6" s="19">
        <f t="shared" si="10"/>
        <v>55</v>
      </c>
      <c r="AH6" s="19" t="str">
        <f t="shared" si="11"/>
        <v>Chlorine (55)</v>
      </c>
      <c r="AI6" s="19">
        <f t="shared" si="12"/>
        <v>4.1399999999999997</v>
      </c>
      <c r="AJ6" s="19">
        <f t="shared" si="13"/>
        <v>0.28000000000000003</v>
      </c>
      <c r="AK6" s="19">
        <f t="shared" si="14"/>
        <v>8</v>
      </c>
      <c r="AM6" s="19" t="s">
        <v>333</v>
      </c>
      <c r="AN6" s="19">
        <f t="shared" si="15"/>
        <v>3</v>
      </c>
      <c r="AO6" s="19" t="str">
        <f>_xlfn.CONCAT(AM6," (",AN6,")")</f>
        <v>UV + H2O2 (3)</v>
      </c>
      <c r="AP6" s="19">
        <f t="shared" si="16"/>
        <v>1.42</v>
      </c>
      <c r="AQ6" s="19">
        <f t="shared" si="17"/>
        <v>0.67</v>
      </c>
      <c r="AR6" s="19">
        <f t="shared" si="18"/>
        <v>2.17</v>
      </c>
    </row>
    <row r="7" spans="1:44" x14ac:dyDescent="0.3">
      <c r="B7">
        <v>5</v>
      </c>
      <c r="C7" s="13" t="str">
        <f>_xlfn.XLOOKUP(B7,LRV[id],LRV[source])</f>
        <v>Linden et al. (2012)</v>
      </c>
      <c r="D7" s="13" t="str">
        <f>LRVs!C9</f>
        <v>UV</v>
      </c>
      <c r="E7" s="13" t="str">
        <f>LRVs!BG9</f>
        <v>Bacteria</v>
      </c>
      <c r="F7" s="13" t="str">
        <f>IF(LRVs!BH9="","",LRVs!BH9)</f>
        <v>Coliform</v>
      </c>
      <c r="G7">
        <f>IF(LRVs!BL9="","",LRVs!BL9)</f>
        <v>4.5599999999999996</v>
      </c>
      <c r="I7" t="s">
        <v>341</v>
      </c>
      <c r="J7">
        <f t="shared" si="0"/>
        <v>0.75</v>
      </c>
      <c r="K7">
        <f t="shared" si="0"/>
        <v>1.22</v>
      </c>
      <c r="L7">
        <f t="shared" si="0"/>
        <v>1.0900000000000001</v>
      </c>
      <c r="M7">
        <f t="shared" si="1"/>
        <v>2.25</v>
      </c>
      <c r="N7">
        <f t="shared" si="2"/>
        <v>0</v>
      </c>
      <c r="O7">
        <f t="shared" si="2"/>
        <v>2.12</v>
      </c>
      <c r="Q7" t="s">
        <v>341</v>
      </c>
      <c r="R7">
        <f t="shared" si="3"/>
        <v>3.47</v>
      </c>
      <c r="S7">
        <f t="shared" si="3"/>
        <v>3.23</v>
      </c>
      <c r="T7">
        <f t="shared" si="3"/>
        <v>3.52</v>
      </c>
      <c r="U7">
        <f t="shared" si="4"/>
        <v>3.23</v>
      </c>
      <c r="V7">
        <f t="shared" si="5"/>
        <v>0</v>
      </c>
      <c r="W7">
        <f t="shared" si="5"/>
        <v>2.12</v>
      </c>
      <c r="Y7" s="19" t="s">
        <v>340</v>
      </c>
      <c r="Z7" s="19">
        <f t="shared" si="6"/>
        <v>16</v>
      </c>
      <c r="AA7" s="19" t="str">
        <f t="shared" si="7"/>
        <v>Microfiltration (16)</v>
      </c>
      <c r="AB7" s="19">
        <f t="shared" si="8"/>
        <v>3.05</v>
      </c>
      <c r="AC7" s="19">
        <f t="shared" si="9"/>
        <v>0.3</v>
      </c>
      <c r="AD7" s="19">
        <f t="shared" si="19"/>
        <v>5.8</v>
      </c>
      <c r="AF7" s="19" t="s">
        <v>330</v>
      </c>
      <c r="AG7" s="19">
        <f t="shared" si="10"/>
        <v>37</v>
      </c>
      <c r="AH7" s="19" t="str">
        <f t="shared" si="11"/>
        <v>Membrane bioreactor (37)</v>
      </c>
      <c r="AI7" s="19">
        <f t="shared" si="12"/>
        <v>6.0056808469171363</v>
      </c>
      <c r="AJ7" s="19">
        <f t="shared" si="13"/>
        <v>4.5199999999999996</v>
      </c>
      <c r="AK7" s="19">
        <f t="shared" si="14"/>
        <v>7.4913616938342731</v>
      </c>
      <c r="AM7" s="19" t="s">
        <v>335</v>
      </c>
      <c r="AN7" s="19">
        <f t="shared" si="15"/>
        <v>14</v>
      </c>
      <c r="AO7" s="19" t="str">
        <f>_xlfn.CONCAT(AM7," (",AN7,")")</f>
        <v>Ozone (14)</v>
      </c>
      <c r="AP7" s="19">
        <f t="shared" si="16"/>
        <v>2</v>
      </c>
      <c r="AQ7" s="19">
        <f t="shared" si="17"/>
        <v>2</v>
      </c>
      <c r="AR7" s="19">
        <f t="shared" si="18"/>
        <v>2</v>
      </c>
    </row>
    <row r="8" spans="1:44" x14ac:dyDescent="0.3">
      <c r="B8">
        <v>6</v>
      </c>
      <c r="C8" s="13" t="str">
        <f>_xlfn.XLOOKUP(B8,LRV[id],LRV[source])</f>
        <v>Linden et al. (2012)</v>
      </c>
      <c r="D8" s="13" t="str">
        <f>LRVs!C10</f>
        <v>UV</v>
      </c>
      <c r="E8" s="13" t="str">
        <f>LRVs!BG10</f>
        <v>Bacteria</v>
      </c>
      <c r="F8" s="13" t="str">
        <f>IF(LRVs!BH10="","",LRVs!BH10)</f>
        <v>Coliform</v>
      </c>
      <c r="G8">
        <f>IF(LRVs!BL10="","",LRVs!BL10)</f>
        <v>4.8499999999999996</v>
      </c>
      <c r="I8" t="s">
        <v>348</v>
      </c>
      <c r="J8">
        <f t="shared" si="0"/>
        <v>1</v>
      </c>
      <c r="K8">
        <f t="shared" si="0"/>
        <v>0</v>
      </c>
      <c r="L8">
        <f t="shared" si="0"/>
        <v>0</v>
      </c>
      <c r="M8">
        <f t="shared" si="1"/>
        <v>0</v>
      </c>
      <c r="N8">
        <f t="shared" si="2"/>
        <v>0</v>
      </c>
      <c r="O8">
        <f t="shared" si="2"/>
        <v>0</v>
      </c>
      <c r="Q8" t="s">
        <v>348</v>
      </c>
      <c r="R8">
        <f t="shared" si="3"/>
        <v>4</v>
      </c>
      <c r="S8">
        <f t="shared" si="3"/>
        <v>0</v>
      </c>
      <c r="T8">
        <f t="shared" si="3"/>
        <v>0</v>
      </c>
      <c r="U8">
        <f t="shared" si="4"/>
        <v>0</v>
      </c>
      <c r="V8">
        <f t="shared" si="5"/>
        <v>0</v>
      </c>
      <c r="W8">
        <f t="shared" si="5"/>
        <v>0</v>
      </c>
      <c r="Y8" s="19" t="s">
        <v>335</v>
      </c>
      <c r="Z8" s="19">
        <f t="shared" si="6"/>
        <v>10</v>
      </c>
      <c r="AA8" s="19" t="str">
        <f t="shared" si="7"/>
        <v>Ozone (10)</v>
      </c>
      <c r="AB8" s="19">
        <f t="shared" si="8"/>
        <v>2.9</v>
      </c>
      <c r="AC8" s="19">
        <f t="shared" si="9"/>
        <v>0.2</v>
      </c>
      <c r="AD8" s="19">
        <f t="shared" si="19"/>
        <v>5.6</v>
      </c>
      <c r="AF8" s="19" t="s">
        <v>337</v>
      </c>
      <c r="AG8" s="19">
        <f t="shared" si="10"/>
        <v>20</v>
      </c>
      <c r="AH8" s="19" t="str">
        <f t="shared" si="11"/>
        <v>UV + PAA (20)</v>
      </c>
      <c r="AI8" s="19">
        <f t="shared" si="12"/>
        <v>3.5449999999999999</v>
      </c>
      <c r="AJ8" s="19">
        <f t="shared" si="13"/>
        <v>0.93</v>
      </c>
      <c r="AK8" s="19">
        <f t="shared" si="14"/>
        <v>6.16</v>
      </c>
      <c r="AM8" s="19" t="s">
        <v>350</v>
      </c>
      <c r="AN8" s="19">
        <f t="shared" si="15"/>
        <v>3</v>
      </c>
      <c r="AO8" s="19" t="str">
        <f>_xlfn.CONCAT("Stormwater ",AM8," (",AN8,")")</f>
        <v>Stormwater Wetland (3)</v>
      </c>
      <c r="AP8" s="19">
        <f t="shared" si="16"/>
        <v>1.03</v>
      </c>
      <c r="AQ8" s="19">
        <f t="shared" si="17"/>
        <v>0.46</v>
      </c>
      <c r="AR8" s="19">
        <f t="shared" si="18"/>
        <v>1.6</v>
      </c>
    </row>
    <row r="9" spans="1:44" x14ac:dyDescent="0.3">
      <c r="B9">
        <v>7</v>
      </c>
      <c r="C9" s="13" t="str">
        <f>_xlfn.XLOOKUP(B9,LRV[id],LRV[source])</f>
        <v>Linden et al. (2012)</v>
      </c>
      <c r="D9" s="13" t="str">
        <f>LRVs!C11</f>
        <v>UV</v>
      </c>
      <c r="E9" s="13" t="str">
        <f>LRVs!BG11</f>
        <v>Bacteria</v>
      </c>
      <c r="F9" s="13" t="str">
        <f>IF(LRVs!BH11="","",LRVs!BH11)</f>
        <v>Coliform</v>
      </c>
      <c r="G9">
        <f>IF(LRVs!BL11="","",LRVs!BL11)</f>
        <v>5.07</v>
      </c>
      <c r="I9" t="s">
        <v>340</v>
      </c>
      <c r="J9">
        <f t="shared" si="0"/>
        <v>0.3</v>
      </c>
      <c r="K9">
        <f t="shared" si="0"/>
        <v>2.721246399047168</v>
      </c>
      <c r="L9">
        <f t="shared" si="0"/>
        <v>0</v>
      </c>
      <c r="M9">
        <f t="shared" si="1"/>
        <v>0</v>
      </c>
      <c r="N9">
        <f t="shared" si="2"/>
        <v>0</v>
      </c>
      <c r="O9">
        <f t="shared" si="2"/>
        <v>0</v>
      </c>
      <c r="Q9" t="s">
        <v>340</v>
      </c>
      <c r="R9">
        <f t="shared" si="3"/>
        <v>5.8</v>
      </c>
      <c r="S9">
        <f t="shared" si="3"/>
        <v>2.721246399047168</v>
      </c>
      <c r="T9">
        <f t="shared" si="3"/>
        <v>0</v>
      </c>
      <c r="U9">
        <f t="shared" si="4"/>
        <v>0</v>
      </c>
      <c r="V9">
        <f t="shared" si="5"/>
        <v>0</v>
      </c>
      <c r="W9">
        <f t="shared" si="5"/>
        <v>0</v>
      </c>
      <c r="Y9" s="19" t="s">
        <v>351</v>
      </c>
      <c r="Z9" s="19">
        <f t="shared" si="6"/>
        <v>8</v>
      </c>
      <c r="AA9" s="19" t="str">
        <f t="shared" si="7"/>
        <v>Ultrafiltration (8)</v>
      </c>
      <c r="AB9" s="19">
        <f t="shared" si="8"/>
        <v>2.8364304315434139</v>
      </c>
      <c r="AC9" s="19">
        <f t="shared" si="9"/>
        <v>0.82286086308682838</v>
      </c>
      <c r="AD9" s="19">
        <f t="shared" si="19"/>
        <v>4.8499999999999996</v>
      </c>
      <c r="AF9" s="19" t="s">
        <v>333</v>
      </c>
      <c r="AG9" s="19">
        <f t="shared" si="10"/>
        <v>12</v>
      </c>
      <c r="AH9" s="19" t="str">
        <f t="shared" si="11"/>
        <v>UV + H2O2 (12)</v>
      </c>
      <c r="AI9" s="19">
        <f t="shared" si="12"/>
        <v>2.6749999999999998</v>
      </c>
      <c r="AJ9" s="19">
        <f t="shared" si="13"/>
        <v>0.35</v>
      </c>
      <c r="AK9" s="19">
        <f t="shared" si="14"/>
        <v>5</v>
      </c>
      <c r="AM9" s="19" t="s">
        <v>346</v>
      </c>
      <c r="AN9" s="19">
        <f t="shared" si="15"/>
        <v>8</v>
      </c>
      <c r="AO9" s="19" t="str">
        <f>_xlfn.CONCAT(AM9," (",AN9,")")</f>
        <v>Storage (8)</v>
      </c>
      <c r="AP9" s="19">
        <f t="shared" si="16"/>
        <v>0.61499999999999999</v>
      </c>
      <c r="AQ9" s="19">
        <f t="shared" si="17"/>
        <v>0.04</v>
      </c>
      <c r="AR9" s="19">
        <f t="shared" si="18"/>
        <v>1.19</v>
      </c>
    </row>
    <row r="10" spans="1:44" x14ac:dyDescent="0.3">
      <c r="B10">
        <v>8</v>
      </c>
      <c r="C10" s="13" t="str">
        <f>_xlfn.XLOOKUP(B10,LRV[id],LRV[source])</f>
        <v>Linden et al. (2012)</v>
      </c>
      <c r="D10" s="13" t="str">
        <f>LRVs!C12</f>
        <v>UV</v>
      </c>
      <c r="E10" s="13" t="str">
        <f>LRVs!BG12</f>
        <v>Bacteria</v>
      </c>
      <c r="F10" s="13" t="str">
        <f>IF(LRVs!BH12="","",LRVs!BH12)</f>
        <v>Coliform</v>
      </c>
      <c r="G10">
        <f>IF(LRVs!BL12="","",LRVs!BL12)</f>
        <v>4.8499999999999996</v>
      </c>
      <c r="I10" t="s">
        <v>333</v>
      </c>
      <c r="J10">
        <f t="shared" si="0"/>
        <v>0.87</v>
      </c>
      <c r="K10">
        <f t="shared" si="0"/>
        <v>0.35</v>
      </c>
      <c r="L10">
        <f t="shared" si="0"/>
        <v>0.67</v>
      </c>
      <c r="M10">
        <f t="shared" si="1"/>
        <v>4</v>
      </c>
      <c r="N10">
        <f t="shared" si="2"/>
        <v>0.87</v>
      </c>
      <c r="O10">
        <f t="shared" si="2"/>
        <v>1</v>
      </c>
      <c r="Q10" t="s">
        <v>333</v>
      </c>
      <c r="R10">
        <f t="shared" si="3"/>
        <v>4</v>
      </c>
      <c r="S10">
        <f t="shared" si="3"/>
        <v>5</v>
      </c>
      <c r="T10">
        <f t="shared" si="3"/>
        <v>2.17</v>
      </c>
      <c r="U10">
        <f t="shared" si="4"/>
        <v>5</v>
      </c>
      <c r="V10">
        <f t="shared" si="5"/>
        <v>4</v>
      </c>
      <c r="W10">
        <f t="shared" si="5"/>
        <v>4</v>
      </c>
      <c r="Y10" s="19" t="s">
        <v>348</v>
      </c>
      <c r="Z10" s="19">
        <f t="shared" si="6"/>
        <v>42</v>
      </c>
      <c r="AA10" s="19" t="str">
        <f t="shared" si="7"/>
        <v>Chloramination (42)</v>
      </c>
      <c r="AB10" s="19">
        <f t="shared" si="8"/>
        <v>2.5</v>
      </c>
      <c r="AC10" s="19">
        <f t="shared" si="9"/>
        <v>1</v>
      </c>
      <c r="AD10" s="19">
        <f t="shared" si="19"/>
        <v>4</v>
      </c>
      <c r="AF10" s="19" t="s">
        <v>352</v>
      </c>
      <c r="AG10" s="19">
        <f t="shared" si="10"/>
        <v>6</v>
      </c>
      <c r="AH10" s="19" t="str">
        <f t="shared" si="11"/>
        <v>Slow sand filtration (6)</v>
      </c>
      <c r="AI10" s="19">
        <f t="shared" si="12"/>
        <v>3.4000000000000004</v>
      </c>
      <c r="AJ10" s="19">
        <f t="shared" si="13"/>
        <v>2.1</v>
      </c>
      <c r="AK10" s="19">
        <f t="shared" si="14"/>
        <v>4.7</v>
      </c>
    </row>
    <row r="11" spans="1:44" x14ac:dyDescent="0.3">
      <c r="B11">
        <v>9</v>
      </c>
      <c r="C11" s="13" t="str">
        <f>_xlfn.XLOOKUP(B11,LRV[id],LRV[source])</f>
        <v>Linden et al. (2012)</v>
      </c>
      <c r="D11" s="13" t="str">
        <f>LRVs!C13</f>
        <v>UV</v>
      </c>
      <c r="E11" s="13" t="str">
        <f>LRVs!BG13</f>
        <v>Protozoa</v>
      </c>
      <c r="F11" s="13" t="str">
        <f>IF(LRVs!BH13="","",LRVs!BH13)</f>
        <v>Aerobic spores</v>
      </c>
      <c r="G11">
        <f>IF(LRVs!BL13="","",LRVs!BL13)</f>
        <v>0.56999999999999995</v>
      </c>
      <c r="I11" t="s">
        <v>346</v>
      </c>
      <c r="J11">
        <f t="shared" si="0"/>
        <v>0.09</v>
      </c>
      <c r="K11">
        <f t="shared" si="0"/>
        <v>-0.32</v>
      </c>
      <c r="L11">
        <f t="shared" si="0"/>
        <v>0.04</v>
      </c>
      <c r="M11">
        <f t="shared" si="1"/>
        <v>-0.32</v>
      </c>
      <c r="N11">
        <f t="shared" si="2"/>
        <v>0</v>
      </c>
      <c r="O11">
        <f t="shared" si="2"/>
        <v>0</v>
      </c>
      <c r="Q11" t="s">
        <v>346</v>
      </c>
      <c r="R11">
        <f t="shared" si="3"/>
        <v>1.1000000000000001</v>
      </c>
      <c r="S11">
        <f t="shared" si="3"/>
        <v>2</v>
      </c>
      <c r="T11">
        <f t="shared" si="3"/>
        <v>1.19</v>
      </c>
      <c r="U11">
        <f t="shared" si="4"/>
        <v>2</v>
      </c>
      <c r="V11">
        <f t="shared" si="5"/>
        <v>0</v>
      </c>
      <c r="W11">
        <f t="shared" si="5"/>
        <v>0</v>
      </c>
      <c r="Y11" s="19" t="s">
        <v>333</v>
      </c>
      <c r="Z11" s="19">
        <f t="shared" si="6"/>
        <v>23</v>
      </c>
      <c r="AA11" s="19" t="str">
        <f t="shared" si="7"/>
        <v>UV + H2O2 (23)</v>
      </c>
      <c r="AB11" s="19">
        <f t="shared" si="8"/>
        <v>2.4350000000000001</v>
      </c>
      <c r="AC11" s="19">
        <f t="shared" si="9"/>
        <v>0.87</v>
      </c>
      <c r="AD11" s="19">
        <f t="shared" si="19"/>
        <v>4</v>
      </c>
      <c r="AF11" s="19" t="s">
        <v>341</v>
      </c>
      <c r="AG11" s="19">
        <f t="shared" si="10"/>
        <v>17</v>
      </c>
      <c r="AH11" s="19" t="str">
        <f t="shared" si="11"/>
        <v>Activated sludge (17)</v>
      </c>
      <c r="AI11" s="19">
        <f t="shared" si="12"/>
        <v>2.2250000000000001</v>
      </c>
      <c r="AJ11" s="19">
        <f t="shared" si="13"/>
        <v>1.22</v>
      </c>
      <c r="AK11" s="19">
        <f t="shared" si="14"/>
        <v>3.23</v>
      </c>
    </row>
    <row r="12" spans="1:44" x14ac:dyDescent="0.3">
      <c r="B12">
        <v>10</v>
      </c>
      <c r="C12" s="13" t="str">
        <f>_xlfn.XLOOKUP(B12,LRV[id],LRV[source])</f>
        <v>Linden et al. (2012)</v>
      </c>
      <c r="D12" s="13" t="str">
        <f>LRVs!C14</f>
        <v>UV</v>
      </c>
      <c r="E12" s="13" t="str">
        <f>LRVs!BG14</f>
        <v>Protozoa</v>
      </c>
      <c r="F12" s="13" t="str">
        <f>IF(LRVs!BH14="","",LRVs!BH14)</f>
        <v>Aerobic spores</v>
      </c>
      <c r="G12">
        <f>IF(LRVs!BL14="","",LRVs!BL14)</f>
        <v>0.63</v>
      </c>
      <c r="I12" t="s">
        <v>337</v>
      </c>
      <c r="J12">
        <f t="shared" si="0"/>
        <v>1.21</v>
      </c>
      <c r="K12">
        <f t="shared" si="0"/>
        <v>0.93</v>
      </c>
      <c r="L12">
        <f t="shared" si="0"/>
        <v>0</v>
      </c>
      <c r="M12">
        <f t="shared" si="1"/>
        <v>1.02</v>
      </c>
      <c r="N12">
        <f t="shared" si="2"/>
        <v>1.21</v>
      </c>
      <c r="O12">
        <f t="shared" si="2"/>
        <v>0</v>
      </c>
      <c r="Q12" t="s">
        <v>337</v>
      </c>
      <c r="R12">
        <f t="shared" si="3"/>
        <v>2.58</v>
      </c>
      <c r="S12">
        <f t="shared" si="3"/>
        <v>6.16</v>
      </c>
      <c r="T12">
        <f t="shared" si="3"/>
        <v>0</v>
      </c>
      <c r="U12">
        <f t="shared" si="4"/>
        <v>5.97</v>
      </c>
      <c r="V12">
        <f t="shared" si="5"/>
        <v>2.58</v>
      </c>
      <c r="W12">
        <f t="shared" si="5"/>
        <v>0</v>
      </c>
      <c r="Y12" s="19" t="s">
        <v>357</v>
      </c>
      <c r="Z12" s="19">
        <f t="shared" si="6"/>
        <v>6</v>
      </c>
      <c r="AA12" s="19" t="str">
        <f t="shared" si="7"/>
        <v>Rapid sand filtration (6)</v>
      </c>
      <c r="AB12" s="19">
        <f t="shared" si="8"/>
        <v>2.31</v>
      </c>
      <c r="AC12" s="19">
        <f t="shared" si="9"/>
        <v>0.81</v>
      </c>
      <c r="AD12" s="19">
        <f t="shared" si="19"/>
        <v>3.81</v>
      </c>
      <c r="AF12" s="19" t="s">
        <v>359</v>
      </c>
      <c r="AG12" s="19">
        <f t="shared" si="10"/>
        <v>10</v>
      </c>
      <c r="AH12" s="19" t="str">
        <f t="shared" si="11"/>
        <v>Peracetic acid (10)</v>
      </c>
      <c r="AI12" s="19">
        <f t="shared" si="12"/>
        <v>1.58</v>
      </c>
      <c r="AJ12" s="19">
        <f t="shared" si="13"/>
        <v>0.04</v>
      </c>
      <c r="AK12" s="19">
        <f t="shared" si="14"/>
        <v>3.12</v>
      </c>
    </row>
    <row r="13" spans="1:44" x14ac:dyDescent="0.3">
      <c r="B13">
        <v>11</v>
      </c>
      <c r="C13" s="13" t="str">
        <f>_xlfn.XLOOKUP(B13,LRV[id],LRV[source])</f>
        <v>Linden et al. (2012)</v>
      </c>
      <c r="D13" s="13" t="str">
        <f>LRVs!C15</f>
        <v>UV</v>
      </c>
      <c r="E13" s="13" t="str">
        <f>LRVs!BG15</f>
        <v>Protozoa</v>
      </c>
      <c r="F13" s="13" t="str">
        <f>IF(LRVs!BH15="","",LRVs!BH15)</f>
        <v>Aerobic spores</v>
      </c>
      <c r="G13">
        <f>IF(LRVs!BL15="","",LRVs!BL15)</f>
        <v>1.81</v>
      </c>
      <c r="I13" t="s">
        <v>334</v>
      </c>
      <c r="J13">
        <f t="shared" si="0"/>
        <v>1.42</v>
      </c>
      <c r="K13">
        <f t="shared" si="0"/>
        <v>0.1811145854059901</v>
      </c>
      <c r="L13">
        <f t="shared" si="0"/>
        <v>0</v>
      </c>
      <c r="M13">
        <f t="shared" si="1"/>
        <v>0.1811145854059901</v>
      </c>
      <c r="N13">
        <f t="shared" si="2"/>
        <v>1.42</v>
      </c>
      <c r="O13">
        <f t="shared" si="2"/>
        <v>0</v>
      </c>
      <c r="Q13" t="s">
        <v>334</v>
      </c>
      <c r="R13">
        <f t="shared" si="3"/>
        <v>2.7</v>
      </c>
      <c r="S13">
        <f t="shared" si="3"/>
        <v>8.5</v>
      </c>
      <c r="T13">
        <f t="shared" si="3"/>
        <v>0</v>
      </c>
      <c r="U13">
        <f t="shared" si="4"/>
        <v>1</v>
      </c>
      <c r="V13">
        <f t="shared" si="5"/>
        <v>2.7</v>
      </c>
      <c r="W13">
        <f t="shared" si="5"/>
        <v>0</v>
      </c>
      <c r="Y13" s="19" t="s">
        <v>341</v>
      </c>
      <c r="Z13" s="19">
        <f t="shared" si="6"/>
        <v>28</v>
      </c>
      <c r="AA13" s="19" t="str">
        <f t="shared" si="7"/>
        <v>Activated sludge (28)</v>
      </c>
      <c r="AB13" s="19">
        <f t="shared" si="8"/>
        <v>2.1100000000000003</v>
      </c>
      <c r="AC13" s="19">
        <f t="shared" si="9"/>
        <v>0.75</v>
      </c>
      <c r="AD13" s="19">
        <f t="shared" si="19"/>
        <v>3.47</v>
      </c>
      <c r="AF13" s="19" t="s">
        <v>339</v>
      </c>
      <c r="AG13" s="19">
        <f t="shared" si="10"/>
        <v>9</v>
      </c>
      <c r="AH13" s="19" t="str">
        <f t="shared" si="11"/>
        <v>Bio-filtration (9)</v>
      </c>
      <c r="AI13" s="19">
        <f t="shared" si="12"/>
        <v>1.625</v>
      </c>
      <c r="AJ13" s="19">
        <f t="shared" si="13"/>
        <v>0.32</v>
      </c>
      <c r="AK13" s="19">
        <f t="shared" si="14"/>
        <v>2.93</v>
      </c>
    </row>
    <row r="14" spans="1:44" x14ac:dyDescent="0.3">
      <c r="B14">
        <v>12</v>
      </c>
      <c r="C14" s="13" t="str">
        <f>_xlfn.XLOOKUP(B14,LRV[id],LRV[source])</f>
        <v>Linden et al. (2012)</v>
      </c>
      <c r="D14" s="13" t="str">
        <f>LRVs!C16</f>
        <v>UV</v>
      </c>
      <c r="E14" s="13" t="str">
        <f>LRVs!BG16</f>
        <v>Protozoa</v>
      </c>
      <c r="F14" s="13" t="str">
        <f>IF(LRVs!BH16="","",LRVs!BH16)</f>
        <v>Aerobic spores</v>
      </c>
      <c r="G14">
        <f>IF(LRVs!BL16="","",LRVs!BL16)</f>
        <v>1.92</v>
      </c>
      <c r="I14" t="s">
        <v>369</v>
      </c>
      <c r="J14">
        <f t="shared" si="0"/>
        <v>0</v>
      </c>
      <c r="K14">
        <f t="shared" si="0"/>
        <v>-0.54</v>
      </c>
      <c r="L14">
        <f t="shared" si="0"/>
        <v>0</v>
      </c>
      <c r="M14">
        <f t="shared" si="1"/>
        <v>3.3866129146394197E-2</v>
      </c>
      <c r="N14">
        <f t="shared" si="2"/>
        <v>0</v>
      </c>
      <c r="O14">
        <f t="shared" si="2"/>
        <v>0</v>
      </c>
      <c r="Q14" t="s">
        <v>369</v>
      </c>
      <c r="R14">
        <f t="shared" si="3"/>
        <v>0</v>
      </c>
      <c r="S14">
        <f t="shared" si="3"/>
        <v>1.22</v>
      </c>
      <c r="T14">
        <f t="shared" si="3"/>
        <v>0</v>
      </c>
      <c r="U14">
        <f t="shared" si="4"/>
        <v>0.57999999999999996</v>
      </c>
      <c r="V14">
        <f t="shared" si="5"/>
        <v>0</v>
      </c>
      <c r="W14">
        <f t="shared" si="5"/>
        <v>0</v>
      </c>
      <c r="Y14" s="19" t="s">
        <v>353</v>
      </c>
      <c r="Z14" s="19">
        <f t="shared" si="6"/>
        <v>5</v>
      </c>
      <c r="AA14" s="19" t="str">
        <f t="shared" si="7"/>
        <v>Primary sedimentation (5)</v>
      </c>
      <c r="AB14" s="19">
        <f t="shared" si="8"/>
        <v>1.83</v>
      </c>
      <c r="AC14" s="19">
        <f t="shared" si="9"/>
        <v>0.19</v>
      </c>
      <c r="AD14" s="19">
        <f t="shared" si="19"/>
        <v>3.47</v>
      </c>
      <c r="AF14" s="19" t="s">
        <v>335</v>
      </c>
      <c r="AG14" s="19">
        <f t="shared" si="10"/>
        <v>16</v>
      </c>
      <c r="AH14" s="19" t="str">
        <f t="shared" si="11"/>
        <v>Ozone (16)</v>
      </c>
      <c r="AI14" s="19">
        <f t="shared" si="12"/>
        <v>1.6114176568302649</v>
      </c>
      <c r="AJ14" s="19">
        <f t="shared" si="13"/>
        <v>0.32283531366052998</v>
      </c>
      <c r="AK14" s="19">
        <f t="shared" si="14"/>
        <v>2.9</v>
      </c>
    </row>
    <row r="15" spans="1:44" x14ac:dyDescent="0.3">
      <c r="B15">
        <v>13</v>
      </c>
      <c r="C15" s="13" t="str">
        <f>_xlfn.XLOOKUP(B15,LRV[id],LRV[source])</f>
        <v>Linden et al. (2012)</v>
      </c>
      <c r="D15" s="13" t="str">
        <f>LRVs!C17</f>
        <v>UV</v>
      </c>
      <c r="E15" s="13" t="str">
        <f>LRVs!BG17</f>
        <v>Protozoa</v>
      </c>
      <c r="F15" s="13" t="str">
        <f>IF(LRVs!BH17="","",LRVs!BH17)</f>
        <v>Aerobic spores</v>
      </c>
      <c r="G15">
        <f>IF(LRVs!BL17="","",LRVs!BL17)</f>
        <v>2.68</v>
      </c>
      <c r="I15" t="s">
        <v>339</v>
      </c>
      <c r="J15">
        <f t="shared" si="0"/>
        <v>1.21</v>
      </c>
      <c r="K15">
        <f t="shared" si="0"/>
        <v>0.32</v>
      </c>
      <c r="L15">
        <f t="shared" si="0"/>
        <v>0</v>
      </c>
      <c r="M15">
        <f t="shared" si="1"/>
        <v>0.32</v>
      </c>
      <c r="N15">
        <f t="shared" si="2"/>
        <v>1.21</v>
      </c>
      <c r="O15">
        <f t="shared" si="2"/>
        <v>0</v>
      </c>
      <c r="Q15" t="s">
        <v>339</v>
      </c>
      <c r="R15">
        <f t="shared" si="3"/>
        <v>2.89</v>
      </c>
      <c r="S15">
        <f t="shared" si="3"/>
        <v>2.93</v>
      </c>
      <c r="T15">
        <f t="shared" si="3"/>
        <v>0</v>
      </c>
      <c r="U15">
        <f t="shared" si="4"/>
        <v>1.77</v>
      </c>
      <c r="V15">
        <f t="shared" si="5"/>
        <v>2.89</v>
      </c>
      <c r="W15">
        <f t="shared" si="5"/>
        <v>0</v>
      </c>
      <c r="Y15" s="19" t="s">
        <v>339</v>
      </c>
      <c r="Z15" s="19">
        <f t="shared" si="6"/>
        <v>4</v>
      </c>
      <c r="AA15" s="19" t="str">
        <f t="shared" si="7"/>
        <v>Bio-filtration (4)</v>
      </c>
      <c r="AB15" s="19">
        <f t="shared" si="8"/>
        <v>2.0499999999999998</v>
      </c>
      <c r="AC15" s="19">
        <f t="shared" si="9"/>
        <v>1.21</v>
      </c>
      <c r="AD15" s="19">
        <f t="shared" si="19"/>
        <v>2.89</v>
      </c>
      <c r="AF15" s="19" t="s">
        <v>353</v>
      </c>
      <c r="AG15" s="19">
        <f t="shared" si="10"/>
        <v>7</v>
      </c>
      <c r="AH15" s="19" t="str">
        <f t="shared" si="11"/>
        <v>Primary sedimentation (7)</v>
      </c>
      <c r="AI15" s="19">
        <f t="shared" si="12"/>
        <v>1.25</v>
      </c>
      <c r="AJ15" s="19">
        <f t="shared" si="13"/>
        <v>0.34</v>
      </c>
      <c r="AK15" s="19">
        <f t="shared" si="14"/>
        <v>2.16</v>
      </c>
    </row>
    <row r="16" spans="1:44" x14ac:dyDescent="0.3">
      <c r="B16">
        <v>14</v>
      </c>
      <c r="C16" s="13" t="str">
        <f>_xlfn.XLOOKUP(B16,LRV[id],LRV[source])</f>
        <v>Linden et al. (2012)</v>
      </c>
      <c r="D16" s="13" t="str">
        <f>LRVs!C18</f>
        <v>UV</v>
      </c>
      <c r="E16" s="13" t="str">
        <f>LRVs!BG18</f>
        <v>Protozoa</v>
      </c>
      <c r="F16" s="13" t="str">
        <f>IF(LRVs!BH18="","",LRVs!BH18)</f>
        <v>Aerobic spores</v>
      </c>
      <c r="G16">
        <f>IF(LRVs!BL18="","",LRVs!BL18)</f>
        <v>2.64</v>
      </c>
      <c r="I16" t="s">
        <v>359</v>
      </c>
      <c r="J16">
        <f t="shared" si="0"/>
        <v>0.21</v>
      </c>
      <c r="K16">
        <f t="shared" si="0"/>
        <v>0.04</v>
      </c>
      <c r="L16">
        <f t="shared" si="0"/>
        <v>0</v>
      </c>
      <c r="M16">
        <f t="shared" si="1"/>
        <v>0.04</v>
      </c>
      <c r="N16">
        <f t="shared" si="2"/>
        <v>0.21</v>
      </c>
      <c r="O16">
        <f t="shared" si="2"/>
        <v>0</v>
      </c>
      <c r="Q16" t="s">
        <v>359</v>
      </c>
      <c r="R16">
        <f t="shared" si="3"/>
        <v>1.28</v>
      </c>
      <c r="S16">
        <f t="shared" si="3"/>
        <v>3.12</v>
      </c>
      <c r="T16">
        <f t="shared" si="3"/>
        <v>0</v>
      </c>
      <c r="U16">
        <f t="shared" si="4"/>
        <v>2.81</v>
      </c>
      <c r="V16">
        <f t="shared" si="5"/>
        <v>1.28</v>
      </c>
      <c r="W16">
        <f t="shared" si="5"/>
        <v>0</v>
      </c>
      <c r="Y16" s="19" t="s">
        <v>334</v>
      </c>
      <c r="Z16" s="19">
        <f t="shared" si="6"/>
        <v>5</v>
      </c>
      <c r="AA16" s="19" t="str">
        <f t="shared" si="7"/>
        <v>Sand filter (5)</v>
      </c>
      <c r="AB16" s="19">
        <f t="shared" si="8"/>
        <v>2.06</v>
      </c>
      <c r="AC16" s="19">
        <f t="shared" si="9"/>
        <v>1.42</v>
      </c>
      <c r="AD16" s="19">
        <f t="shared" si="19"/>
        <v>2.7</v>
      </c>
      <c r="AF16" s="19" t="s">
        <v>346</v>
      </c>
      <c r="AG16" s="19">
        <f t="shared" si="10"/>
        <v>14</v>
      </c>
      <c r="AH16" s="19" t="str">
        <f t="shared" si="11"/>
        <v>Storage (14)</v>
      </c>
      <c r="AI16" s="19">
        <f t="shared" si="12"/>
        <v>0.84</v>
      </c>
      <c r="AJ16" s="19">
        <f t="shared" si="13"/>
        <v>-0.32</v>
      </c>
      <c r="AK16" s="19">
        <f t="shared" si="14"/>
        <v>2</v>
      </c>
    </row>
    <row r="17" spans="2:37" x14ac:dyDescent="0.3">
      <c r="B17">
        <v>15</v>
      </c>
      <c r="C17" s="13" t="str">
        <f>_xlfn.XLOOKUP(B17,LRV[id],LRV[source])</f>
        <v>Linden et al. (2012)</v>
      </c>
      <c r="D17" s="13" t="str">
        <f>LRVs!C19</f>
        <v>UV</v>
      </c>
      <c r="E17" s="13" t="str">
        <f>LRVs!BG19</f>
        <v>Virus</v>
      </c>
      <c r="F17" s="13" t="str">
        <f>IF(LRVs!BH19="","",LRVs!BH19)</f>
        <v>MS2</v>
      </c>
      <c r="G17">
        <f>IF(LRVs!BL19="","",LRVs!BL19)</f>
        <v>0.99</v>
      </c>
      <c r="I17" t="s">
        <v>331</v>
      </c>
      <c r="J17">
        <f t="shared" si="0"/>
        <v>2.8</v>
      </c>
      <c r="K17">
        <f t="shared" si="0"/>
        <v>4.5</v>
      </c>
      <c r="L17">
        <f t="shared" si="0"/>
        <v>0</v>
      </c>
      <c r="M17">
        <f t="shared" si="1"/>
        <v>0</v>
      </c>
      <c r="N17">
        <f t="shared" si="2"/>
        <v>6.9</v>
      </c>
      <c r="O17">
        <f t="shared" si="2"/>
        <v>0</v>
      </c>
      <c r="Q17" t="s">
        <v>331</v>
      </c>
      <c r="R17">
        <f t="shared" si="3"/>
        <v>7</v>
      </c>
      <c r="S17">
        <f t="shared" si="3"/>
        <v>8.9</v>
      </c>
      <c r="T17">
        <f t="shared" si="3"/>
        <v>0</v>
      </c>
      <c r="U17">
        <f t="shared" si="4"/>
        <v>0</v>
      </c>
      <c r="V17">
        <f t="shared" si="5"/>
        <v>7</v>
      </c>
      <c r="W17">
        <f t="shared" si="5"/>
        <v>0</v>
      </c>
      <c r="Y17" s="19" t="s">
        <v>337</v>
      </c>
      <c r="Z17" s="19">
        <f t="shared" si="6"/>
        <v>6</v>
      </c>
      <c r="AA17" s="19" t="str">
        <f t="shared" si="7"/>
        <v>UV + PAA (6)</v>
      </c>
      <c r="AB17" s="19">
        <f t="shared" si="8"/>
        <v>1.895</v>
      </c>
      <c r="AC17" s="19">
        <f t="shared" si="9"/>
        <v>1.21</v>
      </c>
      <c r="AD17" s="19">
        <f t="shared" si="19"/>
        <v>2.58</v>
      </c>
      <c r="AF17" s="19" t="s">
        <v>350</v>
      </c>
      <c r="AG17" s="19">
        <f t="shared" si="10"/>
        <v>3</v>
      </c>
      <c r="AH17" s="19" t="str">
        <f>_xlfn.CONCAT("Stormwater ",AF17," (",AG17,")")</f>
        <v>Stormwater Wetland (3)</v>
      </c>
      <c r="AI17" s="19">
        <f t="shared" si="12"/>
        <v>0.89500000000000002</v>
      </c>
      <c r="AJ17" s="19">
        <f t="shared" si="13"/>
        <v>0.49</v>
      </c>
      <c r="AK17" s="19">
        <f t="shared" si="14"/>
        <v>1.3</v>
      </c>
    </row>
    <row r="18" spans="2:37" x14ac:dyDescent="0.3">
      <c r="B18">
        <v>16</v>
      </c>
      <c r="C18" s="13" t="str">
        <f>_xlfn.XLOOKUP(B18,LRV[id],LRV[source])</f>
        <v>Linden et al. (2012)</v>
      </c>
      <c r="D18" s="13" t="str">
        <f>LRVs!C20</f>
        <v>UV</v>
      </c>
      <c r="E18" s="13" t="str">
        <f>LRVs!BG20</f>
        <v>Virus</v>
      </c>
      <c r="F18" s="13" t="str">
        <f>IF(LRVs!BH20="","",LRVs!BH20)</f>
        <v>MS2</v>
      </c>
      <c r="G18">
        <f>IF(LRVs!BL20="","",LRVs!BL20)</f>
        <v>0.82</v>
      </c>
      <c r="I18" t="s">
        <v>353</v>
      </c>
      <c r="J18">
        <f t="shared" si="0"/>
        <v>0.19</v>
      </c>
      <c r="K18">
        <f t="shared" si="0"/>
        <v>0.34</v>
      </c>
      <c r="L18">
        <f t="shared" si="0"/>
        <v>0</v>
      </c>
      <c r="M18">
        <f t="shared" si="1"/>
        <v>0.34</v>
      </c>
      <c r="N18">
        <f t="shared" si="2"/>
        <v>1.1499999999999999</v>
      </c>
      <c r="O18">
        <f t="shared" si="2"/>
        <v>0</v>
      </c>
      <c r="Q18" t="s">
        <v>353</v>
      </c>
      <c r="R18">
        <f t="shared" si="3"/>
        <v>3.47</v>
      </c>
      <c r="S18">
        <f t="shared" si="3"/>
        <v>2.16</v>
      </c>
      <c r="T18">
        <f t="shared" si="3"/>
        <v>0</v>
      </c>
      <c r="U18">
        <f t="shared" si="4"/>
        <v>2.16</v>
      </c>
      <c r="V18">
        <f t="shared" si="5"/>
        <v>3.47</v>
      </c>
      <c r="W18">
        <f t="shared" si="5"/>
        <v>0</v>
      </c>
      <c r="Y18" s="19" t="s">
        <v>366</v>
      </c>
      <c r="Z18" s="19">
        <f t="shared" si="6"/>
        <v>4</v>
      </c>
      <c r="AA18" s="19" t="str">
        <f t="shared" si="7"/>
        <v>Upflow anaerobic sludge blanket (4)</v>
      </c>
      <c r="AB18" s="19">
        <f t="shared" si="8"/>
        <v>1.19</v>
      </c>
      <c r="AC18" s="19">
        <f t="shared" si="9"/>
        <v>0</v>
      </c>
      <c r="AD18" s="19">
        <f t="shared" si="19"/>
        <v>2.38</v>
      </c>
      <c r="AF18" s="19" t="s">
        <v>367</v>
      </c>
      <c r="AG18" s="19">
        <f t="shared" si="10"/>
        <v>5</v>
      </c>
      <c r="AH18" s="19" t="str">
        <f>_xlfn.CONCAT(AF18," (",AG18,")")</f>
        <v>Trickling filter (5)</v>
      </c>
      <c r="AI18" s="19">
        <f t="shared" si="12"/>
        <v>0.89500000000000002</v>
      </c>
      <c r="AJ18" s="19">
        <f t="shared" si="13"/>
        <v>0.56000000000000005</v>
      </c>
      <c r="AK18" s="19">
        <f t="shared" si="14"/>
        <v>1.23</v>
      </c>
    </row>
    <row r="19" spans="2:37" x14ac:dyDescent="0.3">
      <c r="B19">
        <v>17</v>
      </c>
      <c r="C19" s="13" t="str">
        <f>_xlfn.XLOOKUP(B19,LRV[id],LRV[source])</f>
        <v>Linden et al. (2012)</v>
      </c>
      <c r="D19" s="13" t="str">
        <f>LRVs!C21</f>
        <v>UV</v>
      </c>
      <c r="E19" s="13" t="str">
        <f>LRVs!BG21</f>
        <v>Virus</v>
      </c>
      <c r="F19" s="13" t="str">
        <f>IF(LRVs!BH21="","",LRVs!BH21)</f>
        <v>MS2</v>
      </c>
      <c r="G19">
        <f>IF(LRVs!BL21="","",LRVs!BL21)</f>
        <v>2.66</v>
      </c>
      <c r="I19" t="s">
        <v>357</v>
      </c>
      <c r="J19">
        <f t="shared" si="0"/>
        <v>0.81</v>
      </c>
      <c r="K19">
        <f t="shared" si="0"/>
        <v>0.05</v>
      </c>
      <c r="L19">
        <f t="shared" si="0"/>
        <v>1.68</v>
      </c>
      <c r="M19">
        <f t="shared" si="1"/>
        <v>0</v>
      </c>
      <c r="N19">
        <f t="shared" si="2"/>
        <v>1.61</v>
      </c>
      <c r="O19">
        <f t="shared" si="2"/>
        <v>0</v>
      </c>
      <c r="Q19" t="s">
        <v>357</v>
      </c>
      <c r="R19">
        <f t="shared" si="3"/>
        <v>3.81</v>
      </c>
      <c r="S19">
        <f t="shared" si="3"/>
        <v>0.72</v>
      </c>
      <c r="T19">
        <f t="shared" si="3"/>
        <v>2</v>
      </c>
      <c r="U19">
        <f t="shared" si="4"/>
        <v>0</v>
      </c>
      <c r="V19">
        <f t="shared" si="5"/>
        <v>1.61</v>
      </c>
      <c r="W19">
        <f t="shared" si="5"/>
        <v>0</v>
      </c>
      <c r="Y19" s="19" t="s">
        <v>359</v>
      </c>
      <c r="Z19" s="19">
        <f t="shared" si="6"/>
        <v>3</v>
      </c>
      <c r="AA19" s="19" t="str">
        <f t="shared" si="7"/>
        <v>Peracetic acid (3)</v>
      </c>
      <c r="AB19" s="19">
        <f t="shared" si="8"/>
        <v>0.745</v>
      </c>
      <c r="AC19" s="19">
        <f t="shared" si="9"/>
        <v>0.21</v>
      </c>
      <c r="AD19" s="19">
        <f t="shared" si="19"/>
        <v>1.28</v>
      </c>
      <c r="AF19" s="19" t="s">
        <v>369</v>
      </c>
      <c r="AG19" s="19">
        <f t="shared" si="10"/>
        <v>10</v>
      </c>
      <c r="AH19" s="19" t="str">
        <f>_xlfn.CONCAT(AF19," (",AG19,")")</f>
        <v>Cartridge filter (10)</v>
      </c>
      <c r="AI19" s="19">
        <f t="shared" si="12"/>
        <v>0.33999999999999997</v>
      </c>
      <c r="AJ19" s="19">
        <f t="shared" si="13"/>
        <v>-0.54</v>
      </c>
      <c r="AK19" s="19">
        <f t="shared" si="14"/>
        <v>1.22</v>
      </c>
    </row>
    <row r="20" spans="2:37" x14ac:dyDescent="0.3">
      <c r="B20">
        <v>18</v>
      </c>
      <c r="C20" s="13" t="str">
        <f>_xlfn.XLOOKUP(B20,LRV[id],LRV[source])</f>
        <v>Linden et al. (2012)</v>
      </c>
      <c r="D20" s="13" t="str">
        <f>LRVs!C22</f>
        <v>UV</v>
      </c>
      <c r="E20" s="13" t="str">
        <f>LRVs!BG22</f>
        <v>Virus</v>
      </c>
      <c r="F20" s="13" t="str">
        <f>IF(LRVs!BH22="","",LRVs!BH22)</f>
        <v>MS2</v>
      </c>
      <c r="G20">
        <f>IF(LRVs!BL22="","",LRVs!BL22)</f>
        <v>2.12</v>
      </c>
      <c r="I20" t="s">
        <v>351</v>
      </c>
      <c r="J20">
        <f t="shared" si="0"/>
        <v>0.82286086308682838</v>
      </c>
      <c r="K20">
        <f t="shared" si="0"/>
        <v>4.6989700043379949</v>
      </c>
      <c r="L20">
        <f t="shared" si="0"/>
        <v>0</v>
      </c>
      <c r="M20">
        <f t="shared" si="1"/>
        <v>0</v>
      </c>
      <c r="N20">
        <f t="shared" si="2"/>
        <v>0.82286086308682838</v>
      </c>
      <c r="O20">
        <f t="shared" si="2"/>
        <v>4.8499999999999996</v>
      </c>
      <c r="Q20" t="s">
        <v>351</v>
      </c>
      <c r="R20">
        <f t="shared" si="3"/>
        <v>4.8499999999999996</v>
      </c>
      <c r="S20">
        <f t="shared" si="3"/>
        <v>4.6989700043379949</v>
      </c>
      <c r="T20">
        <f t="shared" si="3"/>
        <v>0</v>
      </c>
      <c r="U20">
        <f t="shared" si="4"/>
        <v>0</v>
      </c>
      <c r="V20">
        <f t="shared" si="5"/>
        <v>0.82286086308682838</v>
      </c>
      <c r="W20">
        <f t="shared" si="5"/>
        <v>4.8499999999999996</v>
      </c>
      <c r="Y20" s="19" t="s">
        <v>346</v>
      </c>
      <c r="Z20" s="19">
        <f t="shared" si="6"/>
        <v>8</v>
      </c>
      <c r="AA20" s="19" t="str">
        <f t="shared" si="7"/>
        <v>Storage (8)</v>
      </c>
      <c r="AB20" s="19">
        <f t="shared" si="8"/>
        <v>0.59500000000000008</v>
      </c>
      <c r="AC20" s="19">
        <f t="shared" si="9"/>
        <v>0.09</v>
      </c>
      <c r="AD20" s="19">
        <f t="shared" si="19"/>
        <v>1.1000000000000001</v>
      </c>
      <c r="AF20" s="19" t="s">
        <v>382</v>
      </c>
      <c r="AG20" s="19">
        <f t="shared" si="10"/>
        <v>3</v>
      </c>
      <c r="AH20" s="19" t="str">
        <f>_xlfn.CONCAT(AF20," (",AG20,")")</f>
        <v>Secondary sedimentation (3)</v>
      </c>
      <c r="AI20" s="19">
        <f t="shared" si="12"/>
        <v>0.7</v>
      </c>
      <c r="AJ20" s="19">
        <f t="shared" si="13"/>
        <v>0.6</v>
      </c>
      <c r="AK20" s="19">
        <f t="shared" si="14"/>
        <v>0.8</v>
      </c>
    </row>
    <row r="21" spans="2:37" x14ac:dyDescent="0.3">
      <c r="B21">
        <v>19</v>
      </c>
      <c r="C21" s="13" t="str">
        <f>_xlfn.XLOOKUP(B21,LRV[id],LRV[source])</f>
        <v>Linden et al. (2012)</v>
      </c>
      <c r="D21" s="13" t="str">
        <f>LRVs!C23</f>
        <v>UV</v>
      </c>
      <c r="E21" s="13" t="str">
        <f>LRVs!BG23</f>
        <v>Virus</v>
      </c>
      <c r="F21" s="13" t="str">
        <f>IF(LRVs!BH23="","",LRVs!BH23)</f>
        <v>MS2</v>
      </c>
      <c r="G21">
        <f>IF(LRVs!BL23="","",LRVs!BL23)</f>
        <v>4.3099999999999996</v>
      </c>
      <c r="I21" t="s">
        <v>350</v>
      </c>
      <c r="J21">
        <f t="shared" si="0"/>
        <v>-0.18</v>
      </c>
      <c r="K21">
        <f t="shared" si="0"/>
        <v>0.49</v>
      </c>
      <c r="L21">
        <f t="shared" si="0"/>
        <v>0.46</v>
      </c>
      <c r="M21">
        <f t="shared" si="1"/>
        <v>0.49</v>
      </c>
      <c r="N21">
        <f t="shared" si="2"/>
        <v>0</v>
      </c>
      <c r="O21">
        <f t="shared" si="2"/>
        <v>0</v>
      </c>
      <c r="Q21" t="s">
        <v>350</v>
      </c>
      <c r="R21">
        <f t="shared" si="3"/>
        <v>0.63</v>
      </c>
      <c r="S21">
        <f t="shared" si="3"/>
        <v>1.3</v>
      </c>
      <c r="T21">
        <f t="shared" si="3"/>
        <v>1.6</v>
      </c>
      <c r="U21">
        <f t="shared" si="4"/>
        <v>1.3</v>
      </c>
      <c r="V21">
        <f t="shared" si="5"/>
        <v>0</v>
      </c>
      <c r="W21">
        <f t="shared" si="5"/>
        <v>0</v>
      </c>
      <c r="Y21" s="19" t="s">
        <v>367</v>
      </c>
      <c r="Z21" s="19">
        <f t="shared" si="6"/>
        <v>4</v>
      </c>
      <c r="AA21" s="19" t="str">
        <f t="shared" si="7"/>
        <v>Trickling filter (4)</v>
      </c>
      <c r="AB21" s="19">
        <f t="shared" si="8"/>
        <v>0.52500000000000002</v>
      </c>
      <c r="AC21" s="19">
        <f t="shared" si="9"/>
        <v>0.32</v>
      </c>
      <c r="AD21" s="19">
        <f t="shared" si="19"/>
        <v>0.73</v>
      </c>
      <c r="AF21" s="19" t="s">
        <v>357</v>
      </c>
      <c r="AG21" s="19">
        <f t="shared" si="10"/>
        <v>3</v>
      </c>
      <c r="AH21" s="19" t="str">
        <f>_xlfn.CONCAT(AF21," (",AG21,")")</f>
        <v>Rapid sand filtration (3)</v>
      </c>
      <c r="AI21" s="19">
        <f t="shared" si="12"/>
        <v>0.38500000000000001</v>
      </c>
      <c r="AJ21" s="19">
        <f t="shared" si="13"/>
        <v>0.05</v>
      </c>
      <c r="AK21" s="19">
        <f t="shared" si="14"/>
        <v>0.72</v>
      </c>
    </row>
    <row r="22" spans="2:37" x14ac:dyDescent="0.3">
      <c r="B22">
        <v>20</v>
      </c>
      <c r="C22" s="13" t="str">
        <f>_xlfn.XLOOKUP(B22,LRV[id],LRV[source])</f>
        <v>Linden et al. (2012)</v>
      </c>
      <c r="D22" s="13" t="str">
        <f>LRVs!C24</f>
        <v>UV</v>
      </c>
      <c r="E22" s="13" t="str">
        <f>LRVs!BG24</f>
        <v>Virus</v>
      </c>
      <c r="F22" s="13" t="str">
        <f>IF(LRVs!BH24="","",LRVs!BH24)</f>
        <v>MS2</v>
      </c>
      <c r="G22">
        <f>IF(LRVs!BL24="","",LRVs!BL24)</f>
        <v>3.17</v>
      </c>
      <c r="I22" t="s">
        <v>367</v>
      </c>
      <c r="J22">
        <f t="shared" si="0"/>
        <v>0.32</v>
      </c>
      <c r="K22">
        <f t="shared" si="0"/>
        <v>0.56000000000000005</v>
      </c>
      <c r="L22">
        <f t="shared" si="0"/>
        <v>0</v>
      </c>
      <c r="M22">
        <f t="shared" si="1"/>
        <v>1.22</v>
      </c>
      <c r="N22">
        <f t="shared" si="2"/>
        <v>0</v>
      </c>
      <c r="O22">
        <f t="shared" si="2"/>
        <v>0</v>
      </c>
      <c r="Q22" t="s">
        <v>367</v>
      </c>
      <c r="R22">
        <f t="shared" si="3"/>
        <v>0.73</v>
      </c>
      <c r="S22">
        <f t="shared" si="3"/>
        <v>1.23</v>
      </c>
      <c r="T22">
        <f t="shared" si="3"/>
        <v>0</v>
      </c>
      <c r="U22">
        <f t="shared" si="4"/>
        <v>1.22</v>
      </c>
      <c r="V22">
        <f t="shared" si="5"/>
        <v>0</v>
      </c>
      <c r="W22">
        <f t="shared" si="5"/>
        <v>0</v>
      </c>
      <c r="Y22" s="19" t="s">
        <v>350</v>
      </c>
      <c r="Z22" s="19">
        <f t="shared" si="6"/>
        <v>3</v>
      </c>
      <c r="AA22" s="19" t="str">
        <f>_xlfn.CONCAT("Stormwater ",Y22," (",Z22,")")</f>
        <v>Stormwater Wetland (3)</v>
      </c>
      <c r="AB22" s="19">
        <f t="shared" si="8"/>
        <v>0.22500000000000001</v>
      </c>
      <c r="AC22" s="19">
        <f t="shared" si="9"/>
        <v>-0.18</v>
      </c>
      <c r="AD22" s="19">
        <f t="shared" si="19"/>
        <v>0.63</v>
      </c>
    </row>
    <row r="23" spans="2:37" x14ac:dyDescent="0.3">
      <c r="B23">
        <v>21</v>
      </c>
      <c r="C23" s="13" t="str">
        <f>_xlfn.XLOOKUP(B23,LRV[id],LRV[source])</f>
        <v>Linden et al. (2012)</v>
      </c>
      <c r="D23" s="13" t="str">
        <f>LRVs!C25</f>
        <v>UV</v>
      </c>
      <c r="E23" s="13" t="str">
        <f>LRVs!BG25</f>
        <v>Bacteria</v>
      </c>
      <c r="F23" s="13" t="str">
        <f>IF(LRVs!BH25="","",LRVs!BH25)</f>
        <v>Coliform</v>
      </c>
      <c r="G23">
        <f>IF(LRVs!BL25="","",LRVs!BL25)</f>
        <v>3.86</v>
      </c>
      <c r="I23" t="s">
        <v>366</v>
      </c>
      <c r="J23">
        <f t="shared" si="0"/>
        <v>0</v>
      </c>
      <c r="K23">
        <f t="shared" si="0"/>
        <v>1.75</v>
      </c>
      <c r="L23">
        <f t="shared" si="0"/>
        <v>0.66</v>
      </c>
      <c r="M23">
        <f t="shared" si="1"/>
        <v>1.94</v>
      </c>
      <c r="N23">
        <f t="shared" si="2"/>
        <v>0</v>
      </c>
      <c r="O23">
        <f t="shared" si="2"/>
        <v>0</v>
      </c>
      <c r="Q23" t="s">
        <v>366</v>
      </c>
      <c r="R23">
        <f t="shared" si="3"/>
        <v>2.38</v>
      </c>
      <c r="S23">
        <f t="shared" si="3"/>
        <v>1.94</v>
      </c>
      <c r="T23">
        <f t="shared" si="3"/>
        <v>0.66</v>
      </c>
      <c r="U23">
        <f t="shared" si="4"/>
        <v>1.94</v>
      </c>
      <c r="V23">
        <f t="shared" si="5"/>
        <v>0</v>
      </c>
      <c r="W23">
        <f t="shared" si="5"/>
        <v>0</v>
      </c>
      <c r="Y23" s="19" t="s">
        <v>382</v>
      </c>
      <c r="Z23" s="19">
        <f t="shared" si="6"/>
        <v>3</v>
      </c>
      <c r="AA23" s="19" t="str">
        <f>_xlfn.CONCAT(Y23," (",Z23,")")</f>
        <v>Secondary sedimentation (3)</v>
      </c>
      <c r="AB23" s="19">
        <f t="shared" si="8"/>
        <v>0.20500000000000002</v>
      </c>
      <c r="AC23" s="19">
        <f t="shared" si="9"/>
        <v>0.17</v>
      </c>
      <c r="AD23" s="19">
        <f t="shared" si="19"/>
        <v>0.24</v>
      </c>
    </row>
    <row r="24" spans="2:37" x14ac:dyDescent="0.3">
      <c r="B24">
        <v>22</v>
      </c>
      <c r="C24" s="13" t="str">
        <f>_xlfn.XLOOKUP(B24,LRV[id],LRV[source])</f>
        <v>Linden et al. (2012)</v>
      </c>
      <c r="D24" s="13" t="str">
        <f>LRVs!C26</f>
        <v>UV</v>
      </c>
      <c r="E24" s="13" t="str">
        <f>LRVs!BG26</f>
        <v>Bacteria</v>
      </c>
      <c r="F24" s="13" t="str">
        <f>IF(LRVs!BH26="","",LRVs!BH26)</f>
        <v>Coliform</v>
      </c>
      <c r="G24">
        <f>IF(LRVs!BL26="","",LRVs!BL26)</f>
        <v>3.49</v>
      </c>
      <c r="I24" t="s">
        <v>382</v>
      </c>
      <c r="J24">
        <f t="shared" si="0"/>
        <v>0.17</v>
      </c>
      <c r="K24">
        <f t="shared" si="0"/>
        <v>0.6</v>
      </c>
      <c r="L24">
        <f t="shared" si="0"/>
        <v>0</v>
      </c>
      <c r="M24">
        <f t="shared" si="1"/>
        <v>0.73</v>
      </c>
      <c r="N24">
        <f t="shared" si="2"/>
        <v>0</v>
      </c>
      <c r="O24">
        <f t="shared" si="2"/>
        <v>0</v>
      </c>
      <c r="Q24" t="s">
        <v>382</v>
      </c>
      <c r="R24">
        <f t="shared" si="3"/>
        <v>0.24</v>
      </c>
      <c r="S24">
        <f t="shared" si="3"/>
        <v>0.8</v>
      </c>
      <c r="T24">
        <f t="shared" si="3"/>
        <v>0</v>
      </c>
      <c r="U24">
        <f t="shared" si="4"/>
        <v>0.73</v>
      </c>
      <c r="V24">
        <f t="shared" si="5"/>
        <v>0</v>
      </c>
      <c r="W24">
        <f t="shared" si="5"/>
        <v>0</v>
      </c>
    </row>
    <row r="25" spans="2:37" x14ac:dyDescent="0.3">
      <c r="B25">
        <v>23</v>
      </c>
      <c r="C25" s="13" t="str">
        <f>_xlfn.XLOOKUP(B25,LRV[id],LRV[source])</f>
        <v>Linden et al. (2012)</v>
      </c>
      <c r="D25" s="13" t="str">
        <f>LRVs!C27</f>
        <v>UV</v>
      </c>
      <c r="E25" s="13" t="str">
        <f>LRVs!BG27</f>
        <v>Bacteria</v>
      </c>
      <c r="F25" s="13" t="str">
        <f>IF(LRVs!BH27="","",LRVs!BH27)</f>
        <v>Coliform</v>
      </c>
      <c r="G25">
        <f>IF(LRVs!BL27="","",LRVs!BL27)</f>
        <v>4.3899999999999997</v>
      </c>
      <c r="I25" t="s">
        <v>352</v>
      </c>
      <c r="J25">
        <f t="shared" si="0"/>
        <v>0</v>
      </c>
      <c r="K25">
        <f t="shared" si="0"/>
        <v>2.1</v>
      </c>
      <c r="L25">
        <f t="shared" si="0"/>
        <v>0</v>
      </c>
      <c r="M25">
        <f t="shared" si="1"/>
        <v>2.7</v>
      </c>
      <c r="N25">
        <f t="shared" si="2"/>
        <v>0</v>
      </c>
      <c r="O25">
        <f t="shared" si="2"/>
        <v>0</v>
      </c>
      <c r="Q25" t="s">
        <v>352</v>
      </c>
      <c r="R25">
        <f t="shared" si="3"/>
        <v>0</v>
      </c>
      <c r="S25">
        <f t="shared" si="3"/>
        <v>4.7</v>
      </c>
      <c r="T25">
        <f t="shared" si="3"/>
        <v>0</v>
      </c>
      <c r="U25">
        <f t="shared" si="4"/>
        <v>4.7</v>
      </c>
      <c r="V25">
        <f t="shared" si="5"/>
        <v>0</v>
      </c>
      <c r="W25">
        <f t="shared" si="5"/>
        <v>0</v>
      </c>
    </row>
    <row r="26" spans="2:37" x14ac:dyDescent="0.3">
      <c r="B26">
        <v>24</v>
      </c>
      <c r="C26" s="13" t="str">
        <f>_xlfn.XLOOKUP(B26,LRV[id],LRV[source])</f>
        <v>Linden et al. (2012)</v>
      </c>
      <c r="D26" s="13" t="str">
        <f>LRVs!C28</f>
        <v>UV</v>
      </c>
      <c r="E26" s="13" t="str">
        <f>LRVs!BG28</f>
        <v>Bacteria</v>
      </c>
      <c r="F26" s="13" t="str">
        <f>IF(LRVs!BH28="","",LRVs!BH28)</f>
        <v>Coliform</v>
      </c>
      <c r="G26">
        <f>IF(LRVs!BL28="","",LRVs!BL28)</f>
        <v>3.66</v>
      </c>
      <c r="I26" t="s">
        <v>377</v>
      </c>
      <c r="J26">
        <f t="shared" si="0"/>
        <v>2.4262110378118389</v>
      </c>
      <c r="K26">
        <f t="shared" si="0"/>
        <v>0</v>
      </c>
      <c r="L26">
        <f t="shared" si="0"/>
        <v>0</v>
      </c>
      <c r="M26">
        <f t="shared" si="1"/>
        <v>0</v>
      </c>
      <c r="N26">
        <f t="shared" si="2"/>
        <v>2.4262110378118389</v>
      </c>
      <c r="O26">
        <f t="shared" si="2"/>
        <v>0</v>
      </c>
      <c r="Q26" t="s">
        <v>377</v>
      </c>
      <c r="R26">
        <f t="shared" si="3"/>
        <v>2.4262110378118389</v>
      </c>
      <c r="S26">
        <f t="shared" si="3"/>
        <v>0</v>
      </c>
      <c r="T26">
        <f t="shared" si="3"/>
        <v>0</v>
      </c>
      <c r="U26">
        <f t="shared" si="4"/>
        <v>0</v>
      </c>
      <c r="V26">
        <f t="shared" si="5"/>
        <v>2.4262110378118389</v>
      </c>
      <c r="W26">
        <f t="shared" si="5"/>
        <v>0</v>
      </c>
    </row>
    <row r="27" spans="2:37" x14ac:dyDescent="0.3">
      <c r="B27">
        <v>25</v>
      </c>
      <c r="C27" s="13" t="str">
        <f>_xlfn.XLOOKUP(B27,LRV[id],LRV[source])</f>
        <v>Linden et al. (2012)</v>
      </c>
      <c r="D27" s="13" t="str">
        <f>LRVs!C29</f>
        <v>UV</v>
      </c>
      <c r="E27" s="13" t="str">
        <f>LRVs!BG29</f>
        <v>Bacteria</v>
      </c>
      <c r="F27" s="13" t="str">
        <f>IF(LRVs!BH29="","",LRVs!BH29)</f>
        <v>Coliform</v>
      </c>
      <c r="G27">
        <f>IF(LRVs!BL29="","",LRVs!BL29)</f>
        <v>4.75</v>
      </c>
      <c r="I27" t="s">
        <v>386</v>
      </c>
      <c r="J27">
        <f t="shared" si="0"/>
        <v>0</v>
      </c>
      <c r="K27">
        <f t="shared" si="0"/>
        <v>0.1627904721987935</v>
      </c>
      <c r="L27">
        <f t="shared" si="0"/>
        <v>0</v>
      </c>
      <c r="M27">
        <f t="shared" si="1"/>
        <v>0.17548367199279091</v>
      </c>
      <c r="N27">
        <f t="shared" si="2"/>
        <v>0</v>
      </c>
      <c r="O27">
        <f t="shared" si="2"/>
        <v>0</v>
      </c>
      <c r="Q27" t="s">
        <v>386</v>
      </c>
      <c r="R27">
        <f t="shared" si="3"/>
        <v>0</v>
      </c>
      <c r="S27">
        <f t="shared" si="3"/>
        <v>0.17548367199279091</v>
      </c>
      <c r="T27">
        <f t="shared" si="3"/>
        <v>0</v>
      </c>
      <c r="U27">
        <f t="shared" si="4"/>
        <v>0.17548367199279091</v>
      </c>
      <c r="V27">
        <f t="shared" si="5"/>
        <v>0</v>
      </c>
      <c r="W27">
        <f t="shared" si="5"/>
        <v>0</v>
      </c>
    </row>
    <row r="28" spans="2:37" x14ac:dyDescent="0.3">
      <c r="B28">
        <v>26</v>
      </c>
      <c r="C28" s="13" t="str">
        <f>_xlfn.XLOOKUP(B28,LRV[id],LRV[source])</f>
        <v>Linden et al. (2012)</v>
      </c>
      <c r="D28" s="13" t="str">
        <f>LRVs!C30</f>
        <v>UV</v>
      </c>
      <c r="E28" s="13" t="str">
        <f>LRVs!BG30</f>
        <v>Bacteria</v>
      </c>
      <c r="F28" s="13" t="str">
        <f>IF(LRVs!BH30="","",LRVs!BH30)</f>
        <v>Coliform</v>
      </c>
      <c r="G28">
        <f>IF(LRVs!BL30="","",LRVs!BL30)</f>
        <v>4.43</v>
      </c>
      <c r="I28" t="s">
        <v>343</v>
      </c>
      <c r="J28">
        <f t="shared" si="0"/>
        <v>0</v>
      </c>
      <c r="K28">
        <f t="shared" si="0"/>
        <v>0.61</v>
      </c>
      <c r="L28">
        <f t="shared" si="0"/>
        <v>0</v>
      </c>
      <c r="M28">
        <f t="shared" si="1"/>
        <v>0.61</v>
      </c>
      <c r="N28">
        <f t="shared" si="2"/>
        <v>0</v>
      </c>
      <c r="O28">
        <f t="shared" si="2"/>
        <v>0</v>
      </c>
      <c r="Q28" t="s">
        <v>343</v>
      </c>
      <c r="R28">
        <f t="shared" si="3"/>
        <v>0</v>
      </c>
      <c r="S28">
        <f t="shared" si="3"/>
        <v>0.61</v>
      </c>
      <c r="T28">
        <f t="shared" si="3"/>
        <v>0</v>
      </c>
      <c r="U28">
        <f t="shared" si="4"/>
        <v>0.61</v>
      </c>
      <c r="V28">
        <f t="shared" si="5"/>
        <v>0</v>
      </c>
      <c r="W28">
        <f t="shared" si="5"/>
        <v>0</v>
      </c>
    </row>
    <row r="29" spans="2:37" x14ac:dyDescent="0.3">
      <c r="B29">
        <v>27</v>
      </c>
      <c r="C29" s="13" t="str">
        <f>_xlfn.XLOOKUP(B29,LRV[id],LRV[source])</f>
        <v>Linden et al. (2012)</v>
      </c>
      <c r="D29" s="13" t="str">
        <f>LRVs!C31</f>
        <v>UV</v>
      </c>
      <c r="E29" s="13" t="str">
        <f>LRVs!BG31</f>
        <v>Protozoa</v>
      </c>
      <c r="F29" s="13" t="str">
        <f>IF(LRVs!BH31="","",LRVs!BH31)</f>
        <v>Aerobic spores</v>
      </c>
      <c r="G29">
        <f>IF(LRVs!BL31="","",LRVs!BL31)</f>
        <v>0.78</v>
      </c>
      <c r="I29" t="s">
        <v>345</v>
      </c>
      <c r="J29">
        <f t="shared" si="0"/>
        <v>0</v>
      </c>
      <c r="K29">
        <f t="shared" si="0"/>
        <v>-1.4</v>
      </c>
      <c r="L29">
        <f t="shared" si="0"/>
        <v>0</v>
      </c>
      <c r="M29">
        <f t="shared" si="1"/>
        <v>-1.4</v>
      </c>
      <c r="N29">
        <f t="shared" si="2"/>
        <v>0</v>
      </c>
      <c r="O29">
        <f t="shared" si="2"/>
        <v>0</v>
      </c>
      <c r="Q29" t="s">
        <v>345</v>
      </c>
      <c r="R29">
        <f t="shared" si="3"/>
        <v>0</v>
      </c>
      <c r="S29">
        <f t="shared" si="3"/>
        <v>-1.4</v>
      </c>
      <c r="T29">
        <f t="shared" si="3"/>
        <v>0</v>
      </c>
      <c r="U29">
        <f t="shared" si="4"/>
        <v>-1.4</v>
      </c>
      <c r="V29">
        <f t="shared" si="5"/>
        <v>0</v>
      </c>
      <c r="W29">
        <f t="shared" si="5"/>
        <v>0</v>
      </c>
    </row>
    <row r="30" spans="2:37" x14ac:dyDescent="0.3">
      <c r="B30">
        <v>28</v>
      </c>
      <c r="C30" s="13" t="str">
        <f>_xlfn.XLOOKUP(B30,LRV[id],LRV[source])</f>
        <v>Linden et al. (2012)</v>
      </c>
      <c r="D30" s="13" t="str">
        <f>LRVs!C32</f>
        <v>UV</v>
      </c>
      <c r="E30" s="13" t="str">
        <f>LRVs!BG32</f>
        <v>Protozoa</v>
      </c>
      <c r="F30" s="13" t="str">
        <f>IF(LRVs!BH32="","",LRVs!BH32)</f>
        <v>Aerobic spores</v>
      </c>
      <c r="G30">
        <f>IF(LRVs!BL32="","",LRVs!BL32)</f>
        <v>0.66</v>
      </c>
      <c r="I30" t="s">
        <v>355</v>
      </c>
      <c r="J30">
        <f t="shared" si="0"/>
        <v>0</v>
      </c>
      <c r="K30">
        <f t="shared" si="0"/>
        <v>4</v>
      </c>
      <c r="L30">
        <f t="shared" si="0"/>
        <v>0</v>
      </c>
      <c r="M30">
        <f t="shared" si="1"/>
        <v>4</v>
      </c>
      <c r="N30">
        <f t="shared" si="2"/>
        <v>0</v>
      </c>
      <c r="O30">
        <f t="shared" si="2"/>
        <v>0</v>
      </c>
      <c r="Q30" t="s">
        <v>355</v>
      </c>
      <c r="R30">
        <f t="shared" si="3"/>
        <v>0</v>
      </c>
      <c r="S30">
        <f t="shared" si="3"/>
        <v>4</v>
      </c>
      <c r="T30">
        <f t="shared" si="3"/>
        <v>0</v>
      </c>
      <c r="U30">
        <f t="shared" si="4"/>
        <v>4</v>
      </c>
      <c r="V30">
        <f t="shared" si="5"/>
        <v>0</v>
      </c>
      <c r="W30">
        <f t="shared" si="5"/>
        <v>0</v>
      </c>
    </row>
    <row r="31" spans="2:37" x14ac:dyDescent="0.3">
      <c r="B31">
        <v>29</v>
      </c>
      <c r="C31" s="13" t="str">
        <f>_xlfn.XLOOKUP(B31,LRV[id],LRV[source])</f>
        <v>Linden et al. (2012)</v>
      </c>
      <c r="D31" s="13" t="str">
        <f>LRVs!C33</f>
        <v>UV</v>
      </c>
      <c r="E31" s="13" t="str">
        <f>LRVs!BG33</f>
        <v>Protozoa</v>
      </c>
      <c r="F31" s="13" t="str">
        <f>IF(LRVs!BH33="","",LRVs!BH33)</f>
        <v>Aerobic spores</v>
      </c>
      <c r="G31">
        <f>IF(LRVs!BL33="","",LRVs!BL33)</f>
        <v>2.33</v>
      </c>
      <c r="I31" t="s">
        <v>362</v>
      </c>
      <c r="J31">
        <f t="shared" si="0"/>
        <v>4.5</v>
      </c>
      <c r="K31">
        <f t="shared" si="0"/>
        <v>0</v>
      </c>
      <c r="L31">
        <f t="shared" si="0"/>
        <v>0</v>
      </c>
      <c r="M31">
        <f t="shared" si="1"/>
        <v>0</v>
      </c>
      <c r="N31">
        <f t="shared" si="2"/>
        <v>0</v>
      </c>
      <c r="O31">
        <f t="shared" si="2"/>
        <v>0</v>
      </c>
      <c r="Q31" t="s">
        <v>362</v>
      </c>
      <c r="R31">
        <f t="shared" si="3"/>
        <v>4.5</v>
      </c>
      <c r="S31">
        <f t="shared" si="3"/>
        <v>0</v>
      </c>
      <c r="T31">
        <f t="shared" si="3"/>
        <v>0</v>
      </c>
      <c r="U31">
        <f t="shared" si="4"/>
        <v>0</v>
      </c>
      <c r="V31">
        <f t="shared" si="5"/>
        <v>0</v>
      </c>
      <c r="W31">
        <f t="shared" si="5"/>
        <v>0</v>
      </c>
    </row>
    <row r="32" spans="2:37" x14ac:dyDescent="0.3">
      <c r="B32">
        <v>30</v>
      </c>
      <c r="C32" s="13" t="str">
        <f>_xlfn.XLOOKUP(B32,LRV[id],LRV[source])</f>
        <v>Linden et al. (2012)</v>
      </c>
      <c r="D32" s="13" t="str">
        <f>LRVs!C34</f>
        <v>UV</v>
      </c>
      <c r="E32" s="13" t="str">
        <f>LRVs!BG34</f>
        <v>Protozoa</v>
      </c>
      <c r="F32" s="13" t="str">
        <f>IF(LRVs!BH34="","",LRVs!BH34)</f>
        <v>Aerobic spores</v>
      </c>
      <c r="G32">
        <f>IF(LRVs!BL34="","",LRVs!BL34)</f>
        <v>2.12</v>
      </c>
      <c r="I32" t="s">
        <v>364</v>
      </c>
      <c r="J32">
        <f t="shared" si="0"/>
        <v>1.6</v>
      </c>
      <c r="K32">
        <f t="shared" si="0"/>
        <v>0</v>
      </c>
      <c r="L32">
        <f t="shared" si="0"/>
        <v>0</v>
      </c>
      <c r="M32">
        <f t="shared" si="1"/>
        <v>0</v>
      </c>
      <c r="N32">
        <f t="shared" si="2"/>
        <v>0</v>
      </c>
      <c r="O32">
        <f t="shared" si="2"/>
        <v>0</v>
      </c>
      <c r="Q32" t="s">
        <v>364</v>
      </c>
      <c r="R32">
        <f t="shared" si="3"/>
        <v>1.6</v>
      </c>
      <c r="S32">
        <f t="shared" si="3"/>
        <v>0</v>
      </c>
      <c r="T32">
        <f t="shared" si="3"/>
        <v>0</v>
      </c>
      <c r="U32">
        <f t="shared" si="4"/>
        <v>0</v>
      </c>
      <c r="V32">
        <f t="shared" si="5"/>
        <v>0</v>
      </c>
      <c r="W32">
        <f t="shared" si="5"/>
        <v>0</v>
      </c>
    </row>
    <row r="33" spans="2:23" x14ac:dyDescent="0.3">
      <c r="B33">
        <v>31</v>
      </c>
      <c r="C33" s="13" t="str">
        <f>_xlfn.XLOOKUP(B33,LRV[id],LRV[source])</f>
        <v>Linden et al. (2012)</v>
      </c>
      <c r="D33" s="13" t="str">
        <f>LRVs!C35</f>
        <v>UV</v>
      </c>
      <c r="E33" s="13" t="str">
        <f>LRVs!BG35</f>
        <v>Protozoa</v>
      </c>
      <c r="F33" s="13" t="str">
        <f>IF(LRVs!BH35="","",LRVs!BH35)</f>
        <v>Aerobic spores</v>
      </c>
      <c r="G33">
        <f>IF(LRVs!BL35="","",LRVs!BL35)</f>
        <v>2.39</v>
      </c>
      <c r="I33" t="s">
        <v>379</v>
      </c>
      <c r="J33">
        <f t="shared" si="0"/>
        <v>3.9354796403996302</v>
      </c>
      <c r="K33">
        <f t="shared" si="0"/>
        <v>0</v>
      </c>
      <c r="L33">
        <f t="shared" si="0"/>
        <v>0</v>
      </c>
      <c r="M33">
        <f t="shared" si="1"/>
        <v>0</v>
      </c>
      <c r="N33">
        <f t="shared" si="2"/>
        <v>3.9354796403996302</v>
      </c>
      <c r="O33">
        <f t="shared" si="2"/>
        <v>0</v>
      </c>
      <c r="Q33" t="s">
        <v>379</v>
      </c>
      <c r="R33">
        <f t="shared" si="3"/>
        <v>3.9354796403996302</v>
      </c>
      <c r="S33">
        <f t="shared" si="3"/>
        <v>0</v>
      </c>
      <c r="T33">
        <f t="shared" si="3"/>
        <v>0</v>
      </c>
      <c r="U33">
        <f t="shared" si="4"/>
        <v>0</v>
      </c>
      <c r="V33">
        <f t="shared" si="5"/>
        <v>3.9354796403996302</v>
      </c>
      <c r="W33">
        <f t="shared" si="5"/>
        <v>0</v>
      </c>
    </row>
    <row r="34" spans="2:23" x14ac:dyDescent="0.3">
      <c r="B34">
        <v>32</v>
      </c>
      <c r="C34" s="13" t="str">
        <f>_xlfn.XLOOKUP(B34,LRV[id],LRV[source])</f>
        <v>Linden et al. (2012)</v>
      </c>
      <c r="D34" s="13" t="str">
        <f>LRVs!C36</f>
        <v>UV</v>
      </c>
      <c r="E34" s="13" t="str">
        <f>LRVs!BG36</f>
        <v>Protozoa</v>
      </c>
      <c r="F34" s="13" t="str">
        <f>IF(LRVs!BH36="","",LRVs!BH36)</f>
        <v>Aerobic spores</v>
      </c>
      <c r="G34">
        <f>IF(LRVs!BL36="","",LRVs!BL36)</f>
        <v>3.43</v>
      </c>
    </row>
    <row r="35" spans="2:23" x14ac:dyDescent="0.3">
      <c r="B35">
        <v>33</v>
      </c>
      <c r="C35" s="13" t="str">
        <f>_xlfn.XLOOKUP(B35,LRV[id],LRV[source])</f>
        <v>Linden et al. (2012)</v>
      </c>
      <c r="D35" s="13" t="str">
        <f>LRVs!C37</f>
        <v>UV</v>
      </c>
      <c r="E35" s="13" t="str">
        <f>LRVs!BG37</f>
        <v>Virus</v>
      </c>
      <c r="F35" s="13" t="str">
        <f>IF(LRVs!BH37="","",LRVs!BH37)</f>
        <v>MS2</v>
      </c>
      <c r="G35">
        <f>IF(LRVs!BL37="","",LRVs!BL37)</f>
        <v>0.98</v>
      </c>
    </row>
    <row r="36" spans="2:23" x14ac:dyDescent="0.3">
      <c r="B36">
        <v>34</v>
      </c>
      <c r="C36" s="13" t="str">
        <f>_xlfn.XLOOKUP(B36,LRV[id],LRV[source])</f>
        <v>Linden et al. (2012)</v>
      </c>
      <c r="D36" s="13" t="str">
        <f>LRVs!C38</f>
        <v>UV</v>
      </c>
      <c r="E36" s="13" t="str">
        <f>LRVs!BG38</f>
        <v>Virus</v>
      </c>
      <c r="F36" s="13" t="str">
        <f>IF(LRVs!BH38="","",LRVs!BH38)</f>
        <v>MS2</v>
      </c>
      <c r="G36">
        <f>IF(LRVs!BL38="","",LRVs!BL38)</f>
        <v>0.84</v>
      </c>
    </row>
    <row r="37" spans="2:23" x14ac:dyDescent="0.3">
      <c r="B37">
        <v>35</v>
      </c>
      <c r="C37" s="13" t="str">
        <f>_xlfn.XLOOKUP(B37,LRV[id],LRV[source])</f>
        <v>Linden et al. (2012)</v>
      </c>
      <c r="D37" s="13" t="str">
        <f>LRVs!C39</f>
        <v>UV</v>
      </c>
      <c r="E37" s="13" t="str">
        <f>LRVs!BG39</f>
        <v>Virus</v>
      </c>
      <c r="F37" s="13" t="str">
        <f>IF(LRVs!BH39="","",LRVs!BH39)</f>
        <v>MS2</v>
      </c>
      <c r="G37">
        <f>IF(LRVs!BL39="","",LRVs!BL39)</f>
        <v>3.01</v>
      </c>
    </row>
    <row r="38" spans="2:23" x14ac:dyDescent="0.3">
      <c r="B38">
        <v>36</v>
      </c>
      <c r="C38" s="13" t="str">
        <f>_xlfn.XLOOKUP(B38,LRV[id],LRV[source])</f>
        <v>Linden et al. (2012)</v>
      </c>
      <c r="D38" s="13" t="str">
        <f>LRVs!C40</f>
        <v>UV</v>
      </c>
      <c r="E38" s="13" t="str">
        <f>LRVs!BG40</f>
        <v>Virus</v>
      </c>
      <c r="F38" s="13" t="str">
        <f>IF(LRVs!BH40="","",LRVs!BH40)</f>
        <v>MS2</v>
      </c>
      <c r="G38">
        <f>IF(LRVs!BL40="","",LRVs!BL40)</f>
        <v>2.61</v>
      </c>
    </row>
    <row r="39" spans="2:23" x14ac:dyDescent="0.3">
      <c r="B39">
        <v>37</v>
      </c>
      <c r="C39" s="13" t="str">
        <f>_xlfn.XLOOKUP(B39,LRV[id],LRV[source])</f>
        <v>Linden et al. (2012)</v>
      </c>
      <c r="D39" s="13" t="str">
        <f>LRVs!C41</f>
        <v>UV</v>
      </c>
      <c r="E39" s="13" t="str">
        <f>LRVs!BG41</f>
        <v>Virus</v>
      </c>
      <c r="F39" s="13" t="str">
        <f>IF(LRVs!BH41="","",LRVs!BH41)</f>
        <v>MS2</v>
      </c>
      <c r="G39">
        <f>IF(LRVs!BL41="","",LRVs!BL41)</f>
        <v>3.67</v>
      </c>
    </row>
    <row r="40" spans="2:23" x14ac:dyDescent="0.3">
      <c r="B40">
        <v>38</v>
      </c>
      <c r="C40" s="13" t="str">
        <f>_xlfn.XLOOKUP(B40,LRV[id],LRV[source])</f>
        <v>Linden et al. (2012)</v>
      </c>
      <c r="D40" s="13" t="str">
        <f>LRVs!C42</f>
        <v>UV</v>
      </c>
      <c r="E40" s="13" t="str">
        <f>LRVs!BG42</f>
        <v>Virus</v>
      </c>
      <c r="F40" s="13" t="str">
        <f>IF(LRVs!BH42="","",LRVs!BH42)</f>
        <v>MS2</v>
      </c>
      <c r="G40">
        <f>IF(LRVs!BL42="","",LRVs!BL42)</f>
        <v>3.77</v>
      </c>
    </row>
    <row r="41" spans="2:23" x14ac:dyDescent="0.3">
      <c r="B41">
        <v>39</v>
      </c>
      <c r="C41" s="13" t="str">
        <f>_xlfn.XLOOKUP(B41,LRV[id],LRV[source])</f>
        <v>Linden et al. (2012)</v>
      </c>
      <c r="D41" s="13" t="str">
        <f>LRVs!C43</f>
        <v>UV</v>
      </c>
      <c r="E41" s="13" t="str">
        <f>LRVs!BG43</f>
        <v>Bacteria</v>
      </c>
      <c r="F41" s="13" t="str">
        <f>IF(LRVs!BH43="","",LRVs!BH43)</f>
        <v>Coliform</v>
      </c>
      <c r="G41">
        <f>IF(LRVs!BL43="","",LRVs!BL43)</f>
        <v>2.6</v>
      </c>
    </row>
    <row r="42" spans="2:23" x14ac:dyDescent="0.3">
      <c r="B42">
        <v>40</v>
      </c>
      <c r="C42" s="13" t="str">
        <f>_xlfn.XLOOKUP(B42,LRV[id],LRV[source])</f>
        <v>Linden et al. (2012)</v>
      </c>
      <c r="D42" s="13" t="str">
        <f>LRVs!C44</f>
        <v>UV</v>
      </c>
      <c r="E42" s="13" t="str">
        <f>LRVs!BG44</f>
        <v>Bacteria</v>
      </c>
      <c r="F42" s="13" t="str">
        <f>IF(LRVs!BH44="","",LRVs!BH44)</f>
        <v>Coliform</v>
      </c>
      <c r="G42">
        <f>IF(LRVs!BL44="","",LRVs!BL44)</f>
        <v>2.74</v>
      </c>
    </row>
    <row r="43" spans="2:23" x14ac:dyDescent="0.3">
      <c r="B43">
        <v>41</v>
      </c>
      <c r="C43" s="13" t="str">
        <f>_xlfn.XLOOKUP(B43,LRV[id],LRV[source])</f>
        <v>Linden et al. (2012)</v>
      </c>
      <c r="D43" s="13" t="str">
        <f>LRVs!C45</f>
        <v>UV</v>
      </c>
      <c r="E43" s="13" t="str">
        <f>LRVs!BG45</f>
        <v>Bacteria</v>
      </c>
      <c r="F43" s="13" t="str">
        <f>IF(LRVs!BH45="","",LRVs!BH45)</f>
        <v>Coliform</v>
      </c>
      <c r="G43">
        <f>IF(LRVs!BL45="","",LRVs!BL45)</f>
        <v>3.22</v>
      </c>
    </row>
    <row r="44" spans="2:23" x14ac:dyDescent="0.3">
      <c r="B44">
        <v>42</v>
      </c>
      <c r="C44" s="13" t="str">
        <f>_xlfn.XLOOKUP(B44,LRV[id],LRV[source])</f>
        <v>Linden et al. (2012)</v>
      </c>
      <c r="D44" s="13" t="str">
        <f>LRVs!C46</f>
        <v>UV</v>
      </c>
      <c r="E44" s="13" t="str">
        <f>LRVs!BG46</f>
        <v>Bacteria</v>
      </c>
      <c r="F44" s="13" t="str">
        <f>IF(LRVs!BH46="","",LRVs!BH46)</f>
        <v>Coliform</v>
      </c>
      <c r="G44">
        <f>IF(LRVs!BL46="","",LRVs!BL46)</f>
        <v>3.12</v>
      </c>
    </row>
    <row r="45" spans="2:23" x14ac:dyDescent="0.3">
      <c r="B45">
        <v>43</v>
      </c>
      <c r="C45" s="13" t="str">
        <f>_xlfn.XLOOKUP(B45,LRV[id],LRV[source])</f>
        <v>Linden et al. (2012)</v>
      </c>
      <c r="D45" s="13" t="str">
        <f>LRVs!C47</f>
        <v>UV</v>
      </c>
      <c r="E45" s="13" t="str">
        <f>LRVs!BG47</f>
        <v>Bacteria</v>
      </c>
      <c r="F45" s="13" t="str">
        <f>IF(LRVs!BH47="","",LRVs!BH47)</f>
        <v>Coliform</v>
      </c>
      <c r="G45">
        <f>IF(LRVs!BL47="","",LRVs!BL47)</f>
        <v>3.74</v>
      </c>
    </row>
    <row r="46" spans="2:23" x14ac:dyDescent="0.3">
      <c r="B46">
        <v>44</v>
      </c>
      <c r="C46" s="13" t="str">
        <f>_xlfn.XLOOKUP(B46,LRV[id],LRV[source])</f>
        <v>Linden et al. (2012)</v>
      </c>
      <c r="D46" s="13" t="str">
        <f>LRVs!C48</f>
        <v>UV</v>
      </c>
      <c r="E46" s="13" t="str">
        <f>LRVs!BG48</f>
        <v>Bacteria</v>
      </c>
      <c r="F46" s="13" t="str">
        <f>IF(LRVs!BH48="","",LRVs!BH48)</f>
        <v>Coliform</v>
      </c>
      <c r="G46">
        <f>IF(LRVs!BL48="","",LRVs!BL48)</f>
        <v>3.12</v>
      </c>
    </row>
    <row r="47" spans="2:23" x14ac:dyDescent="0.3">
      <c r="B47">
        <v>45</v>
      </c>
      <c r="C47" s="13" t="str">
        <f>_xlfn.XLOOKUP(B47,LRV[id],LRV[source])</f>
        <v>Linden et al. (2012)</v>
      </c>
      <c r="D47" s="13" t="str">
        <f>LRVs!C49</f>
        <v>UV</v>
      </c>
      <c r="E47" s="13" t="str">
        <f>LRVs!BG49</f>
        <v>Protozoa</v>
      </c>
      <c r="F47" s="13" t="str">
        <f>IF(LRVs!BH49="","",LRVs!BH49)</f>
        <v>Aerobic spores</v>
      </c>
      <c r="G47">
        <f>IF(LRVs!BL49="","",LRVs!BL49)</f>
        <v>0.68</v>
      </c>
    </row>
    <row r="48" spans="2:23" x14ac:dyDescent="0.3">
      <c r="B48">
        <v>46</v>
      </c>
      <c r="C48" s="13" t="str">
        <f>_xlfn.XLOOKUP(B48,LRV[id],LRV[source])</f>
        <v>Linden et al. (2012)</v>
      </c>
      <c r="D48" s="13" t="str">
        <f>LRVs!C50</f>
        <v>UV</v>
      </c>
      <c r="E48" s="13" t="str">
        <f>LRVs!BG50</f>
        <v>Protozoa</v>
      </c>
      <c r="F48" s="13" t="str">
        <f>IF(LRVs!BH50="","",LRVs!BH50)</f>
        <v>Aerobic spores</v>
      </c>
      <c r="G48">
        <f>IF(LRVs!BL50="","",LRVs!BL50)</f>
        <v>0.69</v>
      </c>
    </row>
    <row r="49" spans="2:7" x14ac:dyDescent="0.3">
      <c r="B49">
        <v>47</v>
      </c>
      <c r="C49" s="13" t="str">
        <f>_xlfn.XLOOKUP(B49,LRV[id],LRV[source])</f>
        <v>Linden et al. (2012)</v>
      </c>
      <c r="D49" s="13" t="str">
        <f>LRVs!C51</f>
        <v>UV</v>
      </c>
      <c r="E49" s="13" t="str">
        <f>LRVs!BG51</f>
        <v>Protozoa</v>
      </c>
      <c r="F49" s="13" t="str">
        <f>IF(LRVs!BH51="","",LRVs!BH51)</f>
        <v>Aerobic spores</v>
      </c>
      <c r="G49">
        <f>IF(LRVs!BL51="","",LRVs!BL51)</f>
        <v>1.84</v>
      </c>
    </row>
    <row r="50" spans="2:7" x14ac:dyDescent="0.3">
      <c r="B50">
        <v>48</v>
      </c>
      <c r="C50" s="13" t="str">
        <f>_xlfn.XLOOKUP(B50,LRV[id],LRV[source])</f>
        <v>Linden et al. (2012)</v>
      </c>
      <c r="D50" s="13" t="str">
        <f>LRVs!C52</f>
        <v>UV</v>
      </c>
      <c r="E50" s="13" t="str">
        <f>LRVs!BG52</f>
        <v>Protozoa</v>
      </c>
      <c r="F50" s="13" t="str">
        <f>IF(LRVs!BH52="","",LRVs!BH52)</f>
        <v>Aerobic spores</v>
      </c>
      <c r="G50">
        <f>IF(LRVs!BL52="","",LRVs!BL52)</f>
        <v>1.79</v>
      </c>
    </row>
    <row r="51" spans="2:7" x14ac:dyDescent="0.3">
      <c r="B51">
        <v>49</v>
      </c>
      <c r="C51" s="13" t="str">
        <f>_xlfn.XLOOKUP(B51,LRV[id],LRV[source])</f>
        <v>Linden et al. (2012)</v>
      </c>
      <c r="D51" s="13" t="str">
        <f>LRVs!C53</f>
        <v>UV</v>
      </c>
      <c r="E51" s="13" t="str">
        <f>LRVs!BG53</f>
        <v>Protozoa</v>
      </c>
      <c r="F51" s="13" t="str">
        <f>IF(LRVs!BH53="","",LRVs!BH53)</f>
        <v>Aerobic spores</v>
      </c>
      <c r="G51">
        <f>IF(LRVs!BL53="","",LRVs!BL53)</f>
        <v>2.57</v>
      </c>
    </row>
    <row r="52" spans="2:7" x14ac:dyDescent="0.3">
      <c r="B52">
        <v>50</v>
      </c>
      <c r="C52" s="13" t="str">
        <f>_xlfn.XLOOKUP(B52,LRV[id],LRV[source])</f>
        <v>Linden et al. (2012)</v>
      </c>
      <c r="D52" s="13" t="str">
        <f>LRVs!C54</f>
        <v>UV</v>
      </c>
      <c r="E52" s="13" t="str">
        <f>LRVs!BG54</f>
        <v>Protozoa</v>
      </c>
      <c r="F52" s="13" t="str">
        <f>IF(LRVs!BH54="","",LRVs!BH54)</f>
        <v>Aerobic spores</v>
      </c>
      <c r="G52">
        <f>IF(LRVs!BL54="","",LRVs!BL54)</f>
        <v>2.61</v>
      </c>
    </row>
    <row r="53" spans="2:7" x14ac:dyDescent="0.3">
      <c r="B53">
        <v>51</v>
      </c>
      <c r="C53" s="13" t="str">
        <f>_xlfn.XLOOKUP(B53,LRV[id],LRV[source])</f>
        <v>Linden et al. (2012)</v>
      </c>
      <c r="D53" s="13" t="str">
        <f>LRVs!C55</f>
        <v>UV</v>
      </c>
      <c r="E53" s="13" t="str">
        <f>LRVs!BG55</f>
        <v>Virus</v>
      </c>
      <c r="F53" s="13" t="str">
        <f>IF(LRVs!BH55="","",LRVs!BH55)</f>
        <v>MS2</v>
      </c>
      <c r="G53">
        <f>IF(LRVs!BL55="","",LRVs!BL55)</f>
        <v>1.27</v>
      </c>
    </row>
    <row r="54" spans="2:7" x14ac:dyDescent="0.3">
      <c r="B54">
        <v>52</v>
      </c>
      <c r="C54" s="13" t="str">
        <f>_xlfn.XLOOKUP(B54,LRV[id],LRV[source])</f>
        <v>Linden et al. (2012)</v>
      </c>
      <c r="D54" s="13" t="str">
        <f>LRVs!C56</f>
        <v>UV</v>
      </c>
      <c r="E54" s="13" t="str">
        <f>LRVs!BG56</f>
        <v>Virus</v>
      </c>
      <c r="F54" s="13" t="str">
        <f>IF(LRVs!BH56="","",LRVs!BH56)</f>
        <v>MS2</v>
      </c>
      <c r="G54">
        <f>IF(LRVs!BL56="","",LRVs!BL56)</f>
        <v>1.06</v>
      </c>
    </row>
    <row r="55" spans="2:7" x14ac:dyDescent="0.3">
      <c r="B55">
        <v>53</v>
      </c>
      <c r="C55" s="13" t="str">
        <f>_xlfn.XLOOKUP(B55,LRV[id],LRV[source])</f>
        <v>Linden et al. (2012)</v>
      </c>
      <c r="D55" s="13" t="str">
        <f>LRVs!C57</f>
        <v>UV</v>
      </c>
      <c r="E55" s="13" t="str">
        <f>LRVs!BG57</f>
        <v>Virus</v>
      </c>
      <c r="F55" s="13" t="str">
        <f>IF(LRVs!BH57="","",LRVs!BH57)</f>
        <v>MS2</v>
      </c>
      <c r="G55">
        <f>IF(LRVs!BL57="","",LRVs!BL57)</f>
        <v>3.04</v>
      </c>
    </row>
    <row r="56" spans="2:7" x14ac:dyDescent="0.3">
      <c r="B56">
        <v>54</v>
      </c>
      <c r="C56" s="13" t="str">
        <f>_xlfn.XLOOKUP(B56,LRV[id],LRV[source])</f>
        <v>Linden et al. (2012)</v>
      </c>
      <c r="D56" s="13" t="str">
        <f>LRVs!C58</f>
        <v>UV</v>
      </c>
      <c r="E56" s="13" t="str">
        <f>LRVs!BG58</f>
        <v>Virus</v>
      </c>
      <c r="F56" s="13" t="str">
        <f>IF(LRVs!BH58="","",LRVs!BH58)</f>
        <v>MS2</v>
      </c>
      <c r="G56">
        <f>IF(LRVs!BL58="","",LRVs!BL58)</f>
        <v>2.69</v>
      </c>
    </row>
    <row r="57" spans="2:7" x14ac:dyDescent="0.3">
      <c r="B57">
        <v>55</v>
      </c>
      <c r="C57" s="13" t="str">
        <f>_xlfn.XLOOKUP(B57,LRV[id],LRV[source])</f>
        <v>Linden et al. (2012)</v>
      </c>
      <c r="D57" s="13" t="str">
        <f>LRVs!C59</f>
        <v>UV</v>
      </c>
      <c r="E57" s="13" t="str">
        <f>LRVs!BG59</f>
        <v>Virus</v>
      </c>
      <c r="F57" s="13" t="str">
        <f>IF(LRVs!BH59="","",LRVs!BH59)</f>
        <v>MS2</v>
      </c>
      <c r="G57">
        <f>IF(LRVs!BL59="","",LRVs!BL59)</f>
        <v>3.81</v>
      </c>
    </row>
    <row r="58" spans="2:7" x14ac:dyDescent="0.3">
      <c r="B58">
        <v>56</v>
      </c>
      <c r="C58" s="13" t="str">
        <f>_xlfn.XLOOKUP(B58,LRV[id],LRV[source])</f>
        <v>Linden et al. (2012)</v>
      </c>
      <c r="D58" s="13" t="str">
        <f>LRVs!C60</f>
        <v>UV</v>
      </c>
      <c r="E58" s="13" t="str">
        <f>LRVs!BG60</f>
        <v>Virus</v>
      </c>
      <c r="F58" s="13" t="str">
        <f>IF(LRVs!BH60="","",LRVs!BH60)</f>
        <v>MS2</v>
      </c>
      <c r="G58">
        <f>IF(LRVs!BL60="","",LRVs!BL60)</f>
        <v>3.81</v>
      </c>
    </row>
    <row r="59" spans="2:7" x14ac:dyDescent="0.3">
      <c r="B59">
        <v>57</v>
      </c>
      <c r="C59" s="13" t="str">
        <f>_xlfn.XLOOKUP(B59,LRV[id],LRV[source])</f>
        <v>Linden et al. (2012)</v>
      </c>
      <c r="D59" s="13" t="str">
        <f>LRVs!C61</f>
        <v>UV + H2O2</v>
      </c>
      <c r="E59" s="13" t="str">
        <f>LRVs!BG61</f>
        <v>Bacteria</v>
      </c>
      <c r="F59" s="13" t="str">
        <f>IF(LRVs!BH61="","",LRVs!BH61)</f>
        <v>Coliform</v>
      </c>
      <c r="G59">
        <f>IF(LRVs!BL61="","",LRVs!BL61)</f>
        <v>3.14</v>
      </c>
    </row>
    <row r="60" spans="2:7" x14ac:dyDescent="0.3">
      <c r="B60">
        <v>58</v>
      </c>
      <c r="C60" s="13" t="str">
        <f>_xlfn.XLOOKUP(B60,LRV[id],LRV[source])</f>
        <v>Linden et al. (2012)</v>
      </c>
      <c r="D60" s="13" t="str">
        <f>LRVs!C62</f>
        <v>UV + H2O2</v>
      </c>
      <c r="E60" s="13" t="str">
        <f>LRVs!BG62</f>
        <v>Bacteria</v>
      </c>
      <c r="F60" s="13" t="str">
        <f>IF(LRVs!BH62="","",LRVs!BH62)</f>
        <v>Coliform</v>
      </c>
      <c r="G60">
        <f>IF(LRVs!BL62="","",LRVs!BL62)</f>
        <v>3.43</v>
      </c>
    </row>
    <row r="61" spans="2:7" x14ac:dyDescent="0.3">
      <c r="B61">
        <v>59</v>
      </c>
      <c r="C61" s="13" t="str">
        <f>_xlfn.XLOOKUP(B61,LRV[id],LRV[source])</f>
        <v>Linden et al. (2012)</v>
      </c>
      <c r="D61" s="13" t="str">
        <f>LRVs!C63</f>
        <v>UV + H2O2</v>
      </c>
      <c r="E61" s="13" t="str">
        <f>LRVs!BG63</f>
        <v>Bacteria</v>
      </c>
      <c r="F61" s="13" t="str">
        <f>IF(LRVs!BH63="","",LRVs!BH63)</f>
        <v>Coliform</v>
      </c>
      <c r="G61">
        <f>IF(LRVs!BL63="","",LRVs!BL63)</f>
        <v>4.1900000000000004</v>
      </c>
    </row>
    <row r="62" spans="2:7" x14ac:dyDescent="0.3">
      <c r="B62">
        <v>60</v>
      </c>
      <c r="C62" s="13" t="str">
        <f>_xlfn.XLOOKUP(B62,LRV[id],LRV[source])</f>
        <v>Linden et al. (2012)</v>
      </c>
      <c r="D62" s="13" t="str">
        <f>LRVs!C64</f>
        <v>UV + H2O2</v>
      </c>
      <c r="E62" s="13" t="str">
        <f>LRVs!BG64</f>
        <v>Protozoa</v>
      </c>
      <c r="F62" s="13" t="str">
        <f>IF(LRVs!BH64="","",LRVs!BH64)</f>
        <v>Aerobic spores</v>
      </c>
      <c r="G62">
        <f>IF(LRVs!BL64="","",LRVs!BL64)</f>
        <v>0.67</v>
      </c>
    </row>
    <row r="63" spans="2:7" x14ac:dyDescent="0.3">
      <c r="B63">
        <v>61</v>
      </c>
      <c r="C63" s="13" t="str">
        <f>_xlfn.XLOOKUP(B63,LRV[id],LRV[source])</f>
        <v>Linden et al. (2012)</v>
      </c>
      <c r="D63" s="13" t="str">
        <f>LRVs!C65</f>
        <v>UV + H2O2</v>
      </c>
      <c r="E63" s="13" t="str">
        <f>LRVs!BG65</f>
        <v>Protozoa</v>
      </c>
      <c r="F63" s="13" t="str">
        <f>IF(LRVs!BH65="","",LRVs!BH65)</f>
        <v>Aerobic spores</v>
      </c>
      <c r="G63">
        <f>IF(LRVs!BL65="","",LRVs!BL65)</f>
        <v>1.67</v>
      </c>
    </row>
    <row r="64" spans="2:7" x14ac:dyDescent="0.3">
      <c r="B64">
        <v>62</v>
      </c>
      <c r="C64" s="13" t="str">
        <f>_xlfn.XLOOKUP(B64,LRV[id],LRV[source])</f>
        <v>Linden et al. (2012)</v>
      </c>
      <c r="D64" s="13" t="str">
        <f>LRVs!C66</f>
        <v>UV + H2O2</v>
      </c>
      <c r="E64" s="13" t="str">
        <f>LRVs!BG66</f>
        <v>Protozoa</v>
      </c>
      <c r="F64" s="13" t="str">
        <f>IF(LRVs!BH66="","",LRVs!BH66)</f>
        <v>Aerobic spores</v>
      </c>
      <c r="G64">
        <f>IF(LRVs!BL66="","",LRVs!BL66)</f>
        <v>2.17</v>
      </c>
    </row>
    <row r="65" spans="2:7" x14ac:dyDescent="0.3">
      <c r="B65">
        <v>63</v>
      </c>
      <c r="C65" s="13" t="str">
        <f>_xlfn.XLOOKUP(B65,LRV[id],LRV[source])</f>
        <v>Linden et al. (2012)</v>
      </c>
      <c r="D65" s="13" t="str">
        <f>LRVs!C67</f>
        <v>UV + H2O2</v>
      </c>
      <c r="E65" s="13" t="str">
        <f>LRVs!BG67</f>
        <v>Virus</v>
      </c>
      <c r="F65" s="13" t="str">
        <f>IF(LRVs!BH67="","",LRVs!BH67)</f>
        <v>MS2</v>
      </c>
      <c r="G65">
        <f>IF(LRVs!BL67="","",LRVs!BL67)</f>
        <v>1.26</v>
      </c>
    </row>
    <row r="66" spans="2:7" x14ac:dyDescent="0.3">
      <c r="B66">
        <v>64</v>
      </c>
      <c r="C66" s="13" t="str">
        <f>_xlfn.XLOOKUP(B66,LRV[id],LRV[source])</f>
        <v>Linden et al. (2012)</v>
      </c>
      <c r="D66" s="13" t="str">
        <f>LRVs!C68</f>
        <v>UV + H2O2</v>
      </c>
      <c r="E66" s="13" t="str">
        <f>LRVs!BG68</f>
        <v>Virus</v>
      </c>
      <c r="F66" s="13" t="str">
        <f>IF(LRVs!BH68="","",LRVs!BH68)</f>
        <v>MS2</v>
      </c>
      <c r="G66">
        <f>IF(LRVs!BL68="","",LRVs!BL68)</f>
        <v>3.04</v>
      </c>
    </row>
    <row r="67" spans="2:7" x14ac:dyDescent="0.3">
      <c r="B67">
        <v>65</v>
      </c>
      <c r="C67" s="13" t="str">
        <f>_xlfn.XLOOKUP(B67,LRV[id],LRV[source])</f>
        <v>Linden et al. (2012)</v>
      </c>
      <c r="D67" s="13" t="str">
        <f>LRVs!C69</f>
        <v>UV + H2O2</v>
      </c>
      <c r="E67" s="13" t="str">
        <f>LRVs!BG69</f>
        <v>Virus</v>
      </c>
      <c r="F67" s="13" t="str">
        <f>IF(LRVs!BH69="","",LRVs!BH69)</f>
        <v>MS2</v>
      </c>
      <c r="G67">
        <f>IF(LRVs!BL69="","",LRVs!BL69)</f>
        <v>3.8</v>
      </c>
    </row>
    <row r="68" spans="2:7" x14ac:dyDescent="0.3">
      <c r="B68">
        <v>66</v>
      </c>
      <c r="C68" s="13" t="str">
        <f>_xlfn.XLOOKUP(B68,LRV[id],LRV[source])</f>
        <v>Linden et al. (2012)</v>
      </c>
      <c r="D68" s="13" t="str">
        <f>LRVs!C70</f>
        <v>UV</v>
      </c>
      <c r="E68" s="13" t="str">
        <f>LRVs!BG70</f>
        <v>Bacteria</v>
      </c>
      <c r="F68" s="13" t="str">
        <f>IF(LRVs!BH70="","",LRVs!BH70)</f>
        <v>Coliform</v>
      </c>
      <c r="G68">
        <f>IF(LRVs!BL70="","",LRVs!BL70)</f>
        <v>3.4</v>
      </c>
    </row>
    <row r="69" spans="2:7" x14ac:dyDescent="0.3">
      <c r="B69">
        <v>67</v>
      </c>
      <c r="C69" s="13" t="str">
        <f>_xlfn.XLOOKUP(B69,LRV[id],LRV[source])</f>
        <v>Linden et al. (2012)</v>
      </c>
      <c r="D69" s="13" t="str">
        <f>LRVs!C71</f>
        <v>UV</v>
      </c>
      <c r="E69" s="13" t="str">
        <f>LRVs!BG71</f>
        <v>Bacteria</v>
      </c>
      <c r="F69" s="13" t="str">
        <f>IF(LRVs!BH71="","",LRVs!BH71)</f>
        <v>Coliform</v>
      </c>
      <c r="G69">
        <f>IF(LRVs!BL71="","",LRVs!BL71)</f>
        <v>2.73</v>
      </c>
    </row>
    <row r="70" spans="2:7" x14ac:dyDescent="0.3">
      <c r="B70">
        <v>68</v>
      </c>
      <c r="C70" s="13" t="str">
        <f>_xlfn.XLOOKUP(B70,LRV[id],LRV[source])</f>
        <v>Linden et al. (2012)</v>
      </c>
      <c r="D70" s="13" t="str">
        <f>LRVs!C72</f>
        <v>UV</v>
      </c>
      <c r="E70" s="13" t="str">
        <f>LRVs!BG72</f>
        <v>Bacteria</v>
      </c>
      <c r="F70" s="13" t="str">
        <f>IF(LRVs!BH72="","",LRVs!BH72)</f>
        <v>Coliform</v>
      </c>
      <c r="G70">
        <f>IF(LRVs!BL72="","",LRVs!BL72)</f>
        <v>3.98</v>
      </c>
    </row>
    <row r="71" spans="2:7" x14ac:dyDescent="0.3">
      <c r="B71">
        <v>69</v>
      </c>
      <c r="C71" s="13" t="str">
        <f>_xlfn.XLOOKUP(B71,LRV[id],LRV[source])</f>
        <v>Linden et al. (2012)</v>
      </c>
      <c r="D71" s="13" t="str">
        <f>LRVs!C73</f>
        <v>UV</v>
      </c>
      <c r="E71" s="13" t="str">
        <f>LRVs!BG73</f>
        <v>Bacteria</v>
      </c>
      <c r="F71" s="13" t="str">
        <f>IF(LRVs!BH73="","",LRVs!BH73)</f>
        <v>Coliform</v>
      </c>
      <c r="G71">
        <f>IF(LRVs!BL73="","",LRVs!BL73)</f>
        <v>3.8</v>
      </c>
    </row>
    <row r="72" spans="2:7" x14ac:dyDescent="0.3">
      <c r="B72">
        <v>70</v>
      </c>
      <c r="C72" s="13" t="str">
        <f>_xlfn.XLOOKUP(B72,LRV[id],LRV[source])</f>
        <v>Linden et al. (2012)</v>
      </c>
      <c r="D72" s="13" t="str">
        <f>LRVs!C74</f>
        <v>UV</v>
      </c>
      <c r="E72" s="13" t="str">
        <f>LRVs!BG74</f>
        <v>Bacteria</v>
      </c>
      <c r="F72" s="13" t="str">
        <f>IF(LRVs!BH74="","",LRVs!BH74)</f>
        <v>Coliform</v>
      </c>
      <c r="G72">
        <f>IF(LRVs!BL74="","",LRVs!BL74)</f>
        <v>4.83</v>
      </c>
    </row>
    <row r="73" spans="2:7" x14ac:dyDescent="0.3">
      <c r="B73">
        <v>71</v>
      </c>
      <c r="C73" s="13" t="str">
        <f>_xlfn.XLOOKUP(B73,LRV[id],LRV[source])</f>
        <v>Linden et al. (2012)</v>
      </c>
      <c r="D73" s="13" t="str">
        <f>LRVs!C75</f>
        <v>UV</v>
      </c>
      <c r="E73" s="13" t="str">
        <f>LRVs!BG75</f>
        <v>Bacteria</v>
      </c>
      <c r="F73" s="13" t="str">
        <f>IF(LRVs!BH75="","",LRVs!BH75)</f>
        <v>Coliform</v>
      </c>
      <c r="G73">
        <f>IF(LRVs!BL75="","",LRVs!BL75)</f>
        <v>3.8</v>
      </c>
    </row>
    <row r="74" spans="2:7" x14ac:dyDescent="0.3">
      <c r="B74">
        <v>72</v>
      </c>
      <c r="C74" s="13" t="str">
        <f>_xlfn.XLOOKUP(B74,LRV[id],LRV[source])</f>
        <v>Linden et al. (2012)</v>
      </c>
      <c r="D74" s="13" t="str">
        <f>LRVs!C76</f>
        <v>UV</v>
      </c>
      <c r="E74" s="13" t="str">
        <f>LRVs!BG76</f>
        <v>Protozoa</v>
      </c>
      <c r="F74" s="13" t="str">
        <f>IF(LRVs!BH76="","",LRVs!BH76)</f>
        <v>Aerobic spores</v>
      </c>
      <c r="G74">
        <f>IF(LRVs!BL76="","",LRVs!BL76)</f>
        <v>0.45</v>
      </c>
    </row>
    <row r="75" spans="2:7" x14ac:dyDescent="0.3">
      <c r="B75">
        <v>73</v>
      </c>
      <c r="C75" s="13" t="str">
        <f>_xlfn.XLOOKUP(B75,LRV[id],LRV[source])</f>
        <v>Linden et al. (2012)</v>
      </c>
      <c r="D75" s="13" t="str">
        <f>LRVs!C77</f>
        <v>UV</v>
      </c>
      <c r="E75" s="13" t="str">
        <f>LRVs!BG77</f>
        <v>Protozoa</v>
      </c>
      <c r="F75" s="13" t="str">
        <f>IF(LRVs!BH77="","",LRVs!BH77)</f>
        <v>Aerobic spores</v>
      </c>
      <c r="G75">
        <f>IF(LRVs!BL77="","",LRVs!BL77)</f>
        <v>0.65</v>
      </c>
    </row>
    <row r="76" spans="2:7" x14ac:dyDescent="0.3">
      <c r="B76">
        <v>74</v>
      </c>
      <c r="C76" s="13" t="str">
        <f>_xlfn.XLOOKUP(B76,LRV[id],LRV[source])</f>
        <v>Linden et al. (2012)</v>
      </c>
      <c r="D76" s="13" t="str">
        <f>LRVs!C78</f>
        <v>UV</v>
      </c>
      <c r="E76" s="13" t="str">
        <f>LRVs!BG78</f>
        <v>Protozoa</v>
      </c>
      <c r="F76" s="13" t="str">
        <f>IF(LRVs!BH78="","",LRVs!BH78)</f>
        <v>Aerobic spores</v>
      </c>
      <c r="G76">
        <f>IF(LRVs!BL78="","",LRVs!BL78)</f>
        <v>1.51</v>
      </c>
    </row>
    <row r="77" spans="2:7" x14ac:dyDescent="0.3">
      <c r="B77">
        <v>75</v>
      </c>
      <c r="C77" s="13" t="str">
        <f>_xlfn.XLOOKUP(B77,LRV[id],LRV[source])</f>
        <v>Linden et al. (2012)</v>
      </c>
      <c r="D77" s="13" t="str">
        <f>LRVs!C79</f>
        <v>UV</v>
      </c>
      <c r="E77" s="13" t="str">
        <f>LRVs!BG79</f>
        <v>Protozoa</v>
      </c>
      <c r="F77" s="13" t="str">
        <f>IF(LRVs!BH79="","",LRVs!BH79)</f>
        <v>Aerobic spores</v>
      </c>
      <c r="G77">
        <f>IF(LRVs!BL79="","",LRVs!BL79)</f>
        <v>1.47</v>
      </c>
    </row>
    <row r="78" spans="2:7" x14ac:dyDescent="0.3">
      <c r="B78">
        <v>76</v>
      </c>
      <c r="C78" s="13" t="str">
        <f>_xlfn.XLOOKUP(B78,LRV[id],LRV[source])</f>
        <v>Linden et al. (2012)</v>
      </c>
      <c r="D78" s="13" t="str">
        <f>LRVs!C80</f>
        <v>UV</v>
      </c>
      <c r="E78" s="13" t="str">
        <f>LRVs!BG80</f>
        <v>Protozoa</v>
      </c>
      <c r="F78" s="13" t="str">
        <f>IF(LRVs!BH80="","",LRVs!BH80)</f>
        <v>Aerobic spores</v>
      </c>
      <c r="G78">
        <f>IF(LRVs!BL80="","",LRVs!BL80)</f>
        <v>1.92</v>
      </c>
    </row>
    <row r="79" spans="2:7" x14ac:dyDescent="0.3">
      <c r="B79">
        <v>77</v>
      </c>
      <c r="C79" s="13" t="str">
        <f>_xlfn.XLOOKUP(B79,LRV[id],LRV[source])</f>
        <v>Linden et al. (2012)</v>
      </c>
      <c r="D79" s="13" t="str">
        <f>LRVs!C81</f>
        <v>UV</v>
      </c>
      <c r="E79" s="13" t="str">
        <f>LRVs!BG81</f>
        <v>Protozoa</v>
      </c>
      <c r="F79" s="13" t="str">
        <f>IF(LRVs!BH81="","",LRVs!BH81)</f>
        <v>Aerobic spores</v>
      </c>
      <c r="G79">
        <f>IF(LRVs!BL81="","",LRVs!BL81)</f>
        <v>1.68</v>
      </c>
    </row>
    <row r="80" spans="2:7" x14ac:dyDescent="0.3">
      <c r="B80">
        <v>78</v>
      </c>
      <c r="C80" s="13" t="str">
        <f>_xlfn.XLOOKUP(B80,LRV[id],LRV[source])</f>
        <v>Linden et al. (2012)</v>
      </c>
      <c r="D80" s="13" t="str">
        <f>LRVs!C82</f>
        <v>UV</v>
      </c>
      <c r="E80" s="13" t="str">
        <f>LRVs!BG82</f>
        <v>Virus</v>
      </c>
      <c r="F80" s="13" t="str">
        <f>IF(LRVs!BH82="","",LRVs!BH82)</f>
        <v>MS2</v>
      </c>
      <c r="G80">
        <f>IF(LRVs!BL82="","",LRVs!BL82)</f>
        <v>0.97</v>
      </c>
    </row>
    <row r="81" spans="2:7" x14ac:dyDescent="0.3">
      <c r="B81">
        <v>79</v>
      </c>
      <c r="C81" s="13" t="str">
        <f>_xlfn.XLOOKUP(B81,LRV[id],LRV[source])</f>
        <v>Linden et al. (2012)</v>
      </c>
      <c r="D81" s="13" t="str">
        <f>LRVs!C83</f>
        <v>UV</v>
      </c>
      <c r="E81" s="13" t="str">
        <f>LRVs!BG83</f>
        <v>Virus</v>
      </c>
      <c r="F81" s="13" t="str">
        <f>IF(LRVs!BH83="","",LRVs!BH83)</f>
        <v>MS2</v>
      </c>
      <c r="G81">
        <f>IF(LRVs!BL83="","",LRVs!BL83)</f>
        <v>0.71</v>
      </c>
    </row>
    <row r="82" spans="2:7" x14ac:dyDescent="0.3">
      <c r="B82">
        <v>80</v>
      </c>
      <c r="C82" s="13" t="str">
        <f>_xlfn.XLOOKUP(B82,LRV[id],LRV[source])</f>
        <v>Linden et al. (2012)</v>
      </c>
      <c r="D82" s="13" t="str">
        <f>LRVs!C84</f>
        <v>UV</v>
      </c>
      <c r="E82" s="13" t="str">
        <f>LRVs!BG84</f>
        <v>Virus</v>
      </c>
      <c r="F82" s="13" t="str">
        <f>IF(LRVs!BH84="","",LRVs!BH84)</f>
        <v>MS2</v>
      </c>
      <c r="G82">
        <f>IF(LRVs!BL84="","",LRVs!BL84)</f>
        <v>3.36</v>
      </c>
    </row>
    <row r="83" spans="2:7" x14ac:dyDescent="0.3">
      <c r="B83">
        <v>81</v>
      </c>
      <c r="C83" s="13" t="str">
        <f>_xlfn.XLOOKUP(B83,LRV[id],LRV[source])</f>
        <v>Linden et al. (2012)</v>
      </c>
      <c r="D83" s="13" t="str">
        <f>LRVs!C85</f>
        <v>UV</v>
      </c>
      <c r="E83" s="13" t="str">
        <f>LRVs!BG85</f>
        <v>Virus</v>
      </c>
      <c r="F83" s="13" t="str">
        <f>IF(LRVs!BH85="","",LRVs!BH85)</f>
        <v>MS2</v>
      </c>
      <c r="G83">
        <f>IF(LRVs!BL85="","",LRVs!BL85)</f>
        <v>2.4700000000000002</v>
      </c>
    </row>
    <row r="84" spans="2:7" x14ac:dyDescent="0.3">
      <c r="B84">
        <v>82</v>
      </c>
      <c r="C84" s="13" t="str">
        <f>_xlfn.XLOOKUP(B84,LRV[id],LRV[source])</f>
        <v>Linden et al. (2012)</v>
      </c>
      <c r="D84" s="13" t="str">
        <f>LRVs!C86</f>
        <v>UV</v>
      </c>
      <c r="E84" s="13" t="str">
        <f>LRVs!BG86</f>
        <v>Virus</v>
      </c>
      <c r="F84" s="13" t="str">
        <f>IF(LRVs!BH86="","",LRVs!BH86)</f>
        <v>MS2</v>
      </c>
      <c r="G84">
        <f>IF(LRVs!BL86="","",LRVs!BL86)</f>
        <v>3.36</v>
      </c>
    </row>
    <row r="85" spans="2:7" x14ac:dyDescent="0.3">
      <c r="B85">
        <v>83</v>
      </c>
      <c r="C85" s="13" t="str">
        <f>_xlfn.XLOOKUP(B85,LRV[id],LRV[source])</f>
        <v>Linden et al. (2012)</v>
      </c>
      <c r="D85" s="13" t="str">
        <f>LRVs!C87</f>
        <v>UV</v>
      </c>
      <c r="E85" s="13" t="str">
        <f>LRVs!BG87</f>
        <v>Virus</v>
      </c>
      <c r="F85" s="13" t="str">
        <f>IF(LRVs!BH87="","",LRVs!BH87)</f>
        <v>MS2</v>
      </c>
      <c r="G85">
        <f>IF(LRVs!BL87="","",LRVs!BL87)</f>
        <v>3.36</v>
      </c>
    </row>
    <row r="86" spans="2:7" x14ac:dyDescent="0.3">
      <c r="B86">
        <v>84</v>
      </c>
      <c r="C86" s="13" t="str">
        <f>_xlfn.XLOOKUP(B86,LRV[id],LRV[source])</f>
        <v>Linden et al. (2012)</v>
      </c>
      <c r="D86" s="13" t="str">
        <f>LRVs!C88</f>
        <v>UV</v>
      </c>
      <c r="E86" s="13" t="str">
        <f>LRVs!BG88</f>
        <v>Bacteria</v>
      </c>
      <c r="F86" s="13" t="str">
        <f>IF(LRVs!BH88="","",LRVs!BH88)</f>
        <v>Total coliform</v>
      </c>
      <c r="G86">
        <f>IF(LRVs!BL88="","",LRVs!BL88)</f>
        <v>3.04</v>
      </c>
    </row>
    <row r="87" spans="2:7" x14ac:dyDescent="0.3">
      <c r="B87">
        <v>85</v>
      </c>
      <c r="C87" s="13" t="str">
        <f>_xlfn.XLOOKUP(B87,LRV[id],LRV[source])</f>
        <v>Linden et al. (2012)</v>
      </c>
      <c r="D87" s="13" t="str">
        <f>LRVs!C89</f>
        <v>UV + H2O2</v>
      </c>
      <c r="E87" s="13" t="str">
        <f>LRVs!BG89</f>
        <v>Bacteria</v>
      </c>
      <c r="F87" s="13" t="str">
        <f>IF(LRVs!BH89="","",LRVs!BH89)</f>
        <v>Total coliform</v>
      </c>
      <c r="G87">
        <f>IF(LRVs!BL89="","",LRVs!BL89)</f>
        <v>3.38</v>
      </c>
    </row>
    <row r="88" spans="2:7" x14ac:dyDescent="0.3">
      <c r="B88">
        <v>86</v>
      </c>
      <c r="C88" s="13" t="str">
        <f>_xlfn.XLOOKUP(B88,LRV[id],LRV[source])</f>
        <v>Linden et al. (2012)</v>
      </c>
      <c r="D88" s="13" t="str">
        <f>LRVs!C90</f>
        <v>UV + PAA</v>
      </c>
      <c r="E88" s="13" t="str">
        <f>LRVs!BG90</f>
        <v>Bacteria</v>
      </c>
      <c r="F88" s="13" t="str">
        <f>IF(LRVs!BH90="","",LRVs!BH90)</f>
        <v>Total coliform</v>
      </c>
      <c r="G88">
        <f>IF(LRVs!BL90="","",LRVs!BL90)</f>
        <v>3.59</v>
      </c>
    </row>
    <row r="89" spans="2:7" x14ac:dyDescent="0.3">
      <c r="B89">
        <v>87</v>
      </c>
      <c r="C89" s="13" t="str">
        <f>_xlfn.XLOOKUP(B89,LRV[id],LRV[source])</f>
        <v>Linden et al. (2012)</v>
      </c>
      <c r="D89" s="13" t="str">
        <f>LRVs!C91</f>
        <v>UV</v>
      </c>
      <c r="E89" s="13" t="str">
        <f>LRVs!BG91</f>
        <v>Bacteria</v>
      </c>
      <c r="F89" s="13" t="str">
        <f>IF(LRVs!BH91="","",LRVs!BH91)</f>
        <v>Total coliform</v>
      </c>
      <c r="G89">
        <f>IF(LRVs!BL91="","",LRVs!BL91)</f>
        <v>3.54</v>
      </c>
    </row>
    <row r="90" spans="2:7" x14ac:dyDescent="0.3">
      <c r="B90">
        <v>88</v>
      </c>
      <c r="C90" s="13" t="str">
        <f>_xlfn.XLOOKUP(B90,LRV[id],LRV[source])</f>
        <v>Linden et al. (2012)</v>
      </c>
      <c r="D90" s="13" t="str">
        <f>LRVs!C92</f>
        <v>UV + PAA</v>
      </c>
      <c r="E90" s="13" t="str">
        <f>LRVs!BG92</f>
        <v>Bacteria</v>
      </c>
      <c r="F90" s="13" t="str">
        <f>IF(LRVs!BH92="","",LRVs!BH92)</f>
        <v>Total coliform</v>
      </c>
      <c r="G90">
        <f>IF(LRVs!BL92="","",LRVs!BL92)</f>
        <v>3.55</v>
      </c>
    </row>
    <row r="91" spans="2:7" x14ac:dyDescent="0.3">
      <c r="B91">
        <v>89</v>
      </c>
      <c r="C91" s="13" t="str">
        <f>_xlfn.XLOOKUP(B91,LRV[id],LRV[source])</f>
        <v>Linden et al. (2012)</v>
      </c>
      <c r="D91" s="13" t="str">
        <f>LRVs!C93</f>
        <v>UV</v>
      </c>
      <c r="E91" s="13" t="str">
        <f>LRVs!BG93</f>
        <v>Virus</v>
      </c>
      <c r="F91" s="13" t="str">
        <f>IF(LRVs!BH93="","",LRVs!BH93)</f>
        <v>Adenovirus</v>
      </c>
      <c r="G91">
        <f>IF(LRVs!BL93="","",LRVs!BL93)</f>
        <v>1</v>
      </c>
    </row>
    <row r="92" spans="2:7" x14ac:dyDescent="0.3">
      <c r="B92">
        <v>90</v>
      </c>
      <c r="C92" s="13" t="str">
        <f>_xlfn.XLOOKUP(B92,LRV[id],LRV[source])</f>
        <v>Linden et al. (2012)</v>
      </c>
      <c r="D92" s="13" t="str">
        <f>LRVs!C94</f>
        <v>UV</v>
      </c>
      <c r="E92" s="13" t="str">
        <f>LRVs!BG94</f>
        <v>Virus</v>
      </c>
      <c r="F92" s="13" t="str">
        <f>IF(LRVs!BH94="","",LRVs!BH94)</f>
        <v>Adenovirus</v>
      </c>
      <c r="G92">
        <f>IF(LRVs!BL94="","",LRVs!BL94)</f>
        <v>2</v>
      </c>
    </row>
    <row r="93" spans="2:7" x14ac:dyDescent="0.3">
      <c r="B93">
        <v>91</v>
      </c>
      <c r="C93" s="13" t="str">
        <f>_xlfn.XLOOKUP(B93,LRV[id],LRV[source])</f>
        <v>Linden et al. (2012)</v>
      </c>
      <c r="D93" s="13" t="str">
        <f>LRVs!C95</f>
        <v>UV</v>
      </c>
      <c r="E93" s="13" t="str">
        <f>LRVs!BG95</f>
        <v>Virus</v>
      </c>
      <c r="F93" s="13" t="str">
        <f>IF(LRVs!BH95="","",LRVs!BH95)</f>
        <v>Adenovirus</v>
      </c>
      <c r="G93">
        <f>IF(LRVs!BL95="","",LRVs!BL95)</f>
        <v>3</v>
      </c>
    </row>
    <row r="94" spans="2:7" x14ac:dyDescent="0.3">
      <c r="B94">
        <v>92</v>
      </c>
      <c r="C94" s="13" t="str">
        <f>_xlfn.XLOOKUP(B94,LRV[id],LRV[source])</f>
        <v>Linden et al. (2012)</v>
      </c>
      <c r="D94" s="13" t="str">
        <f>LRVs!C96</f>
        <v>UV</v>
      </c>
      <c r="E94" s="13" t="str">
        <f>LRVs!BG96</f>
        <v>Virus</v>
      </c>
      <c r="F94" s="13" t="str">
        <f>IF(LRVs!BH96="","",LRVs!BH96)</f>
        <v>Adenovirus</v>
      </c>
      <c r="G94">
        <f>IF(LRVs!BL96="","",LRVs!BL96)</f>
        <v>4</v>
      </c>
    </row>
    <row r="95" spans="2:7" x14ac:dyDescent="0.3">
      <c r="B95">
        <v>93</v>
      </c>
      <c r="C95" s="13" t="str">
        <f>_xlfn.XLOOKUP(B95,LRV[id],LRV[source])</f>
        <v>Linden et al. (2012)</v>
      </c>
      <c r="D95" s="13" t="str">
        <f>LRVs!C97</f>
        <v>UV</v>
      </c>
      <c r="E95" s="13" t="str">
        <f>LRVs!BG97</f>
        <v>Virus</v>
      </c>
      <c r="F95" s="13" t="str">
        <f>IF(LRVs!BH97="","",LRVs!BH97)</f>
        <v>Adenovirus</v>
      </c>
      <c r="G95">
        <f>IF(LRVs!BL97="","",LRVs!BL97)</f>
        <v>1</v>
      </c>
    </row>
    <row r="96" spans="2:7" x14ac:dyDescent="0.3">
      <c r="B96">
        <v>94</v>
      </c>
      <c r="C96" s="13" t="str">
        <f>_xlfn.XLOOKUP(B96,LRV[id],LRV[source])</f>
        <v>Linden et al. (2012)</v>
      </c>
      <c r="D96" s="13" t="str">
        <f>LRVs!C98</f>
        <v>UV</v>
      </c>
      <c r="E96" s="13" t="str">
        <f>LRVs!BG98</f>
        <v>Virus</v>
      </c>
      <c r="F96" s="13" t="str">
        <f>IF(LRVs!BH98="","",LRVs!BH98)</f>
        <v>Adenovirus</v>
      </c>
      <c r="G96">
        <f>IF(LRVs!BL98="","",LRVs!BL98)</f>
        <v>2</v>
      </c>
    </row>
    <row r="97" spans="2:7" x14ac:dyDescent="0.3">
      <c r="B97">
        <v>95</v>
      </c>
      <c r="C97" s="13" t="str">
        <f>_xlfn.XLOOKUP(B97,LRV[id],LRV[source])</f>
        <v>Linden et al. (2012)</v>
      </c>
      <c r="D97" s="13" t="str">
        <f>LRVs!C99</f>
        <v>UV</v>
      </c>
      <c r="E97" s="13" t="str">
        <f>LRVs!BG99</f>
        <v>Virus</v>
      </c>
      <c r="F97" s="13" t="str">
        <f>IF(LRVs!BH99="","",LRVs!BH99)</f>
        <v>Adenovirus</v>
      </c>
      <c r="G97">
        <f>IF(LRVs!BL99="","",LRVs!BL99)</f>
        <v>3</v>
      </c>
    </row>
    <row r="98" spans="2:7" x14ac:dyDescent="0.3">
      <c r="B98">
        <v>96</v>
      </c>
      <c r="C98" s="13" t="str">
        <f>_xlfn.XLOOKUP(B98,LRV[id],LRV[source])</f>
        <v>Linden et al. (2012)</v>
      </c>
      <c r="D98" s="13" t="str">
        <f>LRVs!C100</f>
        <v>UV</v>
      </c>
      <c r="E98" s="13" t="str">
        <f>LRVs!BG100</f>
        <v>Virus</v>
      </c>
      <c r="F98" s="13" t="str">
        <f>IF(LRVs!BH100="","",LRVs!BH100)</f>
        <v>Adenovirus</v>
      </c>
      <c r="G98">
        <f>IF(LRVs!BL100="","",LRVs!BL100)</f>
        <v>4</v>
      </c>
    </row>
    <row r="99" spans="2:7" x14ac:dyDescent="0.3">
      <c r="B99">
        <v>97</v>
      </c>
      <c r="C99" s="13" t="str">
        <f>_xlfn.XLOOKUP(B99,LRV[id],LRV[source])</f>
        <v>Linden et al. (2012)</v>
      </c>
      <c r="D99" s="13" t="str">
        <f>LRVs!C101</f>
        <v>UV + H2O2</v>
      </c>
      <c r="E99" s="13" t="str">
        <f>LRVs!BG101</f>
        <v>Virus</v>
      </c>
      <c r="F99" s="13" t="str">
        <f>IF(LRVs!BH101="","",LRVs!BH101)</f>
        <v>Adenovirus</v>
      </c>
      <c r="G99">
        <f>IF(LRVs!BL101="","",LRVs!BL101)</f>
        <v>1</v>
      </c>
    </row>
    <row r="100" spans="2:7" x14ac:dyDescent="0.3">
      <c r="B100">
        <v>98</v>
      </c>
      <c r="C100" s="13" t="str">
        <f>_xlfn.XLOOKUP(B100,LRV[id],LRV[source])</f>
        <v>Linden et al. (2012)</v>
      </c>
      <c r="D100" s="13" t="str">
        <f>LRVs!C102</f>
        <v>UV + H2O2</v>
      </c>
      <c r="E100" s="13" t="str">
        <f>LRVs!BG102</f>
        <v>Virus</v>
      </c>
      <c r="F100" s="13" t="str">
        <f>IF(LRVs!BH102="","",LRVs!BH102)</f>
        <v>Adenovirus</v>
      </c>
      <c r="G100">
        <f>IF(LRVs!BL102="","",LRVs!BL102)</f>
        <v>2</v>
      </c>
    </row>
    <row r="101" spans="2:7" x14ac:dyDescent="0.3">
      <c r="B101">
        <v>99</v>
      </c>
      <c r="C101" s="13" t="str">
        <f>_xlfn.XLOOKUP(B101,LRV[id],LRV[source])</f>
        <v>Linden et al. (2012)</v>
      </c>
      <c r="D101" s="13" t="str">
        <f>LRVs!C103</f>
        <v>UV + H2O2</v>
      </c>
      <c r="E101" s="13" t="str">
        <f>LRVs!BG103</f>
        <v>Virus</v>
      </c>
      <c r="F101" s="13" t="str">
        <f>IF(LRVs!BH103="","",LRVs!BH103)</f>
        <v>Adenovirus</v>
      </c>
      <c r="G101">
        <f>IF(LRVs!BL103="","",LRVs!BL103)</f>
        <v>3</v>
      </c>
    </row>
    <row r="102" spans="2:7" x14ac:dyDescent="0.3">
      <c r="B102">
        <v>100</v>
      </c>
      <c r="C102" s="13" t="str">
        <f>_xlfn.XLOOKUP(B102,LRV[id],LRV[source])</f>
        <v>Linden et al. (2012)</v>
      </c>
      <c r="D102" s="13" t="str">
        <f>LRVs!C104</f>
        <v>UV + H2O2</v>
      </c>
      <c r="E102" s="13" t="str">
        <f>LRVs!BG104</f>
        <v>Virus</v>
      </c>
      <c r="F102" s="13" t="str">
        <f>IF(LRVs!BH104="","",LRVs!BH104)</f>
        <v>Adenovirus</v>
      </c>
      <c r="G102">
        <f>IF(LRVs!BL104="","",LRVs!BL104)</f>
        <v>4</v>
      </c>
    </row>
    <row r="103" spans="2:7" x14ac:dyDescent="0.3">
      <c r="B103">
        <v>101</v>
      </c>
      <c r="C103" s="13" t="str">
        <f>_xlfn.XLOOKUP(B103,LRV[id],LRV[source])</f>
        <v>Linden et al. (2012)</v>
      </c>
      <c r="D103" s="13" t="str">
        <f>LRVs!C105</f>
        <v>UV</v>
      </c>
      <c r="E103" s="13" t="str">
        <f>LRVs!BG105</f>
        <v>Virus</v>
      </c>
      <c r="F103" s="13" t="str">
        <f>IF(LRVs!BH105="","",LRVs!BH105)</f>
        <v>Coxsackievirus</v>
      </c>
      <c r="G103">
        <f>IF(LRVs!BL105="","",LRVs!BL105)</f>
        <v>1</v>
      </c>
    </row>
    <row r="104" spans="2:7" x14ac:dyDescent="0.3">
      <c r="B104">
        <v>102</v>
      </c>
      <c r="C104" s="13" t="str">
        <f>_xlfn.XLOOKUP(B104,LRV[id],LRV[source])</f>
        <v>Linden et al. (2012)</v>
      </c>
      <c r="D104" s="13" t="str">
        <f>LRVs!C106</f>
        <v>UV</v>
      </c>
      <c r="E104" s="13" t="str">
        <f>LRVs!BG106</f>
        <v>Virus</v>
      </c>
      <c r="F104" s="13" t="str">
        <f>IF(LRVs!BH106="","",LRVs!BH106)</f>
        <v>Coxsackievirus</v>
      </c>
      <c r="G104">
        <f>IF(LRVs!BL106="","",LRVs!BL106)</f>
        <v>2</v>
      </c>
    </row>
    <row r="105" spans="2:7" x14ac:dyDescent="0.3">
      <c r="B105">
        <v>103</v>
      </c>
      <c r="C105" s="13" t="str">
        <f>_xlfn.XLOOKUP(B105,LRV[id],LRV[source])</f>
        <v>Linden et al. (2012)</v>
      </c>
      <c r="D105" s="13" t="str">
        <f>LRVs!C107</f>
        <v>UV</v>
      </c>
      <c r="E105" s="13" t="str">
        <f>LRVs!BG107</f>
        <v>Virus</v>
      </c>
      <c r="F105" s="13" t="str">
        <f>IF(LRVs!BH107="","",LRVs!BH107)</f>
        <v>Coxsackievirus</v>
      </c>
      <c r="G105">
        <f>IF(LRVs!BL107="","",LRVs!BL107)</f>
        <v>3</v>
      </c>
    </row>
    <row r="106" spans="2:7" x14ac:dyDescent="0.3">
      <c r="B106">
        <v>104</v>
      </c>
      <c r="C106" s="13" t="str">
        <f>_xlfn.XLOOKUP(B106,LRV[id],LRV[source])</f>
        <v>Linden et al. (2012)</v>
      </c>
      <c r="D106" s="13" t="str">
        <f>LRVs!C108</f>
        <v>UV</v>
      </c>
      <c r="E106" s="13" t="str">
        <f>LRVs!BG108</f>
        <v>Virus</v>
      </c>
      <c r="F106" s="13" t="str">
        <f>IF(LRVs!BH108="","",LRVs!BH108)</f>
        <v>Coxsackievirus</v>
      </c>
      <c r="G106">
        <f>IF(LRVs!BL108="","",LRVs!BL108)</f>
        <v>4</v>
      </c>
    </row>
    <row r="107" spans="2:7" x14ac:dyDescent="0.3">
      <c r="B107">
        <v>105</v>
      </c>
      <c r="C107" s="13" t="str">
        <f>_xlfn.XLOOKUP(B107,LRV[id],LRV[source])</f>
        <v>Linden et al. (2012)</v>
      </c>
      <c r="D107" s="13" t="str">
        <f>LRVs!C109</f>
        <v>UV</v>
      </c>
      <c r="E107" s="13" t="str">
        <f>LRVs!BG109</f>
        <v>Virus</v>
      </c>
      <c r="F107" s="13" t="str">
        <f>IF(LRVs!BH109="","",LRVs!BH109)</f>
        <v>Coxsackievirus</v>
      </c>
      <c r="G107">
        <f>IF(LRVs!BL109="","",LRVs!BL109)</f>
        <v>1</v>
      </c>
    </row>
    <row r="108" spans="2:7" x14ac:dyDescent="0.3">
      <c r="B108">
        <v>106</v>
      </c>
      <c r="C108" s="13" t="str">
        <f>_xlfn.XLOOKUP(B108,LRV[id],LRV[source])</f>
        <v>Linden et al. (2012)</v>
      </c>
      <c r="D108" s="13" t="str">
        <f>LRVs!C110</f>
        <v>UV</v>
      </c>
      <c r="E108" s="13" t="str">
        <f>LRVs!BG110</f>
        <v>Virus</v>
      </c>
      <c r="F108" s="13" t="str">
        <f>IF(LRVs!BH110="","",LRVs!BH110)</f>
        <v>Coxsackievirus</v>
      </c>
      <c r="G108">
        <f>IF(LRVs!BL110="","",LRVs!BL110)</f>
        <v>2</v>
      </c>
    </row>
    <row r="109" spans="2:7" x14ac:dyDescent="0.3">
      <c r="B109">
        <v>107</v>
      </c>
      <c r="C109" s="13" t="str">
        <f>_xlfn.XLOOKUP(B109,LRV[id],LRV[source])</f>
        <v>Linden et al. (2012)</v>
      </c>
      <c r="D109" s="13" t="str">
        <f>LRVs!C111</f>
        <v>UV</v>
      </c>
      <c r="E109" s="13" t="str">
        <f>LRVs!BG111</f>
        <v>Virus</v>
      </c>
      <c r="F109" s="13" t="str">
        <f>IF(LRVs!BH111="","",LRVs!BH111)</f>
        <v>Coxsackievirus</v>
      </c>
      <c r="G109">
        <f>IF(LRVs!BL111="","",LRVs!BL111)</f>
        <v>3</v>
      </c>
    </row>
    <row r="110" spans="2:7" x14ac:dyDescent="0.3">
      <c r="B110">
        <v>108</v>
      </c>
      <c r="C110" s="13" t="str">
        <f>_xlfn.XLOOKUP(B110,LRV[id],LRV[source])</f>
        <v>Linden et al. (2012)</v>
      </c>
      <c r="D110" s="13" t="str">
        <f>LRVs!C112</f>
        <v>UV</v>
      </c>
      <c r="E110" s="13" t="str">
        <f>LRVs!BG112</f>
        <v>Virus</v>
      </c>
      <c r="F110" s="13" t="str">
        <f>IF(LRVs!BH112="","",LRVs!BH112)</f>
        <v>Coxsackievirus</v>
      </c>
      <c r="G110">
        <f>IF(LRVs!BL112="","",LRVs!BL112)</f>
        <v>4</v>
      </c>
    </row>
    <row r="111" spans="2:7" x14ac:dyDescent="0.3">
      <c r="B111">
        <v>109</v>
      </c>
      <c r="C111" s="13" t="str">
        <f>_xlfn.XLOOKUP(B111,LRV[id],LRV[source])</f>
        <v>Linden et al. (2012)</v>
      </c>
      <c r="D111" s="13" t="str">
        <f>LRVs!C113</f>
        <v>UV + H2O2</v>
      </c>
      <c r="E111" s="13" t="str">
        <f>LRVs!BG113</f>
        <v>Virus</v>
      </c>
      <c r="F111" s="13" t="str">
        <f>IF(LRVs!BH113="","",LRVs!BH113)</f>
        <v>Coxsackievirus</v>
      </c>
      <c r="G111">
        <f>IF(LRVs!BL113="","",LRVs!BL113)</f>
        <v>1</v>
      </c>
    </row>
    <row r="112" spans="2:7" x14ac:dyDescent="0.3">
      <c r="B112">
        <v>110</v>
      </c>
      <c r="C112" s="13" t="str">
        <f>_xlfn.XLOOKUP(B112,LRV[id],LRV[source])</f>
        <v>Linden et al. (2012)</v>
      </c>
      <c r="D112" s="13" t="str">
        <f>LRVs!C114</f>
        <v>UV + H2O2</v>
      </c>
      <c r="E112" s="13" t="str">
        <f>LRVs!BG114</f>
        <v>Virus</v>
      </c>
      <c r="F112" s="13" t="str">
        <f>IF(LRVs!BH114="","",LRVs!BH114)</f>
        <v>Coxsackievirus</v>
      </c>
      <c r="G112">
        <f>IF(LRVs!BL114="","",LRVs!BL114)</f>
        <v>2</v>
      </c>
    </row>
    <row r="113" spans="2:7" x14ac:dyDescent="0.3">
      <c r="B113">
        <v>111</v>
      </c>
      <c r="C113" s="13" t="str">
        <f>_xlfn.XLOOKUP(B113,LRV[id],LRV[source])</f>
        <v>Linden et al. (2012)</v>
      </c>
      <c r="D113" s="13" t="str">
        <f>LRVs!C115</f>
        <v>UV + H2O2</v>
      </c>
      <c r="E113" s="13" t="str">
        <f>LRVs!BG115</f>
        <v>Virus</v>
      </c>
      <c r="F113" s="13" t="str">
        <f>IF(LRVs!BH115="","",LRVs!BH115)</f>
        <v>Coxsackievirus</v>
      </c>
      <c r="G113">
        <f>IF(LRVs!BL115="","",LRVs!BL115)</f>
        <v>3</v>
      </c>
    </row>
    <row r="114" spans="2:7" x14ac:dyDescent="0.3">
      <c r="B114">
        <v>112</v>
      </c>
      <c r="C114" s="13" t="str">
        <f>_xlfn.XLOOKUP(B114,LRV[id],LRV[source])</f>
        <v>Linden et al. (2012)</v>
      </c>
      <c r="D114" s="13" t="str">
        <f>LRVs!C116</f>
        <v>UV + H2O2</v>
      </c>
      <c r="E114" s="13" t="str">
        <f>LRVs!BG116</f>
        <v>Virus</v>
      </c>
      <c r="F114" s="13" t="str">
        <f>IF(LRVs!BH116="","",LRVs!BH116)</f>
        <v>Coxsackievirus</v>
      </c>
      <c r="G114">
        <f>IF(LRVs!BL116="","",LRVs!BL116)</f>
        <v>4</v>
      </c>
    </row>
    <row r="115" spans="2:7" x14ac:dyDescent="0.3">
      <c r="B115">
        <v>113</v>
      </c>
      <c r="C115" s="13" t="str">
        <f>_xlfn.XLOOKUP(B115,LRV[id],LRV[source])</f>
        <v>Linden et al. (2012)</v>
      </c>
      <c r="D115" s="13" t="str">
        <f>LRVs!C117</f>
        <v>UV</v>
      </c>
      <c r="E115" s="13" t="str">
        <f>LRVs!BG117</f>
        <v>Virus</v>
      </c>
      <c r="F115" s="13" t="str">
        <f>IF(LRVs!BH117="","",LRVs!BH117)</f>
        <v>Reovirus</v>
      </c>
      <c r="G115">
        <f>IF(LRVs!BL117="","",LRVs!BL117)</f>
        <v>1</v>
      </c>
    </row>
    <row r="116" spans="2:7" x14ac:dyDescent="0.3">
      <c r="B116">
        <v>114</v>
      </c>
      <c r="C116" s="13" t="str">
        <f>_xlfn.XLOOKUP(B116,LRV[id],LRV[source])</f>
        <v>Linden et al. (2012)</v>
      </c>
      <c r="D116" s="13" t="str">
        <f>LRVs!C118</f>
        <v>UV</v>
      </c>
      <c r="E116" s="13" t="str">
        <f>LRVs!BG118</f>
        <v>Virus</v>
      </c>
      <c r="F116" s="13" t="str">
        <f>IF(LRVs!BH118="","",LRVs!BH118)</f>
        <v>Reovirus</v>
      </c>
      <c r="G116">
        <f>IF(LRVs!BL118="","",LRVs!BL118)</f>
        <v>2</v>
      </c>
    </row>
    <row r="117" spans="2:7" x14ac:dyDescent="0.3">
      <c r="B117">
        <v>115</v>
      </c>
      <c r="C117" s="13" t="str">
        <f>_xlfn.XLOOKUP(B117,LRV[id],LRV[source])</f>
        <v>Linden et al. (2012)</v>
      </c>
      <c r="D117" s="13" t="str">
        <f>LRVs!C119</f>
        <v>UV</v>
      </c>
      <c r="E117" s="13" t="str">
        <f>LRVs!BG119</f>
        <v>Virus</v>
      </c>
      <c r="F117" s="13" t="str">
        <f>IF(LRVs!BH119="","",LRVs!BH119)</f>
        <v>Reovirus</v>
      </c>
      <c r="G117">
        <f>IF(LRVs!BL119="","",LRVs!BL119)</f>
        <v>3</v>
      </c>
    </row>
    <row r="118" spans="2:7" x14ac:dyDescent="0.3">
      <c r="B118">
        <v>116</v>
      </c>
      <c r="C118" s="13" t="str">
        <f>_xlfn.XLOOKUP(B118,LRV[id],LRV[source])</f>
        <v>Linden et al. (2012)</v>
      </c>
      <c r="D118" s="13" t="str">
        <f>LRVs!C120</f>
        <v>UV</v>
      </c>
      <c r="E118" s="13" t="str">
        <f>LRVs!BG120</f>
        <v>Virus</v>
      </c>
      <c r="F118" s="13" t="str">
        <f>IF(LRVs!BH120="","",LRVs!BH120)</f>
        <v>Reovirus</v>
      </c>
      <c r="G118">
        <f>IF(LRVs!BL120="","",LRVs!BL120)</f>
        <v>4</v>
      </c>
    </row>
    <row r="119" spans="2:7" x14ac:dyDescent="0.3">
      <c r="B119">
        <v>117</v>
      </c>
      <c r="C119" s="13" t="str">
        <f>_xlfn.XLOOKUP(B119,LRV[id],LRV[source])</f>
        <v>Linden et al. (2012)</v>
      </c>
      <c r="D119" s="13" t="str">
        <f>LRVs!C121</f>
        <v>UV</v>
      </c>
      <c r="E119" s="13" t="str">
        <f>LRVs!BG121</f>
        <v>Virus</v>
      </c>
      <c r="F119" s="13" t="str">
        <f>IF(LRVs!BH121="","",LRVs!BH121)</f>
        <v>Reovirus</v>
      </c>
      <c r="G119">
        <f>IF(LRVs!BL121="","",LRVs!BL121)</f>
        <v>1</v>
      </c>
    </row>
    <row r="120" spans="2:7" x14ac:dyDescent="0.3">
      <c r="B120">
        <v>118</v>
      </c>
      <c r="C120" s="13" t="str">
        <f>_xlfn.XLOOKUP(B120,LRV[id],LRV[source])</f>
        <v>Linden et al. (2012)</v>
      </c>
      <c r="D120" s="13" t="str">
        <f>LRVs!C122</f>
        <v>UV</v>
      </c>
      <c r="E120" s="13" t="str">
        <f>LRVs!BG122</f>
        <v>Virus</v>
      </c>
      <c r="F120" s="13" t="str">
        <f>IF(LRVs!BH122="","",LRVs!BH122)</f>
        <v>Reovirus</v>
      </c>
      <c r="G120">
        <f>IF(LRVs!BL122="","",LRVs!BL122)</f>
        <v>2</v>
      </c>
    </row>
    <row r="121" spans="2:7" x14ac:dyDescent="0.3">
      <c r="B121">
        <v>119</v>
      </c>
      <c r="C121" s="13" t="str">
        <f>_xlfn.XLOOKUP(B121,LRV[id],LRV[source])</f>
        <v>Linden et al. (2012)</v>
      </c>
      <c r="D121" s="13" t="str">
        <f>LRVs!C123</f>
        <v>UV</v>
      </c>
      <c r="E121" s="13" t="str">
        <f>LRVs!BG123</f>
        <v>Virus</v>
      </c>
      <c r="F121" s="13" t="str">
        <f>IF(LRVs!BH123="","",LRVs!BH123)</f>
        <v>Reovirus</v>
      </c>
      <c r="G121">
        <f>IF(LRVs!BL123="","",LRVs!BL123)</f>
        <v>3</v>
      </c>
    </row>
    <row r="122" spans="2:7" x14ac:dyDescent="0.3">
      <c r="B122">
        <v>120</v>
      </c>
      <c r="C122" s="13" t="str">
        <f>_xlfn.XLOOKUP(B122,LRV[id],LRV[source])</f>
        <v>Linden et al. (2012)</v>
      </c>
      <c r="D122" s="13" t="str">
        <f>LRVs!C124</f>
        <v>UV</v>
      </c>
      <c r="E122" s="13" t="str">
        <f>LRVs!BG124</f>
        <v>Virus</v>
      </c>
      <c r="F122" s="13" t="str">
        <f>IF(LRVs!BH124="","",LRVs!BH124)</f>
        <v>Reovirus</v>
      </c>
      <c r="G122">
        <f>IF(LRVs!BL124="","",LRVs!BL124)</f>
        <v>4</v>
      </c>
    </row>
    <row r="123" spans="2:7" x14ac:dyDescent="0.3">
      <c r="B123">
        <v>121</v>
      </c>
      <c r="C123" s="13" t="str">
        <f>_xlfn.XLOOKUP(B123,LRV[id],LRV[source])</f>
        <v>Linden et al. (2012)</v>
      </c>
      <c r="D123" s="13" t="str">
        <f>LRVs!C125</f>
        <v>UV + H2O2</v>
      </c>
      <c r="E123" s="13" t="str">
        <f>LRVs!BG125</f>
        <v>Virus</v>
      </c>
      <c r="F123" s="13" t="str">
        <f>IF(LRVs!BH125="","",LRVs!BH125)</f>
        <v>Reovirus</v>
      </c>
      <c r="G123">
        <f>IF(LRVs!BL125="","",LRVs!BL125)</f>
        <v>1</v>
      </c>
    </row>
    <row r="124" spans="2:7" x14ac:dyDescent="0.3">
      <c r="B124">
        <v>122</v>
      </c>
      <c r="C124" s="13" t="str">
        <f>_xlfn.XLOOKUP(B124,LRV[id],LRV[source])</f>
        <v>Linden et al. (2012)</v>
      </c>
      <c r="D124" s="13" t="str">
        <f>LRVs!C126</f>
        <v>UV + H2O2</v>
      </c>
      <c r="E124" s="13" t="str">
        <f>LRVs!BG126</f>
        <v>Virus</v>
      </c>
      <c r="F124" s="13" t="str">
        <f>IF(LRVs!BH126="","",LRVs!BH126)</f>
        <v>Reovirus</v>
      </c>
      <c r="G124">
        <f>IF(LRVs!BL126="","",LRVs!BL126)</f>
        <v>2</v>
      </c>
    </row>
    <row r="125" spans="2:7" x14ac:dyDescent="0.3">
      <c r="B125">
        <v>123</v>
      </c>
      <c r="C125" s="13" t="str">
        <f>_xlfn.XLOOKUP(B125,LRV[id],LRV[source])</f>
        <v>Linden et al. (2012)</v>
      </c>
      <c r="D125" s="13" t="str">
        <f>LRVs!C127</f>
        <v>UV + H2O2</v>
      </c>
      <c r="E125" s="13" t="str">
        <f>LRVs!BG127</f>
        <v>Virus</v>
      </c>
      <c r="F125" s="13" t="str">
        <f>IF(LRVs!BH127="","",LRVs!BH127)</f>
        <v>Reovirus</v>
      </c>
      <c r="G125">
        <f>IF(LRVs!BL127="","",LRVs!BL127)</f>
        <v>3</v>
      </c>
    </row>
    <row r="126" spans="2:7" x14ac:dyDescent="0.3">
      <c r="B126">
        <v>124</v>
      </c>
      <c r="C126" s="13" t="str">
        <f>_xlfn.XLOOKUP(B126,LRV[id],LRV[source])</f>
        <v>Linden et al. (2012)</v>
      </c>
      <c r="D126" s="13" t="str">
        <f>LRVs!C128</f>
        <v>UV + H2O2</v>
      </c>
      <c r="E126" s="13" t="str">
        <f>LRVs!BG128</f>
        <v>Virus</v>
      </c>
      <c r="F126" s="13" t="str">
        <f>IF(LRVs!BH128="","",LRVs!BH128)</f>
        <v>Reovirus</v>
      </c>
      <c r="G126">
        <f>IF(LRVs!BL128="","",LRVs!BL128)</f>
        <v>4</v>
      </c>
    </row>
    <row r="127" spans="2:7" x14ac:dyDescent="0.3">
      <c r="B127">
        <v>125</v>
      </c>
      <c r="C127" s="13" t="str">
        <f>_xlfn.XLOOKUP(B127,LRV[id],LRV[source])</f>
        <v>Petterson et al. (2016)</v>
      </c>
      <c r="D127" s="13" t="str">
        <f>LRVs!C129</f>
        <v>Bio-filtration</v>
      </c>
      <c r="E127" s="13" t="str">
        <f>LRVs!BG129</f>
        <v>Bacteria</v>
      </c>
      <c r="F127" s="13" t="str">
        <f>IF(LRVs!BH129="","",LRVs!BH129)</f>
        <v>Escherichia coli</v>
      </c>
      <c r="G127">
        <f>IF(LRVs!BL129="","",LRVs!BL129)</f>
        <v>0.32</v>
      </c>
    </row>
    <row r="128" spans="2:7" x14ac:dyDescent="0.3">
      <c r="B128">
        <v>126</v>
      </c>
      <c r="C128" s="13" t="str">
        <f>_xlfn.XLOOKUP(B128,LRV[id],LRV[source])</f>
        <v>Petterson et al. (2016)</v>
      </c>
      <c r="D128" s="13" t="str">
        <f>LRVs!C130</f>
        <v>Underground storage tank</v>
      </c>
      <c r="E128" s="13" t="str">
        <f>LRVs!BG130</f>
        <v>Bacteria</v>
      </c>
      <c r="F128" s="13" t="str">
        <f>IF(LRVs!BH130="","",LRVs!BH130)</f>
        <v>Escherichia coli</v>
      </c>
      <c r="G128">
        <f>IF(LRVs!BL130="","",LRVs!BL130)</f>
        <v>0.61</v>
      </c>
    </row>
    <row r="129" spans="2:7" x14ac:dyDescent="0.3">
      <c r="B129">
        <v>127</v>
      </c>
      <c r="C129" s="13" t="str">
        <f>_xlfn.XLOOKUP(B129,LRV[id],LRV[source])</f>
        <v>Petterson et al. (2016)</v>
      </c>
      <c r="D129" s="13" t="str">
        <f>LRVs!C131</f>
        <v>Storage pond</v>
      </c>
      <c r="E129" s="13" t="str">
        <f>LRVs!BG131</f>
        <v>Bacteria</v>
      </c>
      <c r="F129" s="13" t="str">
        <f>IF(LRVs!BH131="","",LRVs!BH131)</f>
        <v>Escherichia coli</v>
      </c>
      <c r="G129">
        <f>IF(LRVs!BL131="","",LRVs!BL131)</f>
        <v>-1.4</v>
      </c>
    </row>
    <row r="130" spans="2:7" x14ac:dyDescent="0.3">
      <c r="B130">
        <v>128</v>
      </c>
      <c r="C130" s="13" t="str">
        <f>_xlfn.XLOOKUP(B130,LRV[id],LRV[source])</f>
        <v>Petterson et al. (2016)</v>
      </c>
      <c r="D130" s="13" t="str">
        <f>LRVs!C132</f>
        <v>Storage</v>
      </c>
      <c r="E130" s="13" t="str">
        <f>LRVs!BG132</f>
        <v>Bacteria</v>
      </c>
      <c r="F130" s="13" t="str">
        <f>IF(LRVs!BH132="","",LRVs!BH132)</f>
        <v>Escherichia coli</v>
      </c>
      <c r="G130">
        <f>IF(LRVs!BL132="","",LRVs!BL132)</f>
        <v>0.83</v>
      </c>
    </row>
    <row r="131" spans="2:7" x14ac:dyDescent="0.3">
      <c r="B131">
        <v>129</v>
      </c>
      <c r="C131" s="13" t="str">
        <f>_xlfn.XLOOKUP(B131,LRV[id],LRV[source])</f>
        <v>Petterson et al. (2016)</v>
      </c>
      <c r="D131" s="13" t="str">
        <f>LRVs!C133</f>
        <v>Storage</v>
      </c>
      <c r="E131" s="13" t="str">
        <f>LRVs!BG133</f>
        <v>Bacteria</v>
      </c>
      <c r="F131" s="13" t="str">
        <f>IF(LRVs!BH133="","",LRVs!BH133)</f>
        <v>Escherichia coli</v>
      </c>
      <c r="G131">
        <f>IF(LRVs!BL133="","",LRVs!BL133)</f>
        <v>-0.32</v>
      </c>
    </row>
    <row r="132" spans="2:7" x14ac:dyDescent="0.3">
      <c r="B132">
        <v>130</v>
      </c>
      <c r="C132" s="13" t="str">
        <f>_xlfn.XLOOKUP(B132,LRV[id],LRV[source])</f>
        <v>Petterson et al. (2016)</v>
      </c>
      <c r="D132" s="13" t="str">
        <f>LRVs!C134</f>
        <v>Storage</v>
      </c>
      <c r="E132" s="13" t="str">
        <f>LRVs!BG134</f>
        <v>Bacteria</v>
      </c>
      <c r="F132" s="13" t="str">
        <f>IF(LRVs!BH134="","",LRVs!BH134)</f>
        <v>Escherichia coli</v>
      </c>
      <c r="G132">
        <f>IF(LRVs!BL134="","",LRVs!BL134)</f>
        <v>0.5</v>
      </c>
    </row>
    <row r="133" spans="2:7" x14ac:dyDescent="0.3">
      <c r="B133">
        <v>131</v>
      </c>
      <c r="C133" s="13" t="str">
        <f>_xlfn.XLOOKUP(B133,LRV[id],LRV[source])</f>
        <v>Petterson et al. (2016)</v>
      </c>
      <c r="D133" s="13" t="str">
        <f>LRVs!C135</f>
        <v>Storage</v>
      </c>
      <c r="E133" s="13" t="str">
        <f>LRVs!BG135</f>
        <v>Protozoa</v>
      </c>
      <c r="F133" s="13" t="str">
        <f>IF(LRVs!BH135="","",LRVs!BH135)</f>
        <v>Clostridium perfringens</v>
      </c>
      <c r="G133">
        <f>IF(LRVs!BL135="","",LRVs!BL135)</f>
        <v>1.19</v>
      </c>
    </row>
    <row r="134" spans="2:7" x14ac:dyDescent="0.3">
      <c r="B134">
        <v>132</v>
      </c>
      <c r="C134" s="13" t="str">
        <f>_xlfn.XLOOKUP(B134,LRV[id],LRV[source])</f>
        <v>Petterson et al. (2016)</v>
      </c>
      <c r="D134" s="13" t="str">
        <f>LRVs!C136</f>
        <v>Storage</v>
      </c>
      <c r="E134" s="13" t="str">
        <f>LRVs!BG136</f>
        <v>Protozoa</v>
      </c>
      <c r="F134" s="13" t="str">
        <f>IF(LRVs!BH136="","",LRVs!BH136)</f>
        <v>Clostridium perfringens</v>
      </c>
      <c r="G134">
        <f>IF(LRVs!BL136="","",LRVs!BL136)</f>
        <v>0.83</v>
      </c>
    </row>
    <row r="135" spans="2:7" x14ac:dyDescent="0.3">
      <c r="B135">
        <v>133</v>
      </c>
      <c r="C135" s="13" t="str">
        <f>_xlfn.XLOOKUP(B135,LRV[id],LRV[source])</f>
        <v>Petterson et al. (2016)</v>
      </c>
      <c r="D135" s="13" t="str">
        <f>LRVs!C137</f>
        <v>Storage</v>
      </c>
      <c r="E135" s="13" t="str">
        <f>LRVs!BG137</f>
        <v>Protozoa</v>
      </c>
      <c r="F135" s="13" t="str">
        <f>IF(LRVs!BH137="","",LRVs!BH137)</f>
        <v>Clostridium perfringens</v>
      </c>
      <c r="G135">
        <f>IF(LRVs!BL137="","",LRVs!BL137)</f>
        <v>1.06</v>
      </c>
    </row>
    <row r="136" spans="2:7" x14ac:dyDescent="0.3">
      <c r="B136">
        <v>134</v>
      </c>
      <c r="C136" s="13" t="str">
        <f>_xlfn.XLOOKUP(B136,LRV[id],LRV[source])</f>
        <v>Petterson et al. (2016)</v>
      </c>
      <c r="D136" s="13" t="str">
        <f>LRVs!C138</f>
        <v>Storage</v>
      </c>
      <c r="E136" s="13" t="str">
        <f>LRVs!BG138</f>
        <v>Virus</v>
      </c>
      <c r="F136" s="13" t="str">
        <f>IF(LRVs!BH138="","",LRVs!BH138)</f>
        <v>Coliphage</v>
      </c>
      <c r="G136">
        <f>IF(LRVs!BL138="","",LRVs!BL138)</f>
        <v>0.27</v>
      </c>
    </row>
    <row r="137" spans="2:7" x14ac:dyDescent="0.3">
      <c r="B137">
        <v>135</v>
      </c>
      <c r="C137" s="13" t="str">
        <f>_xlfn.XLOOKUP(B137,LRV[id],LRV[source])</f>
        <v>Petterson et al. (2016)</v>
      </c>
      <c r="D137" s="13" t="str">
        <f>LRVs!C139</f>
        <v>Storage</v>
      </c>
      <c r="E137" s="13" t="str">
        <f>LRVs!BG139</f>
        <v>Virus</v>
      </c>
      <c r="F137" s="13" t="str">
        <f>IF(LRVs!BH139="","",LRVs!BH139)</f>
        <v>Coliphage</v>
      </c>
      <c r="G137">
        <f>IF(LRVs!BL139="","",LRVs!BL139)</f>
        <v>0.15</v>
      </c>
    </row>
    <row r="138" spans="2:7" x14ac:dyDescent="0.3">
      <c r="B138">
        <v>136</v>
      </c>
      <c r="C138" s="13" t="str">
        <f>_xlfn.XLOOKUP(B138,LRV[id],LRV[source])</f>
        <v>Petterson et al. (2016)</v>
      </c>
      <c r="D138" s="13" t="str">
        <f>LRVs!C140</f>
        <v>Storage</v>
      </c>
      <c r="E138" s="13" t="str">
        <f>LRVs!BG140</f>
        <v>Virus</v>
      </c>
      <c r="F138" s="13" t="str">
        <f>IF(LRVs!BH140="","",LRVs!BH140)</f>
        <v>Coliphage</v>
      </c>
      <c r="G138">
        <f>IF(LRVs!BL140="","",LRVs!BL140)</f>
        <v>0.09</v>
      </c>
    </row>
    <row r="139" spans="2:7" x14ac:dyDescent="0.3">
      <c r="B139">
        <v>137</v>
      </c>
      <c r="C139" s="13" t="str">
        <f>_xlfn.XLOOKUP(B139,LRV[id],LRV[source])</f>
        <v>Petterson et al. (2016)</v>
      </c>
      <c r="D139" s="13" t="str">
        <f>LRVs!C141</f>
        <v>UV</v>
      </c>
      <c r="E139" s="13" t="str">
        <f>LRVs!BG141</f>
        <v>Bacteria</v>
      </c>
      <c r="F139" s="13" t="str">
        <f>IF(LRVs!BH141="","",LRVs!BH141)</f>
        <v>Escherichia coli</v>
      </c>
      <c r="G139">
        <f>IF(LRVs!BL141="","",LRVs!BL141)</f>
        <v>1.24</v>
      </c>
    </row>
    <row r="140" spans="2:7" x14ac:dyDescent="0.3">
      <c r="B140">
        <v>138</v>
      </c>
      <c r="C140" s="13" t="str">
        <f>_xlfn.XLOOKUP(B140,LRV[id],LRV[source])</f>
        <v>Petterson et al. (2016)</v>
      </c>
      <c r="D140" s="13" t="str">
        <f>LRVs!C142</f>
        <v>UV</v>
      </c>
      <c r="E140" s="13" t="str">
        <f>LRVs!BG142</f>
        <v>Protozoa</v>
      </c>
      <c r="F140" s="13" t="str">
        <f>IF(LRVs!BH142="","",LRVs!BH142)</f>
        <v>Clostridium perfringens</v>
      </c>
      <c r="G140">
        <f>IF(LRVs!BL142="","",LRVs!BL142)</f>
        <v>0.06</v>
      </c>
    </row>
    <row r="141" spans="2:7" x14ac:dyDescent="0.3">
      <c r="B141">
        <v>139</v>
      </c>
      <c r="C141" s="13" t="str">
        <f>_xlfn.XLOOKUP(B141,LRV[id],LRV[source])</f>
        <v>Petterson et al. (2016)</v>
      </c>
      <c r="D141" s="13" t="str">
        <f>LRVs!C143</f>
        <v>UV</v>
      </c>
      <c r="E141" s="13" t="str">
        <f>LRVs!BG143</f>
        <v>Virus</v>
      </c>
      <c r="F141" s="13" t="str">
        <f>IF(LRVs!BH143="","",LRVs!BH143)</f>
        <v>Somatic coliphage</v>
      </c>
      <c r="G141">
        <f>IF(LRVs!BL143="","",LRVs!BL143)</f>
        <v>1</v>
      </c>
    </row>
    <row r="142" spans="2:7" x14ac:dyDescent="0.3">
      <c r="B142">
        <v>140</v>
      </c>
      <c r="C142" s="13" t="str">
        <f>_xlfn.XLOOKUP(B142,LRV[id],LRV[source])</f>
        <v>Petterson et al. (2016)</v>
      </c>
      <c r="D142" s="13" t="str">
        <f>LRVs!C144</f>
        <v>Wetland</v>
      </c>
      <c r="E142" s="13" t="str">
        <f>LRVs!BG144</f>
        <v>Bacteria</v>
      </c>
      <c r="F142" s="13" t="str">
        <f>IF(LRVs!BH144="","",LRVs!BH144)</f>
        <v>Escherichia coli</v>
      </c>
      <c r="G142">
        <f>IF(LRVs!BL144="","",LRVs!BL144)</f>
        <v>1.3</v>
      </c>
    </row>
    <row r="143" spans="2:7" x14ac:dyDescent="0.3">
      <c r="B143">
        <v>141</v>
      </c>
      <c r="C143" s="13" t="str">
        <f>_xlfn.XLOOKUP(B143,LRV[id],LRV[source])</f>
        <v>Petterson et al. (2016)</v>
      </c>
      <c r="D143" s="13" t="str">
        <f>LRVs!C145</f>
        <v>Wetland</v>
      </c>
      <c r="E143" s="13" t="str">
        <f>LRVs!BG145</f>
        <v>Bacteria</v>
      </c>
      <c r="F143" s="13" t="str">
        <f>IF(LRVs!BH145="","",LRVs!BH145)</f>
        <v>Escherichia coli</v>
      </c>
      <c r="G143">
        <f>IF(LRVs!BL145="","",LRVs!BL145)</f>
        <v>0.49</v>
      </c>
    </row>
    <row r="144" spans="2:7" x14ac:dyDescent="0.3">
      <c r="B144">
        <v>142</v>
      </c>
      <c r="C144" s="13" t="str">
        <f>_xlfn.XLOOKUP(B144,LRV[id],LRV[source])</f>
        <v>Petterson et al. (2016)</v>
      </c>
      <c r="D144" s="13" t="str">
        <f>LRVs!C146</f>
        <v>Wetland</v>
      </c>
      <c r="E144" s="13" t="str">
        <f>LRVs!BG146</f>
        <v>Bacteria</v>
      </c>
      <c r="F144" s="13" t="str">
        <f>IF(LRVs!BH146="","",LRVs!BH146)</f>
        <v>Escherichia coli</v>
      </c>
      <c r="G144">
        <f>IF(LRVs!BL146="","",LRVs!BL146)</f>
        <v>0.83</v>
      </c>
    </row>
    <row r="145" spans="2:7" x14ac:dyDescent="0.3">
      <c r="B145">
        <v>143</v>
      </c>
      <c r="C145" s="13" t="str">
        <f>_xlfn.XLOOKUP(B145,LRV[id],LRV[source])</f>
        <v>Petterson et al. (2016)</v>
      </c>
      <c r="D145" s="13" t="str">
        <f>LRVs!C147</f>
        <v>Wetland</v>
      </c>
      <c r="E145" s="13" t="str">
        <f>LRVs!BG147</f>
        <v>Protozoa</v>
      </c>
      <c r="F145" s="13" t="str">
        <f>IF(LRVs!BH147="","",LRVs!BH147)</f>
        <v>Clostridium perfringens</v>
      </c>
      <c r="G145">
        <f>IF(LRVs!BL147="","",LRVs!BL147)</f>
        <v>1.6</v>
      </c>
    </row>
    <row r="146" spans="2:7" x14ac:dyDescent="0.3">
      <c r="B146">
        <v>144</v>
      </c>
      <c r="C146" s="13" t="str">
        <f>_xlfn.XLOOKUP(B146,LRV[id],LRV[source])</f>
        <v>Petterson et al. (2016)</v>
      </c>
      <c r="D146" s="13" t="str">
        <f>LRVs!C148</f>
        <v>Wetland</v>
      </c>
      <c r="E146" s="13" t="str">
        <f>LRVs!BG148</f>
        <v>Protozoa</v>
      </c>
      <c r="F146" s="13" t="str">
        <f>IF(LRVs!BH148="","",LRVs!BH148)</f>
        <v>Clostridium perfringens</v>
      </c>
      <c r="G146">
        <f>IF(LRVs!BL148="","",LRVs!BL148)</f>
        <v>0.46</v>
      </c>
    </row>
    <row r="147" spans="2:7" x14ac:dyDescent="0.3">
      <c r="B147">
        <v>145</v>
      </c>
      <c r="C147" s="13" t="str">
        <f>_xlfn.XLOOKUP(B147,LRV[id],LRV[source])</f>
        <v>Petterson et al. (2016)</v>
      </c>
      <c r="D147" s="13" t="str">
        <f>LRVs!C149</f>
        <v>Wetland</v>
      </c>
      <c r="E147" s="13" t="str">
        <f>LRVs!BG149</f>
        <v>Protozoa</v>
      </c>
      <c r="F147" s="13" t="str">
        <f>IF(LRVs!BH149="","",LRVs!BH149)</f>
        <v>Clostridium perfringens</v>
      </c>
      <c r="G147">
        <f>IF(LRVs!BL149="","",LRVs!BL149)</f>
        <v>1.2</v>
      </c>
    </row>
    <row r="148" spans="2:7" x14ac:dyDescent="0.3">
      <c r="B148">
        <v>146</v>
      </c>
      <c r="C148" s="13" t="str">
        <f>_xlfn.XLOOKUP(B148,LRV[id],LRV[source])</f>
        <v>Petterson et al. (2016)</v>
      </c>
      <c r="D148" s="13" t="str">
        <f>LRVs!C150</f>
        <v>Wetland</v>
      </c>
      <c r="E148" s="13" t="str">
        <f>LRVs!BG150</f>
        <v>Virus</v>
      </c>
      <c r="F148" s="13" t="str">
        <f>IF(LRVs!BH150="","",LRVs!BH150)</f>
        <v>Coliphage</v>
      </c>
      <c r="G148">
        <f>IF(LRVs!BL150="","",LRVs!BL150)</f>
        <v>0.63</v>
      </c>
    </row>
    <row r="149" spans="2:7" x14ac:dyDescent="0.3">
      <c r="B149">
        <v>147</v>
      </c>
      <c r="C149" s="13" t="str">
        <f>_xlfn.XLOOKUP(B149,LRV[id],LRV[source])</f>
        <v>Petterson et al. (2016)</v>
      </c>
      <c r="D149" s="13" t="str">
        <f>LRVs!C151</f>
        <v>Wetland</v>
      </c>
      <c r="E149" s="13" t="str">
        <f>LRVs!BG151</f>
        <v>Virus</v>
      </c>
      <c r="F149" s="13" t="str">
        <f>IF(LRVs!BH151="","",LRVs!BH151)</f>
        <v>Coliphage</v>
      </c>
      <c r="G149">
        <f>IF(LRVs!BL151="","",LRVs!BL151)</f>
        <v>-0.18</v>
      </c>
    </row>
    <row r="150" spans="2:7" x14ac:dyDescent="0.3">
      <c r="B150">
        <v>148</v>
      </c>
      <c r="C150" s="13" t="str">
        <f>_xlfn.XLOOKUP(B150,LRV[id],LRV[source])</f>
        <v>Petterson et al. (2016)</v>
      </c>
      <c r="D150" s="13" t="str">
        <f>LRVs!C152</f>
        <v>Wetland</v>
      </c>
      <c r="E150" s="13" t="str">
        <f>LRVs!BG152</f>
        <v>Virus</v>
      </c>
      <c r="F150" s="13" t="str">
        <f>IF(LRVs!BH152="","",LRVs!BH152)</f>
        <v>Coliphage</v>
      </c>
      <c r="G150">
        <f>IF(LRVs!BL152="","",LRVs!BL152)</f>
        <v>0.45</v>
      </c>
    </row>
    <row r="151" spans="2:7" x14ac:dyDescent="0.3">
      <c r="B151">
        <v>149</v>
      </c>
      <c r="C151" s="13" t="str">
        <f>_xlfn.XLOOKUP(B151,LRV[id],LRV[source])</f>
        <v>Davies et al. (2008)</v>
      </c>
      <c r="D151" s="13" t="str">
        <f>LRVs!C153</f>
        <v>Bio-filtration</v>
      </c>
      <c r="E151" s="13" t="str">
        <f>LRVs!BG153</f>
        <v>Bacteria</v>
      </c>
      <c r="F151" s="13" t="str">
        <f>IF(LRVs!BH153="","",LRVs!BH153)</f>
        <v>Escherichia coli</v>
      </c>
      <c r="G151">
        <f>IF(LRVs!BL153="","",LRVs!BL153)</f>
        <v>1.77</v>
      </c>
    </row>
    <row r="152" spans="2:7" x14ac:dyDescent="0.3">
      <c r="B152">
        <v>150</v>
      </c>
      <c r="C152" s="13" t="str">
        <f>_xlfn.XLOOKUP(B152,LRV[id],LRV[source])</f>
        <v>Davies et al. (2008)</v>
      </c>
      <c r="D152" s="13" t="str">
        <f>LRVs!C154</f>
        <v>Bio-filtration</v>
      </c>
      <c r="E152" s="13" t="str">
        <f>LRVs!BG154</f>
        <v>Bacteria</v>
      </c>
      <c r="F152" s="13" t="str">
        <f>IF(LRVs!BH154="","",LRVs!BH154)</f>
        <v>Escherichia coli</v>
      </c>
      <c r="G152">
        <f>IF(LRVs!BL154="","",LRVs!BL154)</f>
        <v>1.59</v>
      </c>
    </row>
    <row r="153" spans="2:7" x14ac:dyDescent="0.3">
      <c r="B153">
        <v>151</v>
      </c>
      <c r="C153" s="13" t="str">
        <f>_xlfn.XLOOKUP(B153,LRV[id],LRV[source])</f>
        <v>Davies et al. (2008)</v>
      </c>
      <c r="D153" s="13" t="str">
        <f>LRVs!C155</f>
        <v>Bio-filtration</v>
      </c>
      <c r="E153" s="13" t="str">
        <f>LRVs!BG155</f>
        <v>Bacteria</v>
      </c>
      <c r="F153" s="13" t="str">
        <f>IF(LRVs!BH155="","",LRVs!BH155)</f>
        <v>Escherichia coli</v>
      </c>
      <c r="G153">
        <f>IF(LRVs!BL155="","",LRVs!BL155)</f>
        <v>1.76</v>
      </c>
    </row>
    <row r="154" spans="2:7" x14ac:dyDescent="0.3">
      <c r="B154">
        <v>152</v>
      </c>
      <c r="C154" s="13" t="str">
        <f>_xlfn.XLOOKUP(B154,LRV[id],LRV[source])</f>
        <v>Davies et al. (2008)</v>
      </c>
      <c r="D154" s="13" t="str">
        <f>LRVs!C156</f>
        <v>Bio-filtration</v>
      </c>
      <c r="E154" s="13" t="str">
        <f>LRVs!BG156</f>
        <v>Bacteria</v>
      </c>
      <c r="F154" s="13" t="str">
        <f>IF(LRVs!BH156="","",LRVs!BH156)</f>
        <v>Escherichia coli</v>
      </c>
      <c r="G154">
        <f>IF(LRVs!BL156="","",LRVs!BL156)</f>
        <v>1.4</v>
      </c>
    </row>
    <row r="155" spans="2:7" x14ac:dyDescent="0.3">
      <c r="B155">
        <v>153</v>
      </c>
      <c r="C155" s="13" t="str">
        <f>_xlfn.XLOOKUP(B155,LRV[id],LRV[source])</f>
        <v>Davies et al. (2008)</v>
      </c>
      <c r="D155" s="13" t="str">
        <f>LRVs!C157</f>
        <v>Bio-filtration</v>
      </c>
      <c r="E155" s="13" t="str">
        <f>LRVs!BG157</f>
        <v>Virus</v>
      </c>
      <c r="F155" s="13" t="str">
        <f>IF(LRVs!BH157="","",LRVs!BH157)</f>
        <v>MS2</v>
      </c>
      <c r="G155">
        <f>IF(LRVs!BL157="","",LRVs!BL157)</f>
        <v>1.49</v>
      </c>
    </row>
    <row r="156" spans="2:7" x14ac:dyDescent="0.3">
      <c r="B156">
        <v>154</v>
      </c>
      <c r="C156" s="13" t="str">
        <f>_xlfn.XLOOKUP(B156,LRV[id],LRV[source])</f>
        <v>Davies et al. (2008)</v>
      </c>
      <c r="D156" s="13" t="str">
        <f>LRVs!C158</f>
        <v>Bio-filtration</v>
      </c>
      <c r="E156" s="13" t="str">
        <f>LRVs!BG158</f>
        <v>Virus</v>
      </c>
      <c r="F156" s="13" t="str">
        <f>IF(LRVs!BH158="","",LRVs!BH158)</f>
        <v>MS2</v>
      </c>
      <c r="G156">
        <f>IF(LRVs!BL158="","",LRVs!BL158)</f>
        <v>1.21</v>
      </c>
    </row>
    <row r="157" spans="2:7" x14ac:dyDescent="0.3">
      <c r="B157">
        <v>155</v>
      </c>
      <c r="C157" s="13" t="str">
        <f>_xlfn.XLOOKUP(B157,LRV[id],LRV[source])</f>
        <v>Davies et al. (2008)</v>
      </c>
      <c r="D157" s="13" t="str">
        <f>LRVs!C159</f>
        <v>Bio-filtration</v>
      </c>
      <c r="E157" s="13" t="str">
        <f>LRVs!BG159</f>
        <v>Virus</v>
      </c>
      <c r="F157" s="13" t="str">
        <f>IF(LRVs!BH159="","",LRVs!BH159)</f>
        <v>MS2</v>
      </c>
      <c r="G157">
        <f>IF(LRVs!BL159="","",LRVs!BL159)</f>
        <v>1.56</v>
      </c>
    </row>
    <row r="158" spans="2:7" x14ac:dyDescent="0.3">
      <c r="B158">
        <v>156</v>
      </c>
      <c r="C158" s="13" t="str">
        <f>_xlfn.XLOOKUP(B158,LRV[id],LRV[source])</f>
        <v>Davies et al. (2008)</v>
      </c>
      <c r="D158" s="13" t="str">
        <f>LRVs!C160</f>
        <v>Bio-filtration</v>
      </c>
      <c r="E158" s="13" t="str">
        <f>LRVs!BG160</f>
        <v>Virus</v>
      </c>
      <c r="F158" s="13" t="str">
        <f>IF(LRVs!BH160="","",LRVs!BH160)</f>
        <v>MS2</v>
      </c>
      <c r="G158">
        <f>IF(LRVs!BL160="","",LRVs!BL160)</f>
        <v>2.89</v>
      </c>
    </row>
    <row r="159" spans="2:7" x14ac:dyDescent="0.3">
      <c r="B159">
        <v>157</v>
      </c>
      <c r="C159" s="13" t="str">
        <f>_xlfn.XLOOKUP(B159,LRV[id],LRV[source])</f>
        <v>Davies et al. (2008)</v>
      </c>
      <c r="D159" s="13" t="str">
        <f>LRVs!C161</f>
        <v>Bio-filtration</v>
      </c>
      <c r="E159" s="13" t="str">
        <f>LRVs!BG161</f>
        <v>Bacteria</v>
      </c>
      <c r="F159" s="13" t="str">
        <f>IF(LRVs!BH161="","",LRVs!BH161)</f>
        <v>Yeast</v>
      </c>
      <c r="G159">
        <f>IF(LRVs!BL161="","",LRVs!BL161)</f>
        <v>2.93</v>
      </c>
    </row>
    <row r="160" spans="2:7" x14ac:dyDescent="0.3">
      <c r="B160">
        <v>158</v>
      </c>
      <c r="C160" s="13" t="str">
        <f>_xlfn.XLOOKUP(B160,LRV[id],LRV[source])</f>
        <v>Davies et al. (2008)</v>
      </c>
      <c r="D160" s="13" t="str">
        <f>LRVs!C162</f>
        <v>Bio-filtration</v>
      </c>
      <c r="E160" s="13" t="str">
        <f>LRVs!BG162</f>
        <v>Bacteria</v>
      </c>
      <c r="F160" s="13" t="str">
        <f>IF(LRVs!BH162="","",LRVs!BH162)</f>
        <v>Yeast</v>
      </c>
      <c r="G160">
        <f>IF(LRVs!BL162="","",LRVs!BL162)</f>
        <v>2.2999999999999998</v>
      </c>
    </row>
    <row r="161" spans="2:7" x14ac:dyDescent="0.3">
      <c r="B161">
        <v>159</v>
      </c>
      <c r="C161" s="13" t="str">
        <f>_xlfn.XLOOKUP(B161,LRV[id],LRV[source])</f>
        <v>Davies et al. (2008)</v>
      </c>
      <c r="D161" s="13" t="str">
        <f>LRVs!C163</f>
        <v>Bio-filtration</v>
      </c>
      <c r="E161" s="13" t="str">
        <f>LRVs!BG163</f>
        <v>Bacteria</v>
      </c>
      <c r="F161" s="13" t="str">
        <f>IF(LRVs!BH163="","",LRVs!BH163)</f>
        <v>Yeast</v>
      </c>
      <c r="G161">
        <f>IF(LRVs!BL163="","",LRVs!BL163)</f>
        <v>1.69</v>
      </c>
    </row>
    <row r="162" spans="2:7" x14ac:dyDescent="0.3">
      <c r="B162">
        <v>160</v>
      </c>
      <c r="C162" s="13" t="str">
        <f>_xlfn.XLOOKUP(B162,LRV[id],LRV[source])</f>
        <v>Davies et al. (2008)</v>
      </c>
      <c r="D162" s="13" t="str">
        <f>LRVs!C164</f>
        <v>Bio-filtration</v>
      </c>
      <c r="E162" s="13" t="str">
        <f>LRVs!BG164</f>
        <v>Bacteria</v>
      </c>
      <c r="F162" s="13" t="str">
        <f>IF(LRVs!BH164="","",LRVs!BH164)</f>
        <v>Yeast</v>
      </c>
      <c r="G162">
        <f>IF(LRVs!BL164="","",LRVs!BL164)</f>
        <v>2.23</v>
      </c>
    </row>
    <row r="163" spans="2:7" x14ac:dyDescent="0.3">
      <c r="B163">
        <v>161</v>
      </c>
      <c r="C163" s="13" t="str">
        <f>_xlfn.XLOOKUP(B163,LRV[id],LRV[source])</f>
        <v>Davies et al. (2008)</v>
      </c>
      <c r="D163" s="13" t="str">
        <f>LRVs!C165</f>
        <v>Primary sedimentation</v>
      </c>
      <c r="E163" s="13" t="str">
        <f>LRVs!BG165</f>
        <v>Bacteria</v>
      </c>
      <c r="F163" s="13" t="str">
        <f>IF(LRVs!BH165="","",LRVs!BH165)</f>
        <v>Escherichia coli</v>
      </c>
      <c r="G163">
        <f>IF(LRVs!BL165="","",LRVs!BL165)</f>
        <v>2.16</v>
      </c>
    </row>
    <row r="164" spans="2:7" x14ac:dyDescent="0.3">
      <c r="B164">
        <v>162</v>
      </c>
      <c r="C164" s="13" t="str">
        <f>_xlfn.XLOOKUP(B164,LRV[id],LRV[source])</f>
        <v>Davies et al. (2008)</v>
      </c>
      <c r="D164" s="13" t="str">
        <f>LRVs!C166</f>
        <v>Primary sedimentation</v>
      </c>
      <c r="E164" s="13" t="str">
        <f>LRVs!BG166</f>
        <v>Bacteria</v>
      </c>
      <c r="F164" s="13" t="str">
        <f>IF(LRVs!BH166="","",LRVs!BH166)</f>
        <v>Escherichia coli</v>
      </c>
      <c r="G164">
        <f>IF(LRVs!BL166="","",LRVs!BL166)</f>
        <v>1.39</v>
      </c>
    </row>
    <row r="165" spans="2:7" x14ac:dyDescent="0.3">
      <c r="B165">
        <v>163</v>
      </c>
      <c r="C165" s="13" t="str">
        <f>_xlfn.XLOOKUP(B165,LRV[id],LRV[source])</f>
        <v>Davies et al. (2008)</v>
      </c>
      <c r="D165" s="13" t="str">
        <f>LRVs!C167</f>
        <v>Primary sedimentation</v>
      </c>
      <c r="E165" s="13" t="str">
        <f>LRVs!BG167</f>
        <v>Virus</v>
      </c>
      <c r="F165" s="13" t="str">
        <f>IF(LRVs!BH167="","",LRVs!BH167)</f>
        <v>MS2</v>
      </c>
      <c r="G165">
        <f>IF(LRVs!BL167="","",LRVs!BL167)</f>
        <v>3.47</v>
      </c>
    </row>
    <row r="166" spans="2:7" x14ac:dyDescent="0.3">
      <c r="B166">
        <v>164</v>
      </c>
      <c r="C166" s="13" t="str">
        <f>_xlfn.XLOOKUP(B166,LRV[id],LRV[source])</f>
        <v>Davies et al. (2008)</v>
      </c>
      <c r="D166" s="13" t="str">
        <f>LRVs!C168</f>
        <v>Primary sedimentation</v>
      </c>
      <c r="E166" s="13" t="str">
        <f>LRVs!BG168</f>
        <v>Virus</v>
      </c>
      <c r="F166" s="13" t="str">
        <f>IF(LRVs!BH168="","",LRVs!BH168)</f>
        <v>MS2</v>
      </c>
      <c r="G166">
        <f>IF(LRVs!BL168="","",LRVs!BL168)</f>
        <v>1.1499999999999999</v>
      </c>
    </row>
    <row r="167" spans="2:7" x14ac:dyDescent="0.3">
      <c r="B167">
        <v>165</v>
      </c>
      <c r="C167" s="13" t="str">
        <f>_xlfn.XLOOKUP(B167,LRV[id],LRV[source])</f>
        <v>Davies et al. (2008)</v>
      </c>
      <c r="D167" s="13" t="str">
        <f>LRVs!C169</f>
        <v>Primary sedimentation</v>
      </c>
      <c r="E167" s="13" t="str">
        <f>LRVs!BG169</f>
        <v>Bacteria</v>
      </c>
      <c r="F167" s="13" t="str">
        <f>IF(LRVs!BH169="","",LRVs!BH169)</f>
        <v>Yeast</v>
      </c>
      <c r="G167">
        <f>IF(LRVs!BL169="","",LRVs!BL169)</f>
        <v>1.61</v>
      </c>
    </row>
    <row r="168" spans="2:7" x14ac:dyDescent="0.3">
      <c r="B168">
        <v>166</v>
      </c>
      <c r="C168" s="13" t="str">
        <f>_xlfn.XLOOKUP(B168,LRV[id],LRV[source])</f>
        <v>Davies et al. (2008)</v>
      </c>
      <c r="D168" s="13" t="str">
        <f>LRVs!C170</f>
        <v>Primary sedimentation</v>
      </c>
      <c r="E168" s="13" t="str">
        <f>LRVs!BG170</f>
        <v>Bacteria</v>
      </c>
      <c r="F168" s="13" t="str">
        <f>IF(LRVs!BH170="","",LRVs!BH170)</f>
        <v>Yeast</v>
      </c>
      <c r="G168">
        <f>IF(LRVs!BL170="","",LRVs!BL170)</f>
        <v>1.47</v>
      </c>
    </row>
    <row r="169" spans="2:7" x14ac:dyDescent="0.3">
      <c r="B169">
        <v>167</v>
      </c>
      <c r="C169" s="13" t="str">
        <f>_xlfn.XLOOKUP(B169,LRV[id],LRV[source])</f>
        <v>Sun et al. (2016)</v>
      </c>
      <c r="D169" s="13" t="str">
        <f>LRVs!C171</f>
        <v>UV</v>
      </c>
      <c r="E169" s="13" t="str">
        <f>LRVs!BG171</f>
        <v>Bacteria</v>
      </c>
      <c r="F169" s="13" t="str">
        <f>IF(LRVs!BH171="","",LRVs!BH171)</f>
        <v>Escherichia coli</v>
      </c>
      <c r="G169">
        <f>IF(LRVs!BL171="","",LRVs!BL171)</f>
        <v>4</v>
      </c>
    </row>
    <row r="170" spans="2:7" x14ac:dyDescent="0.3">
      <c r="B170">
        <v>168</v>
      </c>
      <c r="C170" s="13" t="str">
        <f>_xlfn.XLOOKUP(B170,LRV[id],LRV[source])</f>
        <v>Sun et al. (2016)</v>
      </c>
      <c r="D170" s="13" t="str">
        <f>LRVs!C172</f>
        <v>UV + H2O2</v>
      </c>
      <c r="E170" s="13" t="str">
        <f>LRVs!BG172</f>
        <v>Bacteria</v>
      </c>
      <c r="F170" s="13" t="str">
        <f>IF(LRVs!BH172="","",LRVs!BH172)</f>
        <v>Escherichia coli</v>
      </c>
      <c r="G170">
        <f>IF(LRVs!BL172="","",LRVs!BL172)</f>
        <v>5</v>
      </c>
    </row>
    <row r="171" spans="2:7" x14ac:dyDescent="0.3">
      <c r="B171">
        <v>169</v>
      </c>
      <c r="C171" s="13" t="str">
        <f>_xlfn.XLOOKUP(B171,LRV[id],LRV[source])</f>
        <v>Sun et al. (2016)</v>
      </c>
      <c r="D171" s="13" t="str">
        <f>LRVs!C173</f>
        <v>UV + H2O2</v>
      </c>
      <c r="E171" s="13" t="str">
        <f>LRVs!BG173</f>
        <v>Bacteria</v>
      </c>
      <c r="F171" s="13" t="str">
        <f>IF(LRVs!BH173="","",LRVs!BH173)</f>
        <v>Escherichia coli</v>
      </c>
      <c r="G171">
        <f>IF(LRVs!BL173="","",LRVs!BL173)</f>
        <v>4</v>
      </c>
    </row>
    <row r="172" spans="2:7" x14ac:dyDescent="0.3">
      <c r="B172">
        <v>170</v>
      </c>
      <c r="C172" s="13" t="str">
        <f>_xlfn.XLOOKUP(B172,LRV[id],LRV[source])</f>
        <v>Sun et al. (2016)</v>
      </c>
      <c r="D172" s="13" t="str">
        <f>LRVs!C174</f>
        <v>UV + Peroxydisulfate</v>
      </c>
      <c r="E172" s="13" t="str">
        <f>LRVs!BG174</f>
        <v>Bacteria</v>
      </c>
      <c r="F172" s="13" t="str">
        <f>IF(LRVs!BH174="","",LRVs!BH174)</f>
        <v>Escherichia coli</v>
      </c>
      <c r="G172">
        <f>IF(LRVs!BL174="","",LRVs!BL174)</f>
        <v>4</v>
      </c>
    </row>
    <row r="173" spans="2:7" x14ac:dyDescent="0.3">
      <c r="B173">
        <v>171</v>
      </c>
      <c r="C173" s="13" t="str">
        <f>_xlfn.XLOOKUP(B173,LRV[id],LRV[source])</f>
        <v>Sun et al. (2016)</v>
      </c>
      <c r="D173" s="13" t="str">
        <f>LRVs!C175</f>
        <v>UV</v>
      </c>
      <c r="E173" s="13" t="str">
        <f>LRVs!BG175</f>
        <v>Virus</v>
      </c>
      <c r="F173" s="13" t="str">
        <f>IF(LRVs!BH175="","",LRVs!BH175)</f>
        <v>MS2</v>
      </c>
      <c r="G173">
        <f>IF(LRVs!BL175="","",LRVs!BL175)</f>
        <v>4</v>
      </c>
    </row>
    <row r="174" spans="2:7" x14ac:dyDescent="0.3">
      <c r="B174">
        <v>172</v>
      </c>
      <c r="C174" s="13" t="str">
        <f>_xlfn.XLOOKUP(B174,LRV[id],LRV[source])</f>
        <v>Sun et al. (2016)</v>
      </c>
      <c r="D174" s="13" t="str">
        <f>LRVs!C176</f>
        <v>UV + H2O2</v>
      </c>
      <c r="E174" s="13" t="str">
        <f>LRVs!BG176</f>
        <v>Virus</v>
      </c>
      <c r="F174" s="13" t="str">
        <f>IF(LRVs!BH176="","",LRVs!BH176)</f>
        <v>MS2</v>
      </c>
      <c r="G174">
        <f>IF(LRVs!BL176="","",LRVs!BL176)</f>
        <v>4</v>
      </c>
    </row>
    <row r="175" spans="2:7" x14ac:dyDescent="0.3">
      <c r="B175">
        <v>173</v>
      </c>
      <c r="C175" s="13" t="str">
        <f>_xlfn.XLOOKUP(B175,LRV[id],LRV[source])</f>
        <v>Sun et al. (2016)</v>
      </c>
      <c r="D175" s="13" t="str">
        <f>LRVs!C177</f>
        <v>UV</v>
      </c>
      <c r="E175" s="13" t="str">
        <f>LRVs!BG177</f>
        <v>Bacteria</v>
      </c>
      <c r="F175" s="13" t="str">
        <f>IF(LRVs!BH177="","",LRVs!BH177)</f>
        <v>Bacillus</v>
      </c>
      <c r="G175">
        <f>IF(LRVs!BL177="","",LRVs!BL177)</f>
        <v>4</v>
      </c>
    </row>
    <row r="176" spans="2:7" x14ac:dyDescent="0.3">
      <c r="B176">
        <v>174</v>
      </c>
      <c r="C176" s="13" t="str">
        <f>_xlfn.XLOOKUP(B176,LRV[id],LRV[source])</f>
        <v xml:space="preserve">Madaeni et al. (1995) </v>
      </c>
      <c r="D176" s="13" t="str">
        <f>LRVs!C178</f>
        <v>Microfiltration</v>
      </c>
      <c r="E176" s="13" t="str">
        <f>LRVs!BG178</f>
        <v>Virus</v>
      </c>
      <c r="F176" s="13" t="str">
        <f>IF(LRVs!BH178="","",LRVs!BH178)</f>
        <v>Poliovirus</v>
      </c>
      <c r="G176">
        <f>IF(LRVs!BL178="","",LRVs!BL178)</f>
        <v>1.41</v>
      </c>
    </row>
    <row r="177" spans="2:7" x14ac:dyDescent="0.3">
      <c r="B177">
        <v>175</v>
      </c>
      <c r="C177" s="13" t="str">
        <f>_xlfn.XLOOKUP(B177,LRV[id],LRV[source])</f>
        <v xml:space="preserve">Madaeni et al. (1995) </v>
      </c>
      <c r="D177" s="13" t="str">
        <f>LRVs!C179</f>
        <v>Microfiltration</v>
      </c>
      <c r="E177" s="13" t="str">
        <f>LRVs!BG179</f>
        <v>Virus</v>
      </c>
      <c r="F177" s="13" t="str">
        <f>IF(LRVs!BH179="","",LRVs!BH179)</f>
        <v>Poliovirus</v>
      </c>
      <c r="G177">
        <f>IF(LRVs!BL179="","",LRVs!BL179)</f>
        <v>1.37</v>
      </c>
    </row>
    <row r="178" spans="2:7" x14ac:dyDescent="0.3">
      <c r="B178">
        <v>176</v>
      </c>
      <c r="C178" s="13" t="str">
        <f>_xlfn.XLOOKUP(B178,LRV[id],LRV[source])</f>
        <v xml:space="preserve">Madaeni et al. (1995) </v>
      </c>
      <c r="D178" s="13" t="str">
        <f>LRVs!C180</f>
        <v>Microfiltration</v>
      </c>
      <c r="E178" s="13" t="str">
        <f>LRVs!BG180</f>
        <v>Virus</v>
      </c>
      <c r="F178" s="13" t="str">
        <f>IF(LRVs!BH180="","",LRVs!BH180)</f>
        <v>Poliovirus</v>
      </c>
      <c r="G178">
        <f>IF(LRVs!BL180="","",LRVs!BL180)</f>
        <v>1.3</v>
      </c>
    </row>
    <row r="179" spans="2:7" x14ac:dyDescent="0.3">
      <c r="B179">
        <v>177</v>
      </c>
      <c r="C179" s="13" t="str">
        <f>_xlfn.XLOOKUP(B179,LRV[id],LRV[source])</f>
        <v xml:space="preserve">Madaeni et al. (1995) </v>
      </c>
      <c r="D179" s="13" t="str">
        <f>LRVs!C181</f>
        <v>Microfiltration</v>
      </c>
      <c r="E179" s="13" t="str">
        <f>LRVs!BG181</f>
        <v>Virus</v>
      </c>
      <c r="F179" s="13" t="str">
        <f>IF(LRVs!BH181="","",LRVs!BH181)</f>
        <v>Poliovirus</v>
      </c>
      <c r="G179">
        <f>IF(LRVs!BL181="","",LRVs!BL181)</f>
        <v>1.33</v>
      </c>
    </row>
    <row r="180" spans="2:7" x14ac:dyDescent="0.3">
      <c r="B180">
        <v>178</v>
      </c>
      <c r="C180" s="13" t="str">
        <f>_xlfn.XLOOKUP(B180,LRV[id],LRV[source])</f>
        <v xml:space="preserve">Madaeni et al. (1995) </v>
      </c>
      <c r="D180" s="13" t="str">
        <f>LRVs!C182</f>
        <v>Microfiltration</v>
      </c>
      <c r="E180" s="13" t="str">
        <f>LRVs!BG182</f>
        <v>Virus</v>
      </c>
      <c r="F180" s="13" t="str">
        <f>IF(LRVs!BH182="","",LRVs!BH182)</f>
        <v>Poliovirus</v>
      </c>
      <c r="G180">
        <f>IF(LRVs!BL182="","",LRVs!BL182)</f>
        <v>1.3</v>
      </c>
    </row>
    <row r="181" spans="2:7" x14ac:dyDescent="0.3">
      <c r="B181">
        <v>179</v>
      </c>
      <c r="C181" s="13" t="str">
        <f>_xlfn.XLOOKUP(B181,LRV[id],LRV[source])</f>
        <v xml:space="preserve">Madaeni et al. (1995) </v>
      </c>
      <c r="D181" s="13" t="str">
        <f>LRVs!C183</f>
        <v>Microfiltration</v>
      </c>
      <c r="E181" s="13" t="str">
        <f>LRVs!BG183</f>
        <v>Virus</v>
      </c>
      <c r="F181" s="13" t="str">
        <f>IF(LRVs!BH183="","",LRVs!BH183)</f>
        <v>Poliovirus</v>
      </c>
      <c r="G181">
        <f>IF(LRVs!BL183="","",LRVs!BL183)</f>
        <v>1.26</v>
      </c>
    </row>
    <row r="182" spans="2:7" x14ac:dyDescent="0.3">
      <c r="B182">
        <v>180</v>
      </c>
      <c r="C182" s="13" t="str">
        <f>_xlfn.XLOOKUP(B182,LRV[id],LRV[source])</f>
        <v xml:space="preserve">Madaeni et al. (1995) </v>
      </c>
      <c r="D182" s="13" t="str">
        <f>LRVs!C184</f>
        <v>Microfiltration</v>
      </c>
      <c r="E182" s="13" t="str">
        <f>LRVs!BG184</f>
        <v>Virus</v>
      </c>
      <c r="F182" s="13" t="str">
        <f>IF(LRVs!BH184="","",LRVs!BH184)</f>
        <v>Poliovirus</v>
      </c>
      <c r="G182">
        <f>IF(LRVs!BL184="","",LRVs!BL184)</f>
        <v>1.78</v>
      </c>
    </row>
    <row r="183" spans="2:7" x14ac:dyDescent="0.3">
      <c r="B183">
        <v>181</v>
      </c>
      <c r="C183" s="13" t="str">
        <f>_xlfn.XLOOKUP(B183,LRV[id],LRV[source])</f>
        <v xml:space="preserve">Madaeni et al. (1995) </v>
      </c>
      <c r="D183" s="13" t="str">
        <f>LRVs!C185</f>
        <v>Microfiltration</v>
      </c>
      <c r="E183" s="13" t="str">
        <f>LRVs!BG185</f>
        <v>Virus</v>
      </c>
      <c r="F183" s="13" t="str">
        <f>IF(LRVs!BH185="","",LRVs!BH185)</f>
        <v>Poliovirus</v>
      </c>
      <c r="G183">
        <f>IF(LRVs!BL185="","",LRVs!BL185)</f>
        <v>1.5</v>
      </c>
    </row>
    <row r="184" spans="2:7" x14ac:dyDescent="0.3">
      <c r="B184">
        <v>182</v>
      </c>
      <c r="C184" s="13" t="str">
        <f>_xlfn.XLOOKUP(B184,LRV[id],LRV[source])</f>
        <v xml:space="preserve">Madaeni et al. (1995) </v>
      </c>
      <c r="D184" s="13" t="str">
        <f>LRVs!C186</f>
        <v>Microfiltration</v>
      </c>
      <c r="E184" s="13" t="str">
        <f>LRVs!BG186</f>
        <v>Virus</v>
      </c>
      <c r="F184" s="13" t="str">
        <f>IF(LRVs!BH186="","",LRVs!BH186)</f>
        <v>Poliovirus</v>
      </c>
      <c r="G184">
        <f>IF(LRVs!BL186="","",LRVs!BL186)</f>
        <v>1.41</v>
      </c>
    </row>
    <row r="185" spans="2:7" x14ac:dyDescent="0.3">
      <c r="B185">
        <v>183</v>
      </c>
      <c r="C185" s="13" t="str">
        <f>_xlfn.XLOOKUP(B185,LRV[id],LRV[source])</f>
        <v xml:space="preserve">Madaeni et al. (1995) </v>
      </c>
      <c r="D185" s="13" t="str">
        <f>LRVs!C187</f>
        <v>Microfiltration</v>
      </c>
      <c r="E185" s="13" t="str">
        <f>LRVs!BG187</f>
        <v>Virus</v>
      </c>
      <c r="F185" s="13" t="str">
        <f>IF(LRVs!BH187="","",LRVs!BH187)</f>
        <v>Poliovirus</v>
      </c>
      <c r="G185">
        <f>IF(LRVs!BL187="","",LRVs!BL187)</f>
        <v>1.41</v>
      </c>
    </row>
    <row r="186" spans="2:7" x14ac:dyDescent="0.3">
      <c r="B186">
        <v>184</v>
      </c>
      <c r="C186" s="13" t="str">
        <f>_xlfn.XLOOKUP(B186,LRV[id],LRV[source])</f>
        <v xml:space="preserve">Madaeni et al. (1995) </v>
      </c>
      <c r="D186" s="13" t="str">
        <f>LRVs!C188</f>
        <v>Microfiltration</v>
      </c>
      <c r="E186" s="13" t="str">
        <f>LRVs!BG188</f>
        <v>Virus</v>
      </c>
      <c r="F186" s="13" t="str">
        <f>IF(LRVs!BH188="","",LRVs!BH188)</f>
        <v>Poliovirus</v>
      </c>
      <c r="G186">
        <f>IF(LRVs!BL188="","",LRVs!BL188)</f>
        <v>1.41</v>
      </c>
    </row>
    <row r="187" spans="2:7" x14ac:dyDescent="0.3">
      <c r="B187">
        <v>185</v>
      </c>
      <c r="C187" s="13" t="str">
        <f>_xlfn.XLOOKUP(B187,LRV[id],LRV[source])</f>
        <v xml:space="preserve">Madaeni et al. (1995) </v>
      </c>
      <c r="D187" s="13" t="str">
        <f>LRVs!C189</f>
        <v>Microfiltration</v>
      </c>
      <c r="E187" s="13" t="str">
        <f>LRVs!BG189</f>
        <v>Virus</v>
      </c>
      <c r="F187" s="13" t="str">
        <f>IF(LRVs!BH189="","",LRVs!BH189)</f>
        <v>Poliovirus</v>
      </c>
      <c r="G187">
        <f>IF(LRVs!BL189="","",LRVs!BL189)</f>
        <v>1.3</v>
      </c>
    </row>
    <row r="188" spans="2:7" x14ac:dyDescent="0.3">
      <c r="B188">
        <v>186</v>
      </c>
      <c r="C188" s="13" t="str">
        <f>_xlfn.XLOOKUP(B188,LRV[id],LRV[source])</f>
        <v>Simmons &amp; Xagoraraki (2011)</v>
      </c>
      <c r="D188" s="13" t="str">
        <f>LRVs!C190</f>
        <v>Membrane bioreactor</v>
      </c>
      <c r="E188" s="13" t="str">
        <f>LRVs!BG190</f>
        <v>Virus</v>
      </c>
      <c r="F188" s="13" t="str">
        <f>IF(LRVs!BH190="","",LRVs!BH190)</f>
        <v>Adenovirus</v>
      </c>
      <c r="G188">
        <f>IF(LRVs!BL190="","",LRVs!BL190)</f>
        <v>4</v>
      </c>
    </row>
    <row r="189" spans="2:7" x14ac:dyDescent="0.3">
      <c r="B189">
        <v>187</v>
      </c>
      <c r="C189" s="13" t="str">
        <f>_xlfn.XLOOKUP(B189,LRV[id],LRV[source])</f>
        <v>Simmons &amp; Xagoraraki (2011)</v>
      </c>
      <c r="D189" s="13" t="str">
        <f>LRVs!C191</f>
        <v>Membrane bioreactor</v>
      </c>
      <c r="E189" s="13" t="str">
        <f>LRVs!BG191</f>
        <v>Virus</v>
      </c>
      <c r="F189" s="13" t="str">
        <f>IF(LRVs!BH191="","",LRVs!BH191)</f>
        <v>Enterovirus</v>
      </c>
      <c r="G189">
        <f>IF(LRVs!BL191="","",LRVs!BL191)</f>
        <v>3.6</v>
      </c>
    </row>
    <row r="190" spans="2:7" x14ac:dyDescent="0.3">
      <c r="B190">
        <v>188</v>
      </c>
      <c r="C190" s="13" t="str">
        <f>_xlfn.XLOOKUP(B190,LRV[id],LRV[source])</f>
        <v>Simmons &amp; Xagoraraki (2011)</v>
      </c>
      <c r="D190" s="13" t="str">
        <f>LRVs!C192</f>
        <v>Membrane bioreactor</v>
      </c>
      <c r="E190" s="13" t="str">
        <f>LRVs!BG192</f>
        <v>Virus</v>
      </c>
      <c r="F190" s="13" t="str">
        <f>IF(LRVs!BH192="","",LRVs!BH192)</f>
        <v>Total culturable virus</v>
      </c>
      <c r="G190">
        <f>IF(LRVs!BL192="","",LRVs!BL192)</f>
        <v>4.4000000000000004</v>
      </c>
    </row>
    <row r="191" spans="2:7" x14ac:dyDescent="0.3">
      <c r="B191">
        <v>189</v>
      </c>
      <c r="C191" s="13" t="str">
        <f>_xlfn.XLOOKUP(B191,LRV[id],LRV[source])</f>
        <v>Simmons &amp; Xagoraraki (2011)</v>
      </c>
      <c r="D191" s="13" t="str">
        <f>LRVs!C193</f>
        <v>Activated sludge</v>
      </c>
      <c r="E191" s="13" t="str">
        <f>LRVs!BG193</f>
        <v>Virus</v>
      </c>
      <c r="F191" s="13" t="str">
        <f>IF(LRVs!BH193="","",LRVs!BH193)</f>
        <v>Total culturable virus</v>
      </c>
      <c r="G191">
        <f>IF(LRVs!BL193="","",LRVs!BL193)</f>
        <v>1.2</v>
      </c>
    </row>
    <row r="192" spans="2:7" x14ac:dyDescent="0.3">
      <c r="B192">
        <v>190</v>
      </c>
      <c r="C192" s="13" t="str">
        <f>_xlfn.XLOOKUP(B192,LRV[id],LRV[source])</f>
        <v>Simmons &amp; Xagoraraki (2011)</v>
      </c>
      <c r="D192" s="13" t="str">
        <f>LRVs!C194</f>
        <v>Activated sludge</v>
      </c>
      <c r="E192" s="13" t="str">
        <f>LRVs!BG194</f>
        <v>Virus</v>
      </c>
      <c r="F192" s="13" t="str">
        <f>IF(LRVs!BH194="","",LRVs!BH194)</f>
        <v>Total culturable virus</v>
      </c>
      <c r="G192">
        <f>IF(LRVs!BL194="","",LRVs!BL194)</f>
        <v>3.2</v>
      </c>
    </row>
    <row r="193" spans="2:7" x14ac:dyDescent="0.3">
      <c r="B193">
        <v>191</v>
      </c>
      <c r="C193" s="13" t="str">
        <f>_xlfn.XLOOKUP(B193,LRV[id],LRV[source])</f>
        <v>Simmons &amp; Xagoraraki (2011)</v>
      </c>
      <c r="D193" s="13" t="str">
        <f>LRVs!C195</f>
        <v>Oxidation ditch</v>
      </c>
      <c r="E193" s="13" t="str">
        <f>LRVs!BG195</f>
        <v>Virus</v>
      </c>
      <c r="F193" s="13" t="str">
        <f>IF(LRVs!BH195="","",LRVs!BH195)</f>
        <v>Total culturable virus</v>
      </c>
      <c r="G193">
        <f>IF(LRVs!BL195="","",LRVs!BL195)</f>
        <v>4.5</v>
      </c>
    </row>
    <row r="194" spans="2:7" x14ac:dyDescent="0.3">
      <c r="B194">
        <v>192</v>
      </c>
      <c r="C194" s="13" t="str">
        <f>_xlfn.XLOOKUP(B194,LRV[id],LRV[source])</f>
        <v>Simmons &amp; Xagoraraki (2011)</v>
      </c>
      <c r="D194" s="13" t="str">
        <f>LRVs!C196</f>
        <v>Rotating biological contactor</v>
      </c>
      <c r="E194" s="13" t="str">
        <f>LRVs!BG196</f>
        <v>Virus</v>
      </c>
      <c r="F194" s="13" t="str">
        <f>IF(LRVs!BH196="","",LRVs!BH196)</f>
        <v>Total culturable virus</v>
      </c>
      <c r="G194">
        <f>IF(LRVs!BL196="","",LRVs!BL196)</f>
        <v>1.6</v>
      </c>
    </row>
    <row r="195" spans="2:7" x14ac:dyDescent="0.3">
      <c r="B195">
        <v>193</v>
      </c>
      <c r="C195" s="13" t="str">
        <f>_xlfn.XLOOKUP(B195,LRV[id],LRV[source])</f>
        <v>Rose et al. (1996)</v>
      </c>
      <c r="D195" s="13" t="str">
        <f>LRVs!C197</f>
        <v>Activated sludge</v>
      </c>
      <c r="E195" s="13" t="str">
        <f>LRVs!BG197</f>
        <v>Bacteria</v>
      </c>
      <c r="F195" s="13" t="str">
        <f>IF(LRVs!BH197="","",LRVs!BH197)</f>
        <v>Total coliform</v>
      </c>
      <c r="G195">
        <f>IF(LRVs!BL197="","",LRVs!BL197)</f>
        <v>1.75</v>
      </c>
    </row>
    <row r="196" spans="2:7" x14ac:dyDescent="0.3">
      <c r="B196">
        <v>194</v>
      </c>
      <c r="C196" s="13" t="str">
        <f>_xlfn.XLOOKUP(B196,LRV[id],LRV[source])</f>
        <v>Rose et al. (1996)</v>
      </c>
      <c r="D196" s="13" t="str">
        <f>LRVs!C198</f>
        <v>Activated sludge</v>
      </c>
      <c r="E196" s="13" t="str">
        <f>LRVs!BG198</f>
        <v>Bacteria</v>
      </c>
      <c r="F196" s="13" t="str">
        <f>IF(LRVs!BH198="","",LRVs!BH198)</f>
        <v>Fecal coliform</v>
      </c>
      <c r="G196">
        <f>IF(LRVs!BL198="","",LRVs!BL198)</f>
        <v>2.06</v>
      </c>
    </row>
    <row r="197" spans="2:7" x14ac:dyDescent="0.3">
      <c r="B197">
        <v>195</v>
      </c>
      <c r="C197" s="13" t="str">
        <f>_xlfn.XLOOKUP(B197,LRV[id],LRV[source])</f>
        <v>Rose et al. (1996)</v>
      </c>
      <c r="D197" s="13" t="str">
        <f>LRVs!C199</f>
        <v>Activated sludge</v>
      </c>
      <c r="E197" s="13" t="str">
        <f>LRVs!BG199</f>
        <v>Bacteria</v>
      </c>
      <c r="F197" s="13" t="str">
        <f>IF(LRVs!BH199="","",LRVs!BH199)</f>
        <v>Heterotrophic plate count</v>
      </c>
      <c r="G197">
        <f>IF(LRVs!BL199="","",LRVs!BL199)</f>
        <v>2.06</v>
      </c>
    </row>
    <row r="198" spans="2:7" x14ac:dyDescent="0.3">
      <c r="B198">
        <v>196</v>
      </c>
      <c r="C198" s="13" t="str">
        <f>_xlfn.XLOOKUP(B198,LRV[id],LRV[source])</f>
        <v>Rose et al. (1996)</v>
      </c>
      <c r="D198" s="13" t="str">
        <f>LRVs!C200</f>
        <v>Activated sludge</v>
      </c>
      <c r="E198" s="13" t="str">
        <f>LRVs!BG200</f>
        <v>Virus</v>
      </c>
      <c r="F198" s="13" t="str">
        <f>IF(LRVs!BH200="","",LRVs!BH200)</f>
        <v>Coliphage</v>
      </c>
      <c r="G198">
        <f>IF(LRVs!BL200="","",LRVs!BL200)</f>
        <v>0.75</v>
      </c>
    </row>
    <row r="199" spans="2:7" x14ac:dyDescent="0.3">
      <c r="B199">
        <v>197</v>
      </c>
      <c r="C199" s="13" t="str">
        <f>_xlfn.XLOOKUP(B199,LRV[id],LRV[source])</f>
        <v>Rose et al. (1996)</v>
      </c>
      <c r="D199" s="13" t="str">
        <f>LRVs!C201</f>
        <v>Activated sludge</v>
      </c>
      <c r="E199" s="13" t="str">
        <f>LRVs!BG201</f>
        <v>Virus</v>
      </c>
      <c r="F199" s="13" t="str">
        <f>IF(LRVs!BH201="","",LRVs!BH201)</f>
        <v>Enterovirus</v>
      </c>
      <c r="G199">
        <f>IF(LRVs!BL201="","",LRVs!BL201)</f>
        <v>1.71</v>
      </c>
    </row>
    <row r="200" spans="2:7" x14ac:dyDescent="0.3">
      <c r="B200">
        <v>198</v>
      </c>
      <c r="C200" s="13" t="str">
        <f>_xlfn.XLOOKUP(B200,LRV[id],LRV[source])</f>
        <v>Rose et al. (1996)</v>
      </c>
      <c r="D200" s="13" t="str">
        <f>LRVs!C202</f>
        <v>Activated sludge</v>
      </c>
      <c r="E200" s="13" t="str">
        <f>LRVs!BG202</f>
        <v>Protozoa</v>
      </c>
      <c r="F200" s="13" t="str">
        <f>IF(LRVs!BH202="","",LRVs!BH202)</f>
        <v>Giardia</v>
      </c>
      <c r="G200">
        <f>IF(LRVs!BL202="","",LRVs!BL202)</f>
        <v>1.19</v>
      </c>
    </row>
    <row r="201" spans="2:7" x14ac:dyDescent="0.3">
      <c r="B201">
        <v>199</v>
      </c>
      <c r="C201" s="13" t="str">
        <f>_xlfn.XLOOKUP(B201,LRV[id],LRV[source])</f>
        <v>Rose et al. (1996)</v>
      </c>
      <c r="D201" s="13" t="str">
        <f>LRVs!C203</f>
        <v>Activated sludge</v>
      </c>
      <c r="E201" s="13" t="str">
        <f>LRVs!BG203</f>
        <v>Protozoa</v>
      </c>
      <c r="F201" s="13" t="str">
        <f>IF(LRVs!BH203="","",LRVs!BH203)</f>
        <v>Cryptosporidium</v>
      </c>
      <c r="G201">
        <f>IF(LRVs!BL203="","",LRVs!BL203)</f>
        <v>1.1399999999999999</v>
      </c>
    </row>
    <row r="202" spans="2:7" x14ac:dyDescent="0.3">
      <c r="B202">
        <v>200</v>
      </c>
      <c r="C202" s="13" t="str">
        <f>_xlfn.XLOOKUP(B202,LRV[id],LRV[source])</f>
        <v>Rose et al. (1996)</v>
      </c>
      <c r="D202" s="13" t="str">
        <f>LRVs!C204</f>
        <v>Rapid sand filtration</v>
      </c>
      <c r="E202" s="13" t="str">
        <f>LRVs!BG204</f>
        <v>Bacteria</v>
      </c>
      <c r="F202" s="13" t="str">
        <f>IF(LRVs!BH204="","",LRVs!BH204)</f>
        <v>Total coliform</v>
      </c>
      <c r="G202">
        <f>IF(LRVs!BL204="","",LRVs!BL204)</f>
        <v>0.51</v>
      </c>
    </row>
    <row r="203" spans="2:7" x14ac:dyDescent="0.3">
      <c r="B203">
        <v>201</v>
      </c>
      <c r="C203" s="13" t="str">
        <f>_xlfn.XLOOKUP(B203,LRV[id],LRV[source])</f>
        <v>Rose et al. (1996)</v>
      </c>
      <c r="D203" s="13" t="str">
        <f>LRVs!C205</f>
        <v>Rapid sand filtration</v>
      </c>
      <c r="E203" s="13" t="str">
        <f>LRVs!BG205</f>
        <v>Bacteria</v>
      </c>
      <c r="F203" s="13" t="str">
        <f>IF(LRVs!BH205="","",LRVs!BH205)</f>
        <v>Fecal coliform</v>
      </c>
      <c r="G203">
        <f>IF(LRVs!BL205="","",LRVs!BL205)</f>
        <v>0.05</v>
      </c>
    </row>
    <row r="204" spans="2:7" x14ac:dyDescent="0.3">
      <c r="B204">
        <v>202</v>
      </c>
      <c r="C204" s="13" t="str">
        <f>_xlfn.XLOOKUP(B204,LRV[id],LRV[source])</f>
        <v>Rose et al. (1996)</v>
      </c>
      <c r="D204" s="13" t="str">
        <f>LRVs!C206</f>
        <v>Rapid sand filtration</v>
      </c>
      <c r="E204" s="13" t="str">
        <f>LRVs!BG206</f>
        <v>Bacteria</v>
      </c>
      <c r="F204" s="13" t="str">
        <f>IF(LRVs!BH206="","",LRVs!BH206)</f>
        <v>Heterotrophic plate count</v>
      </c>
      <c r="G204">
        <f>IF(LRVs!BL206="","",LRVs!BL206)</f>
        <v>0.72</v>
      </c>
    </row>
    <row r="205" spans="2:7" x14ac:dyDescent="0.3">
      <c r="B205">
        <v>203</v>
      </c>
      <c r="C205" s="13" t="str">
        <f>_xlfn.XLOOKUP(B205,LRV[id],LRV[source])</f>
        <v>Rose et al. (1996)</v>
      </c>
      <c r="D205" s="13" t="str">
        <f>LRVs!C207</f>
        <v>Rapid sand filtration</v>
      </c>
      <c r="E205" s="13" t="str">
        <f>LRVs!BG207</f>
        <v>Virus</v>
      </c>
      <c r="F205" s="13" t="str">
        <f>IF(LRVs!BH207="","",LRVs!BH207)</f>
        <v>Phage</v>
      </c>
      <c r="G205">
        <f>IF(LRVs!BL207="","",LRVs!BL207)</f>
        <v>3.81</v>
      </c>
    </row>
    <row r="206" spans="2:7" x14ac:dyDescent="0.3">
      <c r="B206">
        <v>204</v>
      </c>
      <c r="C206" s="13" t="str">
        <f>_xlfn.XLOOKUP(B206,LRV[id],LRV[source])</f>
        <v>Rose et al. (1996)</v>
      </c>
      <c r="D206" s="13" t="str">
        <f>LRVs!C208</f>
        <v>Rapid sand filtration</v>
      </c>
      <c r="E206" s="13" t="str">
        <f>LRVs!BG208</f>
        <v>Virus</v>
      </c>
      <c r="F206" s="13" t="str">
        <f>IF(LRVs!BH208="","",LRVs!BH208)</f>
        <v>Enterovirus</v>
      </c>
      <c r="G206">
        <f>IF(LRVs!BL208="","",LRVs!BL208)</f>
        <v>0.81</v>
      </c>
    </row>
    <row r="207" spans="2:7" x14ac:dyDescent="0.3">
      <c r="B207">
        <v>205</v>
      </c>
      <c r="C207" s="13" t="str">
        <f>_xlfn.XLOOKUP(B207,LRV[id],LRV[source])</f>
        <v>Rose et al. (1996)</v>
      </c>
      <c r="D207" s="13" t="str">
        <f>LRVs!C209</f>
        <v>Rapid sand filtration</v>
      </c>
      <c r="E207" s="13" t="str">
        <f>LRVs!BG209</f>
        <v>Protozoa</v>
      </c>
      <c r="F207" s="13" t="str">
        <f>IF(LRVs!BH209="","",LRVs!BH209)</f>
        <v>Giardia</v>
      </c>
      <c r="G207">
        <f>IF(LRVs!BL209="","",LRVs!BL209)</f>
        <v>2</v>
      </c>
    </row>
    <row r="208" spans="2:7" x14ac:dyDescent="0.3">
      <c r="B208">
        <v>206</v>
      </c>
      <c r="C208" s="13" t="str">
        <f>_xlfn.XLOOKUP(B208,LRV[id],LRV[source])</f>
        <v>Rose et al. (1996)</v>
      </c>
      <c r="D208" s="13" t="str">
        <f>LRVs!C210</f>
        <v>Rapid sand filtration</v>
      </c>
      <c r="E208" s="13" t="str">
        <f>LRVs!BG210</f>
        <v>Protozoa</v>
      </c>
      <c r="F208" s="13" t="str">
        <f>IF(LRVs!BH210="","",LRVs!BH210)</f>
        <v>Cryptosporidium</v>
      </c>
      <c r="G208">
        <f>IF(LRVs!BL210="","",LRVs!BL210)</f>
        <v>1.68</v>
      </c>
    </row>
    <row r="209" spans="2:7" x14ac:dyDescent="0.3">
      <c r="B209">
        <v>207</v>
      </c>
      <c r="C209" s="13" t="str">
        <f>_xlfn.XLOOKUP(B209,LRV[id],LRV[source])</f>
        <v>Rose et al. (1996)</v>
      </c>
      <c r="D209" s="13" t="str">
        <f>LRVs!C211</f>
        <v>Chlorine</v>
      </c>
      <c r="E209" s="13" t="str">
        <f>LRVs!BG211</f>
        <v>Bacteria</v>
      </c>
      <c r="F209" s="13" t="str">
        <f>IF(LRVs!BH211="","",LRVs!BH211)</f>
        <v>Total coliform</v>
      </c>
      <c r="G209">
        <f>IF(LRVs!BL211="","",LRVs!BL211)</f>
        <v>4.2300000000000004</v>
      </c>
    </row>
    <row r="210" spans="2:7" x14ac:dyDescent="0.3">
      <c r="B210">
        <v>208</v>
      </c>
      <c r="C210" s="13" t="str">
        <f>_xlfn.XLOOKUP(B210,LRV[id],LRV[source])</f>
        <v>Rose et al. (1996)</v>
      </c>
      <c r="D210" s="13" t="str">
        <f>LRVs!C212</f>
        <v>Chlorine</v>
      </c>
      <c r="E210" s="13" t="str">
        <f>LRVs!BG212</f>
        <v>Bacteria</v>
      </c>
      <c r="F210" s="13" t="str">
        <f>IF(LRVs!BH212="","",LRVs!BH212)</f>
        <v>Fecal coliform</v>
      </c>
      <c r="G210">
        <f>IF(LRVs!BL212="","",LRVs!BL212)</f>
        <v>4.95</v>
      </c>
    </row>
    <row r="211" spans="2:7" x14ac:dyDescent="0.3">
      <c r="B211">
        <v>209</v>
      </c>
      <c r="C211" s="13" t="str">
        <f>_xlfn.XLOOKUP(B211,LRV[id],LRV[source])</f>
        <v>Rose et al. (1996)</v>
      </c>
      <c r="D211" s="13" t="str">
        <f>LRVs!C213</f>
        <v>Chlorine</v>
      </c>
      <c r="E211" s="13" t="str">
        <f>LRVs!BG213</f>
        <v>Bacteria</v>
      </c>
      <c r="F211" s="13" t="str">
        <f>IF(LRVs!BH213="","",LRVs!BH213)</f>
        <v>Heterotrophic plate count</v>
      </c>
      <c r="G211">
        <f>IF(LRVs!BL213="","",LRVs!BL213)</f>
        <v>3.77</v>
      </c>
    </row>
    <row r="212" spans="2:7" x14ac:dyDescent="0.3">
      <c r="B212">
        <v>210</v>
      </c>
      <c r="C212" s="13" t="str">
        <f>_xlfn.XLOOKUP(B212,LRV[id],LRV[source])</f>
        <v>Rose et al. (1996)</v>
      </c>
      <c r="D212" s="13" t="str">
        <f>LRVs!C214</f>
        <v>Chlorine</v>
      </c>
      <c r="E212" s="13" t="str">
        <f>LRVs!BG214</f>
        <v>Virus</v>
      </c>
      <c r="F212" s="13" t="str">
        <f>IF(LRVs!BH214="","",LRVs!BH214)</f>
        <v>Phage</v>
      </c>
      <c r="G212">
        <f>IF(LRVs!BL214="","",LRVs!BL214)</f>
        <v>1.03</v>
      </c>
    </row>
    <row r="213" spans="2:7" x14ac:dyDescent="0.3">
      <c r="B213">
        <v>211</v>
      </c>
      <c r="C213" s="13" t="str">
        <f>_xlfn.XLOOKUP(B213,LRV[id],LRV[source])</f>
        <v>Rose et al. (1996)</v>
      </c>
      <c r="D213" s="13" t="str">
        <f>LRVs!C215</f>
        <v>Chlorine</v>
      </c>
      <c r="E213" s="13" t="str">
        <f>LRVs!BG215</f>
        <v>Virus</v>
      </c>
      <c r="F213" s="13" t="str">
        <f>IF(LRVs!BH215="","",LRVs!BH215)</f>
        <v>Enterovirus</v>
      </c>
      <c r="G213">
        <f>IF(LRVs!BL215="","",LRVs!BL215)</f>
        <v>1.45</v>
      </c>
    </row>
    <row r="214" spans="2:7" x14ac:dyDescent="0.3">
      <c r="B214">
        <v>212</v>
      </c>
      <c r="C214" s="13" t="str">
        <f>_xlfn.XLOOKUP(B214,LRV[id],LRV[source])</f>
        <v>Rose et al. (1996)</v>
      </c>
      <c r="D214" s="13" t="str">
        <f>LRVs!C216</f>
        <v>Chlorine</v>
      </c>
      <c r="E214" s="13" t="str">
        <f>LRVs!BG216</f>
        <v>Protozoa</v>
      </c>
      <c r="F214" s="13" t="str">
        <f>IF(LRVs!BH216="","",LRVs!BH216)</f>
        <v>Giardia</v>
      </c>
      <c r="G214">
        <f>IF(LRVs!BL216="","",LRVs!BL216)</f>
        <v>0.65</v>
      </c>
    </row>
    <row r="215" spans="2:7" x14ac:dyDescent="0.3">
      <c r="B215">
        <v>213</v>
      </c>
      <c r="C215" s="13" t="str">
        <f>_xlfn.XLOOKUP(B215,LRV[id],LRV[source])</f>
        <v>Rose et al. (1996)</v>
      </c>
      <c r="D215" s="13" t="str">
        <f>LRVs!C217</f>
        <v>Chlorine</v>
      </c>
      <c r="E215" s="13" t="str">
        <f>LRVs!BG217</f>
        <v>Protozoa</v>
      </c>
      <c r="F215" s="13" t="str">
        <f>IF(LRVs!BH217="","",LRVs!BH217)</f>
        <v>Cryptosporidium</v>
      </c>
      <c r="G215">
        <f>IF(LRVs!BL217="","",LRVs!BL217)</f>
        <v>0.41</v>
      </c>
    </row>
    <row r="216" spans="2:7" x14ac:dyDescent="0.3">
      <c r="B216">
        <v>214</v>
      </c>
      <c r="C216" s="13" t="str">
        <f>_xlfn.XLOOKUP(B216,LRV[id],LRV[source])</f>
        <v>Rose et al. (1996)</v>
      </c>
      <c r="D216" s="13" t="str">
        <f>LRVs!C218</f>
        <v>Storage</v>
      </c>
      <c r="E216" s="13" t="str">
        <f>LRVs!BG218</f>
        <v>Bacteria</v>
      </c>
      <c r="F216" s="13" t="str">
        <f>IF(LRVs!BH218="","",LRVs!BH218)</f>
        <v>Total coliform</v>
      </c>
      <c r="G216">
        <f>IF(LRVs!BL218="","",LRVs!BL218)</f>
        <v>0.61</v>
      </c>
    </row>
    <row r="217" spans="2:7" x14ac:dyDescent="0.3">
      <c r="B217">
        <v>215</v>
      </c>
      <c r="C217" s="13" t="str">
        <f>_xlfn.XLOOKUP(B217,LRV[id],LRV[source])</f>
        <v>Rose et al. (1996)</v>
      </c>
      <c r="D217" s="13" t="str">
        <f>LRVs!C219</f>
        <v>Storage</v>
      </c>
      <c r="E217" s="13" t="str">
        <f>LRVs!BG219</f>
        <v>Bacteria</v>
      </c>
      <c r="F217" s="13" t="str">
        <f>IF(LRVs!BH219="","",LRVs!BH219)</f>
        <v>Fecal coliform</v>
      </c>
      <c r="G217">
        <f>IF(LRVs!BL219="","",LRVs!BL219)</f>
        <v>0.36</v>
      </c>
    </row>
    <row r="218" spans="2:7" x14ac:dyDescent="0.3">
      <c r="B218">
        <v>217</v>
      </c>
      <c r="C218" s="13" t="str">
        <f>_xlfn.XLOOKUP(B218,LRV[id],LRV[source])</f>
        <v>Rose et al. (1996)</v>
      </c>
      <c r="D218" s="13" t="e">
        <f>LRVs!#REF!</f>
        <v>#REF!</v>
      </c>
      <c r="E218" s="13" t="e">
        <f>LRVs!#REF!</f>
        <v>#REF!</v>
      </c>
      <c r="F218" s="13" t="e">
        <f>IF(LRVs!#REF!="","",LRVs!#REF!)</f>
        <v>#REF!</v>
      </c>
      <c r="G218" t="e">
        <f>IF(LRVs!#REF!="","",LRVs!#REF!)</f>
        <v>#REF!</v>
      </c>
    </row>
    <row r="219" spans="2:7" x14ac:dyDescent="0.3">
      <c r="B219">
        <v>218</v>
      </c>
      <c r="C219" s="13" t="str">
        <f>_xlfn.XLOOKUP(B219,LRV[id],LRV[source])</f>
        <v>Rose et al. (1996)</v>
      </c>
      <c r="D219" s="13" t="str">
        <f>LRVs!C220</f>
        <v>Storage</v>
      </c>
      <c r="E219" s="13" t="str">
        <f>LRVs!BG220</f>
        <v>Virus</v>
      </c>
      <c r="F219" s="13" t="str">
        <f>IF(LRVs!BH220="","",LRVs!BH220)</f>
        <v>Phage</v>
      </c>
      <c r="G219">
        <f>IF(LRVs!BL220="","",LRVs!BL220)</f>
        <v>1.03</v>
      </c>
    </row>
    <row r="220" spans="2:7" x14ac:dyDescent="0.3">
      <c r="B220">
        <v>219</v>
      </c>
      <c r="C220" s="13" t="str">
        <f>_xlfn.XLOOKUP(B220,LRV[id],LRV[source])</f>
        <v>Rose et al. (1996)</v>
      </c>
      <c r="D220" s="13" t="str">
        <f>LRVs!C221</f>
        <v>Storage</v>
      </c>
      <c r="E220" s="13" t="str">
        <f>LRVs!BG221</f>
        <v>Virus</v>
      </c>
      <c r="F220" s="13" t="str">
        <f>IF(LRVs!BH221="","",LRVs!BH221)</f>
        <v>Enterovirus</v>
      </c>
      <c r="G220">
        <f>IF(LRVs!BL221="","",LRVs!BL221)</f>
        <v>1.04</v>
      </c>
    </row>
    <row r="221" spans="2:7" x14ac:dyDescent="0.3">
      <c r="B221">
        <v>220</v>
      </c>
      <c r="C221" s="13" t="str">
        <f>_xlfn.XLOOKUP(B221,LRV[id],LRV[source])</f>
        <v>Rose et al. (1996)</v>
      </c>
      <c r="D221" s="13" t="str">
        <f>LRVs!C222</f>
        <v>Storage</v>
      </c>
      <c r="E221" s="13" t="str">
        <f>LRVs!BG222</f>
        <v>Protozoa</v>
      </c>
      <c r="F221" s="13" t="str">
        <f>IF(LRVs!BH222="","",LRVs!BH222)</f>
        <v>Giardia</v>
      </c>
      <c r="G221">
        <f>IF(LRVs!BL222="","",LRVs!BL222)</f>
        <v>0.3</v>
      </c>
    </row>
    <row r="222" spans="2:7" x14ac:dyDescent="0.3">
      <c r="B222">
        <v>221</v>
      </c>
      <c r="C222" s="13" t="str">
        <f>_xlfn.XLOOKUP(B222,LRV[id],LRV[source])</f>
        <v>Rose et al. (1996)</v>
      </c>
      <c r="D222" s="13" t="str">
        <f>LRVs!C223</f>
        <v>Storage</v>
      </c>
      <c r="E222" s="13" t="str">
        <f>LRVs!BG223</f>
        <v>Protozoa</v>
      </c>
      <c r="F222" s="13" t="str">
        <f>IF(LRVs!BH223="","",LRVs!BH223)</f>
        <v>Cryptosporidium</v>
      </c>
      <c r="G222">
        <f>IF(LRVs!BL223="","",LRVs!BL223)</f>
        <v>0.04</v>
      </c>
    </row>
    <row r="223" spans="2:7" x14ac:dyDescent="0.3">
      <c r="B223">
        <v>222</v>
      </c>
      <c r="C223" s="13" t="str">
        <f>_xlfn.XLOOKUP(B223,LRV[id],LRV[source])</f>
        <v>Rose et al. (1996)</v>
      </c>
      <c r="D223" s="13" t="str">
        <f>LRVs!C224</f>
        <v>Rapid sand filtration</v>
      </c>
      <c r="E223" s="13" t="str">
        <f>LRVs!BG224</f>
        <v>Virus</v>
      </c>
      <c r="F223" s="13" t="str">
        <f>IF(LRVs!BH224="","",LRVs!BH224)</f>
        <v>Vibriophage</v>
      </c>
      <c r="G223">
        <f>IF(LRVs!BL224="","",LRVs!BL224)</f>
        <v>1.62</v>
      </c>
    </row>
    <row r="224" spans="2:7" x14ac:dyDescent="0.3">
      <c r="B224">
        <v>223</v>
      </c>
      <c r="C224" s="13" t="str">
        <f>_xlfn.XLOOKUP(B224,LRV[id],LRV[source])</f>
        <v>Rose et al. (1996)</v>
      </c>
      <c r="D224" s="13" t="str">
        <f>LRVs!C225</f>
        <v>Rapid sand filtration</v>
      </c>
      <c r="E224" s="13" t="str">
        <f>LRVs!BG225</f>
        <v>Virus</v>
      </c>
      <c r="F224" s="13" t="str">
        <f>IF(LRVs!BH225="","",LRVs!BH225)</f>
        <v>MS2</v>
      </c>
      <c r="G224">
        <f>IF(LRVs!BL225="","",LRVs!BL225)</f>
        <v>1.61</v>
      </c>
    </row>
    <row r="225" spans="2:7" x14ac:dyDescent="0.3">
      <c r="B225">
        <v>224</v>
      </c>
      <c r="C225" s="13" t="str">
        <f>_xlfn.XLOOKUP(B225,LRV[id],LRV[source])</f>
        <v>Rose et al. (1996)</v>
      </c>
      <c r="D225" s="13" t="str">
        <f>LRVs!C226</f>
        <v>Rapid sand filtration</v>
      </c>
      <c r="E225" s="13" t="str">
        <f>LRVs!BG226</f>
        <v>Virus</v>
      </c>
      <c r="F225" s="13" t="str">
        <f>IF(LRVs!BH226="","",LRVs!BH226)</f>
        <v>Indigenous phage</v>
      </c>
      <c r="G225">
        <f>IF(LRVs!BL226="","",LRVs!BL226)</f>
        <v>3.81</v>
      </c>
    </row>
    <row r="226" spans="2:7" x14ac:dyDescent="0.3">
      <c r="B226">
        <v>225</v>
      </c>
      <c r="C226" s="13" t="str">
        <f>_xlfn.XLOOKUP(B226,LRV[id],LRV[source])</f>
        <v>Rose et al. (1996)</v>
      </c>
      <c r="D226" s="13" t="str">
        <f>LRVs!C227</f>
        <v>Rapid sand filtration</v>
      </c>
      <c r="E226" s="13" t="str">
        <f>LRVs!BG227</f>
        <v>Virus</v>
      </c>
      <c r="F226" s="13" t="str">
        <f>IF(LRVs!BH227="","",LRVs!BH227)</f>
        <v>Indigenous enterovirus</v>
      </c>
      <c r="G226">
        <f>IF(LRVs!BL227="","",LRVs!BL227)</f>
        <v>0.89</v>
      </c>
    </row>
    <row r="227" spans="2:7" x14ac:dyDescent="0.3">
      <c r="B227">
        <v>226</v>
      </c>
      <c r="C227" s="13" t="str">
        <f>_xlfn.XLOOKUP(B227,LRV[id],LRV[source])</f>
        <v>Rose et al. (1996)</v>
      </c>
      <c r="D227" s="13" t="str">
        <f>LRVs!C228</f>
        <v>Chlorine</v>
      </c>
      <c r="E227" s="13" t="str">
        <f>LRVs!BG228</f>
        <v>Virus</v>
      </c>
      <c r="F227" s="13" t="str">
        <f>IF(LRVs!BH228="","",LRVs!BH228)</f>
        <v>Vibriophage</v>
      </c>
      <c r="G227">
        <f>IF(LRVs!BL228="","",LRVs!BL228)</f>
        <v>2.92</v>
      </c>
    </row>
    <row r="228" spans="2:7" x14ac:dyDescent="0.3">
      <c r="B228">
        <v>227</v>
      </c>
      <c r="C228" s="13" t="str">
        <f>_xlfn.XLOOKUP(B228,LRV[id],LRV[source])</f>
        <v>Rose et al. (1996)</v>
      </c>
      <c r="D228" s="13" t="str">
        <f>LRVs!C229</f>
        <v>Chlorine</v>
      </c>
      <c r="E228" s="13" t="str">
        <f>LRVs!BG229</f>
        <v>Virus</v>
      </c>
      <c r="F228" s="13" t="str">
        <f>IF(LRVs!BH229="","",LRVs!BH229)</f>
        <v>MS2</v>
      </c>
      <c r="G228">
        <f>IF(LRVs!BL229="","",LRVs!BL229)</f>
        <v>1.49</v>
      </c>
    </row>
    <row r="229" spans="2:7" x14ac:dyDescent="0.3">
      <c r="B229">
        <v>228</v>
      </c>
      <c r="C229" s="13" t="str">
        <f>_xlfn.XLOOKUP(B229,LRV[id],LRV[source])</f>
        <v>Rose et al. (1996)</v>
      </c>
      <c r="D229" s="13" t="str">
        <f>LRVs!C230</f>
        <v>Chlorine</v>
      </c>
      <c r="E229" s="13" t="str">
        <f>LRVs!BG230</f>
        <v>Virus</v>
      </c>
      <c r="F229" s="13" t="str">
        <f>IF(LRVs!BH230="","",LRVs!BH230)</f>
        <v>Indigenous phage</v>
      </c>
      <c r="G229">
        <f>IF(LRVs!BL230="","",LRVs!BL230)</f>
        <v>1.03</v>
      </c>
    </row>
    <row r="230" spans="2:7" x14ac:dyDescent="0.3">
      <c r="B230">
        <v>229</v>
      </c>
      <c r="C230" s="13" t="str">
        <f>_xlfn.XLOOKUP(B230,LRV[id],LRV[source])</f>
        <v>Wickramanayake et al. (1985)</v>
      </c>
      <c r="D230" s="13" t="str">
        <f>LRVs!C231</f>
        <v>Chlorine</v>
      </c>
      <c r="E230" s="13" t="str">
        <f>LRVs!BG231</f>
        <v>Virus</v>
      </c>
      <c r="F230" s="13" t="str">
        <f>IF(LRVs!BH231="","",LRVs!BH231)</f>
        <v>Indigenous enterovirus</v>
      </c>
      <c r="G230">
        <f>IF(LRVs!BL231="","",LRVs!BL231)</f>
        <v>1.44</v>
      </c>
    </row>
    <row r="231" spans="2:7" x14ac:dyDescent="0.3">
      <c r="B231">
        <v>230</v>
      </c>
      <c r="C231" s="13" t="str">
        <f>_xlfn.XLOOKUP(B231,LRV[id],LRV[source])</f>
        <v>Wickramanayake et al. (1985)</v>
      </c>
      <c r="D231" s="13" t="str">
        <f>LRVs!C232</f>
        <v>Ozone</v>
      </c>
      <c r="E231" s="13" t="str">
        <f>LRVs!BG232</f>
        <v>Protozoa</v>
      </c>
      <c r="F231" s="13" t="str">
        <f>IF(LRVs!BH232="","",LRVs!BH232)</f>
        <v>Giardia lamblia</v>
      </c>
      <c r="G231">
        <f>IF(LRVs!BL232="","",LRVs!BL232)</f>
        <v>2</v>
      </c>
    </row>
    <row r="232" spans="2:7" x14ac:dyDescent="0.3">
      <c r="B232">
        <v>231</v>
      </c>
      <c r="C232" s="13" t="str">
        <f>_xlfn.XLOOKUP(B232,LRV[id],LRV[source])</f>
        <v>Wickramanayake et al. (1985)</v>
      </c>
      <c r="D232" s="13" t="str">
        <f>LRVs!C233</f>
        <v>Ozone</v>
      </c>
      <c r="E232" s="13" t="str">
        <f>LRVs!BG233</f>
        <v>Protozoa</v>
      </c>
      <c r="F232" s="13" t="str">
        <f>IF(LRVs!BH233="","",LRVs!BH233)</f>
        <v>Giardia lamblia</v>
      </c>
      <c r="G232">
        <f>IF(LRVs!BL233="","",LRVs!BL233)</f>
        <v>2</v>
      </c>
    </row>
    <row r="233" spans="2:7" x14ac:dyDescent="0.3">
      <c r="B233">
        <v>232</v>
      </c>
      <c r="C233" s="13" t="str">
        <f>_xlfn.XLOOKUP(B233,LRV[id],LRV[source])</f>
        <v>Wickramanayake et al. (1985)</v>
      </c>
      <c r="D233" s="13" t="str">
        <f>LRVs!C234</f>
        <v>Ozone</v>
      </c>
      <c r="E233" s="13" t="str">
        <f>LRVs!BG234</f>
        <v>Protozoa</v>
      </c>
      <c r="F233" s="13" t="str">
        <f>IF(LRVs!BH234="","",LRVs!BH234)</f>
        <v>Giardia lamblia</v>
      </c>
      <c r="G233">
        <f>IF(LRVs!BL234="","",LRVs!BL234)</f>
        <v>2</v>
      </c>
    </row>
    <row r="234" spans="2:7" x14ac:dyDescent="0.3">
      <c r="B234">
        <v>233</v>
      </c>
      <c r="C234" s="13" t="str">
        <f>_xlfn.XLOOKUP(B234,LRV[id],LRV[source])</f>
        <v>Wickramanayake et al. (1985)</v>
      </c>
      <c r="D234" s="13" t="str">
        <f>LRVs!C235</f>
        <v>Ozone</v>
      </c>
      <c r="E234" s="13" t="str">
        <f>LRVs!BG235</f>
        <v>Protozoa</v>
      </c>
      <c r="F234" s="13" t="str">
        <f>IF(LRVs!BH235="","",LRVs!BH235)</f>
        <v>Giardia lamblia</v>
      </c>
      <c r="G234">
        <f>IF(LRVs!BL235="","",LRVs!BL235)</f>
        <v>2</v>
      </c>
    </row>
    <row r="235" spans="2:7" x14ac:dyDescent="0.3">
      <c r="B235">
        <v>234</v>
      </c>
      <c r="C235" s="13" t="str">
        <f>_xlfn.XLOOKUP(B235,LRV[id],LRV[source])</f>
        <v>Wickramanayake et al. (1985)</v>
      </c>
      <c r="D235" s="13" t="str">
        <f>LRVs!C236</f>
        <v>Ozone</v>
      </c>
      <c r="E235" s="13" t="str">
        <f>LRVs!BG236</f>
        <v>Protozoa</v>
      </c>
      <c r="F235" s="13" t="str">
        <f>IF(LRVs!BH236="","",LRVs!BH236)</f>
        <v>Giardia lamblia</v>
      </c>
      <c r="G235">
        <f>IF(LRVs!BL236="","",LRVs!BL236)</f>
        <v>2</v>
      </c>
    </row>
    <row r="236" spans="2:7" x14ac:dyDescent="0.3">
      <c r="B236">
        <v>235</v>
      </c>
      <c r="C236" s="13" t="str">
        <f>_xlfn.XLOOKUP(B236,LRV[id],LRV[source])</f>
        <v>Wickramanayake et al. (1985)</v>
      </c>
      <c r="D236" s="13" t="str">
        <f>LRVs!C237</f>
        <v>Ozone</v>
      </c>
      <c r="E236" s="13" t="str">
        <f>LRVs!BG237</f>
        <v>Protozoa</v>
      </c>
      <c r="F236" s="13" t="str">
        <f>IF(LRVs!BH237="","",LRVs!BH237)</f>
        <v>Giardia lamblia</v>
      </c>
      <c r="G236">
        <f>IF(LRVs!BL237="","",LRVs!BL237)</f>
        <v>2</v>
      </c>
    </row>
    <row r="237" spans="2:7" x14ac:dyDescent="0.3">
      <c r="B237">
        <v>236</v>
      </c>
      <c r="C237" s="13" t="str">
        <f>_xlfn.XLOOKUP(B237,LRV[id],LRV[source])</f>
        <v>Wickramanayake et al. (1985)</v>
      </c>
      <c r="D237" s="13" t="str">
        <f>LRVs!C238</f>
        <v>Ozone</v>
      </c>
      <c r="E237" s="13" t="str">
        <f>LRVs!BG238</f>
        <v>Protozoa</v>
      </c>
      <c r="F237" s="13" t="str">
        <f>IF(LRVs!BH238="","",LRVs!BH238)</f>
        <v>Giardia muris</v>
      </c>
      <c r="G237">
        <f>IF(LRVs!BL238="","",LRVs!BL238)</f>
        <v>2</v>
      </c>
    </row>
    <row r="238" spans="2:7" x14ac:dyDescent="0.3">
      <c r="B238">
        <v>237</v>
      </c>
      <c r="C238" s="13" t="str">
        <f>_xlfn.XLOOKUP(B238,LRV[id],LRV[source])</f>
        <v>Wickramanayake et al. (1985)</v>
      </c>
      <c r="D238" s="13" t="str">
        <f>LRVs!C239</f>
        <v>Ozone</v>
      </c>
      <c r="E238" s="13" t="str">
        <f>LRVs!BG239</f>
        <v>Protozoa</v>
      </c>
      <c r="F238" s="13" t="str">
        <f>IF(LRVs!BH239="","",LRVs!BH239)</f>
        <v>Giardia muris</v>
      </c>
      <c r="G238">
        <f>IF(LRVs!BL239="","",LRVs!BL239)</f>
        <v>2</v>
      </c>
    </row>
    <row r="239" spans="2:7" x14ac:dyDescent="0.3">
      <c r="B239">
        <v>238</v>
      </c>
      <c r="C239" s="13" t="str">
        <f>_xlfn.XLOOKUP(B239,LRV[id],LRV[source])</f>
        <v>Wickramanayake et al. (1985)</v>
      </c>
      <c r="D239" s="13" t="str">
        <f>LRVs!C240</f>
        <v>Ozone</v>
      </c>
      <c r="E239" s="13" t="str">
        <f>LRVs!BG240</f>
        <v>Protozoa</v>
      </c>
      <c r="F239" s="13" t="str">
        <f>IF(LRVs!BH240="","",LRVs!BH240)</f>
        <v>Giardia muris</v>
      </c>
      <c r="G239">
        <f>IF(LRVs!BL240="","",LRVs!BL240)</f>
        <v>2</v>
      </c>
    </row>
    <row r="240" spans="2:7" x14ac:dyDescent="0.3">
      <c r="B240">
        <v>239</v>
      </c>
      <c r="C240" s="13" t="str">
        <f>_xlfn.XLOOKUP(B240,LRV[id],LRV[source])</f>
        <v>Wickramanayake et al. (1985)</v>
      </c>
      <c r="D240" s="13" t="str">
        <f>LRVs!C241</f>
        <v>Ozone</v>
      </c>
      <c r="E240" s="13" t="str">
        <f>LRVs!BG241</f>
        <v>Protozoa</v>
      </c>
      <c r="F240" s="13" t="str">
        <f>IF(LRVs!BH241="","",LRVs!BH241)</f>
        <v>Giardia muris</v>
      </c>
      <c r="G240">
        <f>IF(LRVs!BL241="","",LRVs!BL241)</f>
        <v>2</v>
      </c>
    </row>
    <row r="241" spans="2:7" x14ac:dyDescent="0.3">
      <c r="B241">
        <v>240</v>
      </c>
      <c r="C241" s="13" t="str">
        <f>_xlfn.XLOOKUP(B241,LRV[id],LRV[source])</f>
        <v>Wickramanayake et al. (1985)</v>
      </c>
      <c r="D241" s="13" t="str">
        <f>LRVs!C242</f>
        <v>Ozone</v>
      </c>
      <c r="E241" s="13" t="str">
        <f>LRVs!BG242</f>
        <v>Protozoa</v>
      </c>
      <c r="F241" s="13" t="str">
        <f>IF(LRVs!BH242="","",LRVs!BH242)</f>
        <v>Giardia muris</v>
      </c>
      <c r="G241">
        <f>IF(LRVs!BL242="","",LRVs!BL242)</f>
        <v>2</v>
      </c>
    </row>
    <row r="242" spans="2:7" x14ac:dyDescent="0.3">
      <c r="B242">
        <v>241</v>
      </c>
      <c r="C242" s="13" t="str">
        <f>_xlfn.XLOOKUP(B242,LRV[id],LRV[source])</f>
        <v>Wickramanayake et al. (1985)</v>
      </c>
      <c r="D242" s="13" t="str">
        <f>LRVs!C243</f>
        <v>Ozone</v>
      </c>
      <c r="E242" s="13" t="str">
        <f>LRVs!BG243</f>
        <v>Protozoa</v>
      </c>
      <c r="F242" s="13" t="str">
        <f>IF(LRVs!BH243="","",LRVs!BH243)</f>
        <v>Giardia muris</v>
      </c>
      <c r="G242">
        <f>IF(LRVs!BL243="","",LRVs!BL243)</f>
        <v>2</v>
      </c>
    </row>
    <row r="243" spans="2:7" x14ac:dyDescent="0.3">
      <c r="B243">
        <v>242</v>
      </c>
      <c r="C243" s="13" t="str">
        <f>_xlfn.XLOOKUP(B243,LRV[id],LRV[source])</f>
        <v>Wickramanayake et al. (1985)</v>
      </c>
      <c r="D243" s="13" t="str">
        <f>LRVs!C244</f>
        <v>Ozone</v>
      </c>
      <c r="E243" s="13" t="str">
        <f>LRVs!BG244</f>
        <v>Protozoa</v>
      </c>
      <c r="F243" s="13" t="str">
        <f>IF(LRVs!BH244="","",LRVs!BH244)</f>
        <v>Giardia muris</v>
      </c>
      <c r="G243">
        <f>IF(LRVs!BL244="","",LRVs!BL244)</f>
        <v>2</v>
      </c>
    </row>
    <row r="244" spans="2:7" x14ac:dyDescent="0.3">
      <c r="B244">
        <v>246</v>
      </c>
      <c r="C244" s="13" t="str">
        <f>_xlfn.XLOOKUP(B244,LRV[id],LRV[source])</f>
        <v>Qiu et al. (2015)</v>
      </c>
      <c r="D244" s="13" t="str">
        <f>LRVs!C245</f>
        <v>Ozone</v>
      </c>
      <c r="E244" s="13" t="str">
        <f>LRVs!BG245</f>
        <v>Protozoa</v>
      </c>
      <c r="F244" s="13" t="str">
        <f>IF(LRVs!BH245="","",LRVs!BH245)</f>
        <v>Giardia muris</v>
      </c>
      <c r="G244">
        <f>IF(LRVs!BL245="","",LRVs!BL245)</f>
        <v>2</v>
      </c>
    </row>
    <row r="245" spans="2:7" x14ac:dyDescent="0.3">
      <c r="B245">
        <v>247</v>
      </c>
      <c r="C245" s="13" t="str">
        <f>_xlfn.XLOOKUP(B245,LRV[id],LRV[source])</f>
        <v>Qiu et al. (2015)</v>
      </c>
      <c r="D245" s="13" t="e">
        <f>LRVs!#REF!</f>
        <v>#REF!</v>
      </c>
      <c r="E245" s="13" t="e">
        <f>LRVs!#REF!</f>
        <v>#REF!</v>
      </c>
      <c r="F245" s="13" t="e">
        <f>IF(LRVs!#REF!="","",LRVs!#REF!)</f>
        <v>#REF!</v>
      </c>
      <c r="G245" t="e">
        <f>IF(LRVs!#REF!="","",LRVs!#REF!)</f>
        <v>#REF!</v>
      </c>
    </row>
    <row r="246" spans="2:7" x14ac:dyDescent="0.3">
      <c r="B246">
        <v>248</v>
      </c>
      <c r="C246" s="13" t="str">
        <f>_xlfn.XLOOKUP(B246,LRV[id],LRV[source])</f>
        <v>Qiu et al. (2015)</v>
      </c>
      <c r="D246" s="13" t="e">
        <f>LRVs!#REF!</f>
        <v>#REF!</v>
      </c>
      <c r="E246" s="13" t="e">
        <f>LRVs!#REF!</f>
        <v>#REF!</v>
      </c>
      <c r="F246" s="13" t="e">
        <f>IF(LRVs!#REF!="","",LRVs!#REF!)</f>
        <v>#REF!</v>
      </c>
      <c r="G246" t="e">
        <f>IF(LRVs!#REF!="","",LRVs!#REF!)</f>
        <v>#REF!</v>
      </c>
    </row>
    <row r="247" spans="2:7" x14ac:dyDescent="0.3">
      <c r="B247">
        <v>249</v>
      </c>
      <c r="C247" s="13" t="str">
        <f>_xlfn.XLOOKUP(B247,LRV[id],LRV[source])</f>
        <v>Qiu et al. (2015)</v>
      </c>
      <c r="D247" s="13" t="e">
        <f>LRVs!#REF!</f>
        <v>#REF!</v>
      </c>
      <c r="E247" s="13" t="e">
        <f>LRVs!#REF!</f>
        <v>#REF!</v>
      </c>
      <c r="F247" s="13" t="e">
        <f>IF(LRVs!#REF!="","",LRVs!#REF!)</f>
        <v>#REF!</v>
      </c>
      <c r="G247" t="e">
        <f>IF(LRVs!#REF!="","",LRVs!#REF!)</f>
        <v>#REF!</v>
      </c>
    </row>
    <row r="248" spans="2:7" x14ac:dyDescent="0.3">
      <c r="B248">
        <v>250</v>
      </c>
      <c r="C248" s="13" t="str">
        <f>_xlfn.XLOOKUP(B248,LRV[id],LRV[source])</f>
        <v>Qiu et al. (2015)</v>
      </c>
      <c r="D248" s="13" t="str">
        <f>LRVs!C246</f>
        <v>Activated sludge</v>
      </c>
      <c r="E248" s="13" t="str">
        <f>LRVs!BG246</f>
        <v>Virus</v>
      </c>
      <c r="F248" s="13" t="str">
        <f>IF(LRVs!BH246="","",LRVs!BH246)</f>
        <v>Rotavirus</v>
      </c>
      <c r="G248">
        <f>IF(LRVs!BL246="","",LRVs!BL246)</f>
        <v>1.04</v>
      </c>
    </row>
    <row r="249" spans="2:7" x14ac:dyDescent="0.3">
      <c r="B249">
        <v>251</v>
      </c>
      <c r="C249" s="13" t="str">
        <f>_xlfn.XLOOKUP(B249,LRV[id],LRV[source])</f>
        <v>Qiu et al. (2015)</v>
      </c>
      <c r="D249" s="13" t="str">
        <f>LRVs!C247</f>
        <v>UV</v>
      </c>
      <c r="E249" s="13" t="str">
        <f>LRVs!BG247</f>
        <v>Virus</v>
      </c>
      <c r="F249" s="13" t="str">
        <f>IF(LRVs!BH247="","",LRVs!BH247)</f>
        <v>Rotavirus</v>
      </c>
      <c r="G249">
        <f>IF(LRVs!BL247="","",LRVs!BL247)</f>
        <v>0.04</v>
      </c>
    </row>
    <row r="250" spans="2:7" x14ac:dyDescent="0.3">
      <c r="B250">
        <v>252</v>
      </c>
      <c r="C250" s="13" t="str">
        <f>_xlfn.XLOOKUP(B250,LRV[id],LRV[source])</f>
        <v>Qiu et al. (2015)</v>
      </c>
      <c r="D250" s="13" t="str">
        <f>LRVs!C248</f>
        <v>Ultrafiltration</v>
      </c>
      <c r="E250" s="13" t="str">
        <f>LRVs!BG248</f>
        <v>Virus</v>
      </c>
      <c r="F250" s="13" t="str">
        <f>IF(LRVs!BH248="","",LRVs!BH248)</f>
        <v>Rotavirus</v>
      </c>
      <c r="G250">
        <f>IF(LRVs!BL248="","",LRVs!BL248)</f>
        <v>3.98</v>
      </c>
    </row>
    <row r="251" spans="2:7" x14ac:dyDescent="0.3">
      <c r="B251">
        <v>254</v>
      </c>
      <c r="C251" s="13" t="str">
        <f>_xlfn.XLOOKUP(B251,LRV[id],LRV[source])</f>
        <v>Qiu et al. (2015)</v>
      </c>
      <c r="D251" s="13" t="str">
        <f>LRVs!C249</f>
        <v>Chlorine</v>
      </c>
      <c r="E251" s="13" t="str">
        <f>LRVs!BG249</f>
        <v>Virus</v>
      </c>
      <c r="F251" s="13" t="str">
        <f>IF(LRVs!BH249="","",LRVs!BH249)</f>
        <v>Rotavirus</v>
      </c>
      <c r="G251">
        <f>IF(LRVs!BL249="","",LRVs!BL249)</f>
        <v>0.08</v>
      </c>
    </row>
    <row r="252" spans="2:7" x14ac:dyDescent="0.3">
      <c r="B252">
        <v>255</v>
      </c>
      <c r="C252" s="13" t="str">
        <f>_xlfn.XLOOKUP(B252,LRV[id],LRV[source])</f>
        <v>Qiu et al. (2015)</v>
      </c>
      <c r="D252" s="13" t="str">
        <f>LRVs!C250</f>
        <v>Activated sludge</v>
      </c>
      <c r="E252" s="13" t="str">
        <f>LRVs!BG250</f>
        <v>Virus</v>
      </c>
      <c r="F252" s="13" t="str">
        <f>IF(LRVs!BH250="","",LRVs!BH250)</f>
        <v>Norovirus</v>
      </c>
      <c r="G252">
        <f>IF(LRVs!BL250="","",LRVs!BL250)</f>
        <v>1.56</v>
      </c>
    </row>
    <row r="253" spans="2:7" x14ac:dyDescent="0.3">
      <c r="B253">
        <v>256</v>
      </c>
      <c r="C253" s="13" t="str">
        <f>_xlfn.XLOOKUP(B253,LRV[id],LRV[source])</f>
        <v>Qiu et al. (2015)</v>
      </c>
      <c r="D253" s="13" t="str">
        <f>LRVs!C251</f>
        <v>UV</v>
      </c>
      <c r="E253" s="13" t="str">
        <f>LRVs!BG251</f>
        <v>Virus</v>
      </c>
      <c r="F253" s="13" t="str">
        <f>IF(LRVs!BH251="","",LRVs!BH251)</f>
        <v>Norovirus</v>
      </c>
      <c r="G253">
        <f>IF(LRVs!BL251="","",LRVs!BL251)</f>
        <v>0.09</v>
      </c>
    </row>
    <row r="254" spans="2:7" x14ac:dyDescent="0.3">
      <c r="B254">
        <v>258</v>
      </c>
      <c r="C254" s="13" t="str">
        <f>_xlfn.XLOOKUP(B254,LRV[id],LRV[source])</f>
        <v>Qiu et al. (2015)</v>
      </c>
      <c r="D254" s="13" t="str">
        <f>LRVs!C252</f>
        <v>Ultrafiltration</v>
      </c>
      <c r="E254" s="13" t="str">
        <f>LRVs!BG252</f>
        <v>Virus</v>
      </c>
      <c r="F254" s="13" t="str">
        <f>IF(LRVs!BH252="","",LRVs!BH252)</f>
        <v>Norovirus</v>
      </c>
      <c r="G254">
        <f>IF(LRVs!BL252="","",LRVs!BL252)</f>
        <v>4.45</v>
      </c>
    </row>
    <row r="255" spans="2:7" x14ac:dyDescent="0.3">
      <c r="B255">
        <v>259</v>
      </c>
      <c r="C255" s="13" t="str">
        <f>_xlfn.XLOOKUP(B255,LRV[id],LRV[source])</f>
        <v>Qiu et al. (2015)</v>
      </c>
      <c r="D255" s="13" t="e">
        <f>LRVs!#REF!</f>
        <v>#REF!</v>
      </c>
      <c r="E255" s="13" t="e">
        <f>LRVs!#REF!</f>
        <v>#REF!</v>
      </c>
      <c r="F255" s="13" t="e">
        <f>IF(LRVs!#REF!="","",LRVs!#REF!)</f>
        <v>#REF!</v>
      </c>
      <c r="G255" t="e">
        <f>IF(LRVs!#REF!="","",LRVs!#REF!)</f>
        <v>#REF!</v>
      </c>
    </row>
    <row r="256" spans="2:7" x14ac:dyDescent="0.3">
      <c r="B256">
        <v>260</v>
      </c>
      <c r="C256" s="13" t="str">
        <f>_xlfn.XLOOKUP(B256,LRV[id],LRV[source])</f>
        <v>Qiu et al. (2015)</v>
      </c>
      <c r="D256" s="13" t="str">
        <f>LRVs!C253</f>
        <v>Activated sludge</v>
      </c>
      <c r="E256" s="13" t="str">
        <f>LRVs!BG253</f>
        <v>Virus</v>
      </c>
      <c r="F256" s="13" t="str">
        <f>IF(LRVs!BH253="","",LRVs!BH253)</f>
        <v>Sapovirus</v>
      </c>
      <c r="G256">
        <f>IF(LRVs!BL253="","",LRVs!BL253)</f>
        <v>1.53</v>
      </c>
    </row>
    <row r="257" spans="2:7" x14ac:dyDescent="0.3">
      <c r="B257">
        <v>262</v>
      </c>
      <c r="C257" s="13" t="str">
        <f>_xlfn.XLOOKUP(B257,LRV[id],LRV[source])</f>
        <v>Qiu et al. (2015)</v>
      </c>
      <c r="D257" s="13" t="str">
        <f>LRVs!C254</f>
        <v>UV</v>
      </c>
      <c r="E257" s="13" t="str">
        <f>LRVs!BG254</f>
        <v>Virus</v>
      </c>
      <c r="F257" s="13" t="str">
        <f>IF(LRVs!BH254="","",LRVs!BH254)</f>
        <v>Sapovirus</v>
      </c>
      <c r="G257">
        <f>IF(LRVs!BL254="","",LRVs!BL254)</f>
        <v>0.25</v>
      </c>
    </row>
    <row r="258" spans="2:7" x14ac:dyDescent="0.3">
      <c r="B258">
        <v>263</v>
      </c>
      <c r="C258" s="13" t="str">
        <f>_xlfn.XLOOKUP(B258,LRV[id],LRV[source])</f>
        <v>Qiu et al. (2015)</v>
      </c>
      <c r="D258" s="13" t="str">
        <f>LRVs!C255</f>
        <v>Ultrafiltration</v>
      </c>
      <c r="E258" s="13" t="str">
        <f>LRVs!BG255</f>
        <v>Virus</v>
      </c>
      <c r="F258" s="13" t="str">
        <f>IF(LRVs!BH255="","",LRVs!BH255)</f>
        <v>Sapovirus</v>
      </c>
      <c r="G258">
        <f>IF(LRVs!BL255="","",LRVs!BL255)</f>
        <v>3.96</v>
      </c>
    </row>
    <row r="259" spans="2:7" x14ac:dyDescent="0.3">
      <c r="B259">
        <v>264</v>
      </c>
      <c r="C259" s="13" t="str">
        <f>_xlfn.XLOOKUP(B259,LRV[id],LRV[source])</f>
        <v>Qiu et al. (2015)</v>
      </c>
      <c r="D259" s="13" t="e">
        <f>LRVs!#REF!</f>
        <v>#REF!</v>
      </c>
      <c r="E259" s="13" t="e">
        <f>LRVs!#REF!</f>
        <v>#REF!</v>
      </c>
      <c r="F259" s="13" t="e">
        <f>IF(LRVs!#REF!="","",LRVs!#REF!)</f>
        <v>#REF!</v>
      </c>
      <c r="G259" t="e">
        <f>IF(LRVs!#REF!="","",LRVs!#REF!)</f>
        <v>#REF!</v>
      </c>
    </row>
    <row r="260" spans="2:7" x14ac:dyDescent="0.3">
      <c r="B260">
        <v>266</v>
      </c>
      <c r="C260" s="13" t="str">
        <f>_xlfn.XLOOKUP(B260,LRV[id],LRV[source])</f>
        <v>Qiu et al. (2015)</v>
      </c>
      <c r="D260" s="13" t="str">
        <f>LRVs!C256</f>
        <v>Activated sludge</v>
      </c>
      <c r="E260" s="13" t="str">
        <f>LRVs!BG256</f>
        <v>Virus</v>
      </c>
      <c r="F260" s="13" t="str">
        <f>IF(LRVs!BH256="","",LRVs!BH256)</f>
        <v>Astrovirus</v>
      </c>
      <c r="G260">
        <f>IF(LRVs!BL256="","",LRVs!BL256)</f>
        <v>1.8</v>
      </c>
    </row>
    <row r="261" spans="2:7" x14ac:dyDescent="0.3">
      <c r="B261">
        <v>267</v>
      </c>
      <c r="C261" s="13" t="str">
        <f>_xlfn.XLOOKUP(B261,LRV[id],LRV[source])</f>
        <v>Qiu et al. (2015)</v>
      </c>
      <c r="D261" s="13" t="str">
        <f>LRVs!C257</f>
        <v>UV</v>
      </c>
      <c r="E261" s="13" t="str">
        <f>LRVs!BG257</f>
        <v>Virus</v>
      </c>
      <c r="F261" s="13" t="str">
        <f>IF(LRVs!BH257="","",LRVs!BH257)</f>
        <v>Astrovirus</v>
      </c>
      <c r="G261">
        <f>IF(LRVs!BL257="","",LRVs!BL257)</f>
        <v>0</v>
      </c>
    </row>
    <row r="262" spans="2:7" x14ac:dyDescent="0.3">
      <c r="B262">
        <v>268</v>
      </c>
      <c r="C262" s="13" t="str">
        <f>_xlfn.XLOOKUP(B262,LRV[id],LRV[source])</f>
        <v>Qiu et al. (2015)</v>
      </c>
      <c r="D262" s="13" t="str">
        <f>LRVs!C258</f>
        <v>Ultrafiltration</v>
      </c>
      <c r="E262" s="13" t="str">
        <f>LRVs!BG258</f>
        <v>Virus</v>
      </c>
      <c r="F262" s="13" t="str">
        <f>IF(LRVs!BH258="","",LRVs!BH258)</f>
        <v>Astrovirus</v>
      </c>
      <c r="G262">
        <f>IF(LRVs!BL258="","",LRVs!BL258)</f>
        <v>4.33</v>
      </c>
    </row>
    <row r="263" spans="2:7" x14ac:dyDescent="0.3">
      <c r="B263">
        <v>270</v>
      </c>
      <c r="C263" s="13" t="str">
        <f>_xlfn.XLOOKUP(B263,LRV[id],LRV[source])</f>
        <v>Qiu et al. (2015)</v>
      </c>
      <c r="D263" s="13" t="e">
        <f>LRVs!#REF!</f>
        <v>#REF!</v>
      </c>
      <c r="E263" s="13" t="e">
        <f>LRVs!#REF!</f>
        <v>#REF!</v>
      </c>
      <c r="F263" s="13" t="e">
        <f>IF(LRVs!#REF!="","",LRVs!#REF!)</f>
        <v>#REF!</v>
      </c>
      <c r="G263" t="e">
        <f>IF(LRVs!#REF!="","",LRVs!#REF!)</f>
        <v>#REF!</v>
      </c>
    </row>
    <row r="264" spans="2:7" x14ac:dyDescent="0.3">
      <c r="B264">
        <v>271</v>
      </c>
      <c r="C264" s="13" t="str">
        <f>_xlfn.XLOOKUP(B264,LRV[id],LRV[source])</f>
        <v>Qiu et al. (2015)</v>
      </c>
      <c r="D264" s="13" t="str">
        <f>LRVs!C259</f>
        <v>Activated sludge</v>
      </c>
      <c r="E264" s="13" t="str">
        <f>LRVs!BG259</f>
        <v>Virus</v>
      </c>
      <c r="F264" s="13" t="str">
        <f>IF(LRVs!BH259="","",LRVs!BH259)</f>
        <v>Enterovirus</v>
      </c>
      <c r="G264">
        <f>IF(LRVs!BL259="","",LRVs!BL259)</f>
        <v>2.5499999999999998</v>
      </c>
    </row>
    <row r="265" spans="2:7" x14ac:dyDescent="0.3">
      <c r="B265">
        <v>272</v>
      </c>
      <c r="C265" s="13" t="str">
        <f>_xlfn.XLOOKUP(B265,LRV[id],LRV[source])</f>
        <v>Qiu et al. (2015)</v>
      </c>
      <c r="D265" s="13" t="str">
        <f>LRVs!C260</f>
        <v>UV</v>
      </c>
      <c r="E265" s="13" t="str">
        <f>LRVs!BG260</f>
        <v>Virus</v>
      </c>
      <c r="F265" s="13" t="str">
        <f>IF(LRVs!BH260="","",LRVs!BH260)</f>
        <v>Enterovirus</v>
      </c>
      <c r="G265">
        <f>IF(LRVs!BL260="","",LRVs!BL260)</f>
        <v>0.57999999999999996</v>
      </c>
    </row>
    <row r="266" spans="2:7" x14ac:dyDescent="0.3">
      <c r="B266">
        <v>274</v>
      </c>
      <c r="C266" s="13" t="str">
        <f>_xlfn.XLOOKUP(B266,LRV[id],LRV[source])</f>
        <v>Gerba et al. (2002)</v>
      </c>
      <c r="D266" s="13" t="str">
        <f>LRVs!C261</f>
        <v>Ultrafiltration</v>
      </c>
      <c r="E266" s="13" t="str">
        <f>LRVs!BG261</f>
        <v>Virus</v>
      </c>
      <c r="F266" s="13" t="str">
        <f>IF(LRVs!BH261="","",LRVs!BH261)</f>
        <v>Enterovirus</v>
      </c>
      <c r="G266">
        <f>IF(LRVs!BL261="","",LRVs!BL261)</f>
        <v>2.06</v>
      </c>
    </row>
    <row r="267" spans="2:7" x14ac:dyDescent="0.3">
      <c r="B267">
        <v>275</v>
      </c>
      <c r="C267" s="13" t="str">
        <f>_xlfn.XLOOKUP(B267,LRV[id],LRV[source])</f>
        <v>Gerba et al. (2002)</v>
      </c>
      <c r="D267" s="13" t="e">
        <f>LRVs!#REF!</f>
        <v>#REF!</v>
      </c>
      <c r="E267" s="13" t="e">
        <f>LRVs!#REF!</f>
        <v>#REF!</v>
      </c>
      <c r="F267" s="13" t="e">
        <f>IF(LRVs!#REF!="","",LRVs!#REF!)</f>
        <v>#REF!</v>
      </c>
      <c r="G267" t="e">
        <f>IF(LRVs!#REF!="","",LRVs!#REF!)</f>
        <v>#REF!</v>
      </c>
    </row>
    <row r="268" spans="2:7" x14ac:dyDescent="0.3">
      <c r="B268">
        <v>276</v>
      </c>
      <c r="C268" s="13" t="str">
        <f>_xlfn.XLOOKUP(B268,LRV[id],LRV[source])</f>
        <v>Gerba et al. (2002)</v>
      </c>
      <c r="D268" s="13" t="str">
        <f>LRVs!C262</f>
        <v>Activated sludge</v>
      </c>
      <c r="E268" s="13" t="str">
        <f>LRVs!BG262</f>
        <v>Virus</v>
      </c>
      <c r="F268" s="13" t="str">
        <f>IF(LRVs!BH262="","",LRVs!BH262)</f>
        <v>Adenovirus</v>
      </c>
      <c r="G268">
        <f>IF(LRVs!BL262="","",LRVs!BL262)</f>
        <v>2.12</v>
      </c>
    </row>
    <row r="269" spans="2:7" x14ac:dyDescent="0.3">
      <c r="B269">
        <v>277</v>
      </c>
      <c r="C269" s="13" t="str">
        <f>_xlfn.XLOOKUP(B269,LRV[id],LRV[source])</f>
        <v>Gerba et al. (2002)</v>
      </c>
      <c r="D269" s="13" t="str">
        <f>LRVs!C263</f>
        <v>UV</v>
      </c>
      <c r="E269" s="13" t="str">
        <f>LRVs!BG263</f>
        <v>Virus</v>
      </c>
      <c r="F269" s="13" t="str">
        <f>IF(LRVs!BH263="","",LRVs!BH263)</f>
        <v>Adenovirus</v>
      </c>
      <c r="G269">
        <f>IF(LRVs!BL263="","",LRVs!BL263)</f>
        <v>-0.1</v>
      </c>
    </row>
    <row r="270" spans="2:7" x14ac:dyDescent="0.3">
      <c r="B270">
        <v>278</v>
      </c>
      <c r="C270" s="13" t="str">
        <f>_xlfn.XLOOKUP(B270,LRV[id],LRV[source])</f>
        <v>Gerba et al. (2002)</v>
      </c>
      <c r="D270" s="13" t="str">
        <f>LRVs!C264</f>
        <v>Ultrafiltration</v>
      </c>
      <c r="E270" s="13" t="str">
        <f>LRVs!BG264</f>
        <v>Virus</v>
      </c>
      <c r="F270" s="13" t="str">
        <f>IF(LRVs!BH264="","",LRVs!BH264)</f>
        <v>Adenovirus</v>
      </c>
      <c r="G270">
        <f>IF(LRVs!BL264="","",LRVs!BL264)</f>
        <v>4.8499999999999996</v>
      </c>
    </row>
    <row r="271" spans="2:7" x14ac:dyDescent="0.3">
      <c r="B271">
        <v>279</v>
      </c>
      <c r="C271" s="13" t="str">
        <f>_xlfn.XLOOKUP(B271,LRV[id],LRV[source])</f>
        <v>Gerba et al. (2002)</v>
      </c>
      <c r="D271" s="13" t="e">
        <f>LRVs!#REF!</f>
        <v>#REF!</v>
      </c>
      <c r="E271" s="13" t="e">
        <f>LRVs!#REF!</f>
        <v>#REF!</v>
      </c>
      <c r="F271" s="13" t="e">
        <f>IF(LRVs!#REF!="","",LRVs!#REF!)</f>
        <v>#REF!</v>
      </c>
      <c r="G271" t="e">
        <f>IF(LRVs!#REF!="","",LRVs!#REF!)</f>
        <v>#REF!</v>
      </c>
    </row>
    <row r="272" spans="2:7" x14ac:dyDescent="0.3">
      <c r="B272">
        <v>280</v>
      </c>
      <c r="C272" s="13" t="str">
        <f>_xlfn.XLOOKUP(B272,LRV[id],LRV[source])</f>
        <v>Gerba et al. (2002)</v>
      </c>
      <c r="D272" s="13" t="str">
        <f>LRVs!C265</f>
        <v>Activated sludge</v>
      </c>
      <c r="E272" s="13" t="str">
        <f>LRVs!BG265</f>
        <v>Virus</v>
      </c>
      <c r="F272" s="13" t="str">
        <f>IF(LRVs!BH265="","",LRVs!BH265)</f>
        <v>JC virus</v>
      </c>
      <c r="G272">
        <f>IF(LRVs!BL265="","",LRVs!BL265)</f>
        <v>2.31</v>
      </c>
    </row>
    <row r="273" spans="2:7" x14ac:dyDescent="0.3">
      <c r="B273">
        <v>281</v>
      </c>
      <c r="C273" s="13" t="str">
        <f>_xlfn.XLOOKUP(B273,LRV[id],LRV[source])</f>
        <v>Gerba et al. (2002)</v>
      </c>
      <c r="D273" s="13" t="str">
        <f>LRVs!C266</f>
        <v>UV</v>
      </c>
      <c r="E273" s="13" t="str">
        <f>LRVs!BG266</f>
        <v>Virus</v>
      </c>
      <c r="F273" s="13" t="str">
        <f>IF(LRVs!BH266="","",LRVs!BH266)</f>
        <v>JC virus</v>
      </c>
      <c r="G273">
        <f>IF(LRVs!BL266="","",LRVs!BL266)</f>
        <v>-0.03</v>
      </c>
    </row>
    <row r="274" spans="2:7" x14ac:dyDescent="0.3">
      <c r="B274">
        <v>282</v>
      </c>
      <c r="C274" s="13" t="str">
        <f>_xlfn.XLOOKUP(B274,LRV[id],LRV[source])</f>
        <v>Gerba et al. (2002)</v>
      </c>
      <c r="D274" s="13" t="str">
        <f>LRVs!C267</f>
        <v>Ultrafiltration</v>
      </c>
      <c r="E274" s="13" t="str">
        <f>LRVs!BG267</f>
        <v>Virus</v>
      </c>
      <c r="F274" s="13" t="str">
        <f>IF(LRVs!BH267="","",LRVs!BH267)</f>
        <v>JC virus</v>
      </c>
      <c r="G274">
        <f>IF(LRVs!BL267="","",LRVs!BL267)</f>
        <v>3.64</v>
      </c>
    </row>
    <row r="275" spans="2:7" x14ac:dyDescent="0.3">
      <c r="B275">
        <v>283</v>
      </c>
      <c r="C275" s="13" t="str">
        <f>_xlfn.XLOOKUP(B275,LRV[id],LRV[source])</f>
        <v>Gerba et al. (2002)</v>
      </c>
      <c r="D275" s="13" t="e">
        <f>LRVs!#REF!</f>
        <v>#REF!</v>
      </c>
      <c r="E275" s="13" t="e">
        <f>LRVs!#REF!</f>
        <v>#REF!</v>
      </c>
      <c r="F275" s="13" t="e">
        <f>IF(LRVs!#REF!="","",LRVs!#REF!)</f>
        <v>#REF!</v>
      </c>
      <c r="G275" t="e">
        <f>IF(LRVs!#REF!="","",LRVs!#REF!)</f>
        <v>#REF!</v>
      </c>
    </row>
    <row r="276" spans="2:7" x14ac:dyDescent="0.3">
      <c r="B276">
        <v>284</v>
      </c>
      <c r="C276" s="13" t="str">
        <f>_xlfn.XLOOKUP(B276,LRV[id],LRV[source])</f>
        <v>Gerba et al. (2002)</v>
      </c>
      <c r="D276" s="13" t="str">
        <f>LRVs!C268</f>
        <v>UV</v>
      </c>
      <c r="E276" s="13" t="str">
        <f>LRVs!BG268</f>
        <v>Virus</v>
      </c>
      <c r="F276" s="13" t="str">
        <f>IF(LRVs!BH268="","",LRVs!BH268)</f>
        <v>Echovirus 1</v>
      </c>
      <c r="G276">
        <f>IF(LRVs!BL268="","",LRVs!BL268)</f>
        <v>1</v>
      </c>
    </row>
    <row r="277" spans="2:7" x14ac:dyDescent="0.3">
      <c r="B277">
        <v>285</v>
      </c>
      <c r="C277" s="13" t="str">
        <f>_xlfn.XLOOKUP(B277,LRV[id],LRV[source])</f>
        <v>Gerba et al. (2002)</v>
      </c>
      <c r="D277" s="13" t="str">
        <f>LRVs!C269</f>
        <v>UV</v>
      </c>
      <c r="E277" s="13" t="str">
        <f>LRVs!BG269</f>
        <v>Virus</v>
      </c>
      <c r="F277" s="13" t="str">
        <f>IF(LRVs!BH269="","",LRVs!BH269)</f>
        <v>Echovirus 1</v>
      </c>
      <c r="G277">
        <f>IF(LRVs!BL269="","",LRVs!BL269)</f>
        <v>2</v>
      </c>
    </row>
    <row r="278" spans="2:7" x14ac:dyDescent="0.3">
      <c r="B278">
        <v>286</v>
      </c>
      <c r="C278" s="13" t="str">
        <f>_xlfn.XLOOKUP(B278,LRV[id],LRV[source])</f>
        <v>Gerba et al. (2002)</v>
      </c>
      <c r="D278" s="13" t="str">
        <f>LRVs!C270</f>
        <v>UV</v>
      </c>
      <c r="E278" s="13" t="str">
        <f>LRVs!BG270</f>
        <v>Virus</v>
      </c>
      <c r="F278" s="13" t="str">
        <f>IF(LRVs!BH270="","",LRVs!BH270)</f>
        <v>Echovirus 1</v>
      </c>
      <c r="G278">
        <f>IF(LRVs!BL270="","",LRVs!BL270)</f>
        <v>3</v>
      </c>
    </row>
    <row r="279" spans="2:7" x14ac:dyDescent="0.3">
      <c r="B279">
        <v>287</v>
      </c>
      <c r="C279" s="13" t="str">
        <f>_xlfn.XLOOKUP(B279,LRV[id],LRV[source])</f>
        <v>Gerba et al. (2002)</v>
      </c>
      <c r="D279" s="13" t="str">
        <f>LRVs!C271</f>
        <v>UV</v>
      </c>
      <c r="E279" s="13" t="str">
        <f>LRVs!BG271</f>
        <v>Virus</v>
      </c>
      <c r="F279" s="13" t="str">
        <f>IF(LRVs!BH271="","",LRVs!BH271)</f>
        <v>Echovirus 1</v>
      </c>
      <c r="G279">
        <f>IF(LRVs!BL271="","",LRVs!BL271)</f>
        <v>4</v>
      </c>
    </row>
    <row r="280" spans="2:7" x14ac:dyDescent="0.3">
      <c r="B280">
        <v>288</v>
      </c>
      <c r="C280" s="13" t="str">
        <f>_xlfn.XLOOKUP(B280,LRV[id],LRV[source])</f>
        <v>Gerba et al. (2002)</v>
      </c>
      <c r="D280" s="13" t="str">
        <f>LRVs!C272</f>
        <v>UV</v>
      </c>
      <c r="E280" s="13" t="str">
        <f>LRVs!BG272</f>
        <v>Virus</v>
      </c>
      <c r="F280" s="13" t="str">
        <f>IF(LRVs!BH272="","",LRVs!BH272)</f>
        <v>Echovirus 2</v>
      </c>
      <c r="G280">
        <f>IF(LRVs!BL272="","",LRVs!BL272)</f>
        <v>1</v>
      </c>
    </row>
    <row r="281" spans="2:7" x14ac:dyDescent="0.3">
      <c r="B281">
        <v>289</v>
      </c>
      <c r="C281" s="13" t="str">
        <f>_xlfn.XLOOKUP(B281,LRV[id],LRV[source])</f>
        <v>Gerba et al. (2002)</v>
      </c>
      <c r="D281" s="13" t="str">
        <f>LRVs!C273</f>
        <v>UV</v>
      </c>
      <c r="E281" s="13" t="str">
        <f>LRVs!BG273</f>
        <v>Virus</v>
      </c>
      <c r="F281" s="13" t="str">
        <f>IF(LRVs!BH273="","",LRVs!BH273)</f>
        <v>Echovirus 2</v>
      </c>
      <c r="G281">
        <f>IF(LRVs!BL273="","",LRVs!BL273)</f>
        <v>2</v>
      </c>
    </row>
    <row r="282" spans="2:7" x14ac:dyDescent="0.3">
      <c r="B282">
        <v>290</v>
      </c>
      <c r="C282" s="13" t="str">
        <f>_xlfn.XLOOKUP(B282,LRV[id],LRV[source])</f>
        <v>Gerba et al. (2002)</v>
      </c>
      <c r="D282" s="13" t="str">
        <f>LRVs!C274</f>
        <v>UV</v>
      </c>
      <c r="E282" s="13" t="str">
        <f>LRVs!BG274</f>
        <v>Virus</v>
      </c>
      <c r="F282" s="13" t="str">
        <f>IF(LRVs!BH274="","",LRVs!BH274)</f>
        <v>Echovirus 2</v>
      </c>
      <c r="G282">
        <f>IF(LRVs!BL274="","",LRVs!BL274)</f>
        <v>3</v>
      </c>
    </row>
    <row r="283" spans="2:7" x14ac:dyDescent="0.3">
      <c r="B283">
        <v>291</v>
      </c>
      <c r="C283" s="13" t="str">
        <f>_xlfn.XLOOKUP(B283,LRV[id],LRV[source])</f>
        <v>Gerba et al. (2002)</v>
      </c>
      <c r="D283" s="13" t="str">
        <f>LRVs!C275</f>
        <v>UV</v>
      </c>
      <c r="E283" s="13" t="str">
        <f>LRVs!BG275</f>
        <v>Virus</v>
      </c>
      <c r="F283" s="13" t="str">
        <f>IF(LRVs!BH275="","",LRVs!BH275)</f>
        <v>Echovirus 2</v>
      </c>
      <c r="G283">
        <f>IF(LRVs!BL275="","",LRVs!BL275)</f>
        <v>4</v>
      </c>
    </row>
    <row r="284" spans="2:7" x14ac:dyDescent="0.3">
      <c r="B284">
        <v>292</v>
      </c>
      <c r="C284" s="13" t="str">
        <f>_xlfn.XLOOKUP(B284,LRV[id],LRV[source])</f>
        <v>Gerba et al. (2002)</v>
      </c>
      <c r="D284" s="13" t="str">
        <f>LRVs!C276</f>
        <v>UV</v>
      </c>
      <c r="E284" s="13" t="str">
        <f>LRVs!BG276</f>
        <v>Virus</v>
      </c>
      <c r="F284" s="13" t="str">
        <f>IF(LRVs!BH276="","",LRVs!BH276)</f>
        <v>Coxsackievirus B5</v>
      </c>
      <c r="G284">
        <f>IF(LRVs!BL276="","",LRVs!BL276)</f>
        <v>1</v>
      </c>
    </row>
    <row r="285" spans="2:7" x14ac:dyDescent="0.3">
      <c r="B285">
        <v>293</v>
      </c>
      <c r="C285" s="13" t="str">
        <f>_xlfn.XLOOKUP(B285,LRV[id],LRV[source])</f>
        <v>Gerba et al. (2002)</v>
      </c>
      <c r="D285" s="13" t="str">
        <f>LRVs!C277</f>
        <v>UV</v>
      </c>
      <c r="E285" s="13" t="str">
        <f>LRVs!BG277</f>
        <v>Virus</v>
      </c>
      <c r="F285" s="13" t="str">
        <f>IF(LRVs!BH277="","",LRVs!BH277)</f>
        <v>Coxsackievirus B5</v>
      </c>
      <c r="G285">
        <f>IF(LRVs!BL277="","",LRVs!BL277)</f>
        <v>2</v>
      </c>
    </row>
    <row r="286" spans="2:7" x14ac:dyDescent="0.3">
      <c r="B286">
        <v>294</v>
      </c>
      <c r="C286" s="13" t="str">
        <f>_xlfn.XLOOKUP(B286,LRV[id],LRV[source])</f>
        <v>Gerba et al. (2002)</v>
      </c>
      <c r="D286" s="13" t="str">
        <f>LRVs!C278</f>
        <v>UV</v>
      </c>
      <c r="E286" s="13" t="str">
        <f>LRVs!BG278</f>
        <v>Virus</v>
      </c>
      <c r="F286" s="13" t="str">
        <f>IF(LRVs!BH278="","",LRVs!BH278)</f>
        <v>Coxsackievirus B5</v>
      </c>
      <c r="G286">
        <f>IF(LRVs!BL278="","",LRVs!BL278)</f>
        <v>3</v>
      </c>
    </row>
    <row r="287" spans="2:7" x14ac:dyDescent="0.3">
      <c r="B287">
        <v>295</v>
      </c>
      <c r="C287" s="13" t="str">
        <f>_xlfn.XLOOKUP(B287,LRV[id],LRV[source])</f>
        <v>Gerba et al. (2002)</v>
      </c>
      <c r="D287" s="13" t="str">
        <f>LRVs!C279</f>
        <v>UV</v>
      </c>
      <c r="E287" s="13" t="str">
        <f>LRVs!BG279</f>
        <v>Virus</v>
      </c>
      <c r="F287" s="13" t="str">
        <f>IF(LRVs!BH279="","",LRVs!BH279)</f>
        <v>Coxsackievirus B5</v>
      </c>
      <c r="G287">
        <f>IF(LRVs!BL279="","",LRVs!BL279)</f>
        <v>4</v>
      </c>
    </row>
    <row r="288" spans="2:7" x14ac:dyDescent="0.3">
      <c r="B288">
        <v>296</v>
      </c>
      <c r="C288" s="13" t="str">
        <f>_xlfn.XLOOKUP(B288,LRV[id],LRV[source])</f>
        <v>Gerba et al. (2002)</v>
      </c>
      <c r="D288" s="13" t="str">
        <f>LRVs!C280</f>
        <v>UV</v>
      </c>
      <c r="E288" s="13" t="str">
        <f>LRVs!BG280</f>
        <v>Virus</v>
      </c>
      <c r="F288" s="13" t="str">
        <f>IF(LRVs!BH280="","",LRVs!BH280)</f>
        <v>Coxsackievirus B3</v>
      </c>
      <c r="G288">
        <f>IF(LRVs!BL280="","",LRVs!BL280)</f>
        <v>1</v>
      </c>
    </row>
    <row r="289" spans="2:7" x14ac:dyDescent="0.3">
      <c r="B289">
        <v>297</v>
      </c>
      <c r="C289" s="13" t="str">
        <f>_xlfn.XLOOKUP(B289,LRV[id],LRV[source])</f>
        <v>Gerba et al. (2002)</v>
      </c>
      <c r="D289" s="13" t="str">
        <f>LRVs!C281</f>
        <v>UV</v>
      </c>
      <c r="E289" s="13" t="str">
        <f>LRVs!BG281</f>
        <v>Virus</v>
      </c>
      <c r="F289" s="13" t="str">
        <f>IF(LRVs!BH281="","",LRVs!BH281)</f>
        <v>Coxsackievirus B3</v>
      </c>
      <c r="G289">
        <f>IF(LRVs!BL281="","",LRVs!BL281)</f>
        <v>2</v>
      </c>
    </row>
    <row r="290" spans="2:7" x14ac:dyDescent="0.3">
      <c r="B290">
        <v>298</v>
      </c>
      <c r="C290" s="13" t="str">
        <f>_xlfn.XLOOKUP(B290,LRV[id],LRV[source])</f>
        <v>Keegan et al. (2012)</v>
      </c>
      <c r="D290" s="13" t="str">
        <f>LRVs!C282</f>
        <v>UV</v>
      </c>
      <c r="E290" s="13" t="str">
        <f>LRVs!BG282</f>
        <v>Virus</v>
      </c>
      <c r="F290" s="13" t="str">
        <f>IF(LRVs!BH282="","",LRVs!BH282)</f>
        <v>Coxsackievirus B3</v>
      </c>
      <c r="G290">
        <f>IF(LRVs!BL282="","",LRVs!BL282)</f>
        <v>3</v>
      </c>
    </row>
    <row r="291" spans="2:7" x14ac:dyDescent="0.3">
      <c r="B291">
        <v>299</v>
      </c>
      <c r="C291" s="13" t="str">
        <f>_xlfn.XLOOKUP(B291,LRV[id],LRV[source])</f>
        <v>Keegan et al. (2012)</v>
      </c>
      <c r="D291" s="13" t="str">
        <f>LRVs!C283</f>
        <v>UV</v>
      </c>
      <c r="E291" s="13" t="str">
        <f>LRVs!BG283</f>
        <v>Virus</v>
      </c>
      <c r="F291" s="13" t="str">
        <f>IF(LRVs!BH283="","",LRVs!BH283)</f>
        <v>Coxsackievirus B3</v>
      </c>
      <c r="G291">
        <f>IF(LRVs!BL283="","",LRVs!BL283)</f>
        <v>4</v>
      </c>
    </row>
    <row r="292" spans="2:7" x14ac:dyDescent="0.3">
      <c r="B292">
        <v>300</v>
      </c>
      <c r="C292" s="13" t="str">
        <f>_xlfn.XLOOKUP(B292,LRV[id],LRV[source])</f>
        <v>Keegan et al. (2012)</v>
      </c>
      <c r="D292" s="13" t="str">
        <f>LRVs!C284</f>
        <v>UV</v>
      </c>
      <c r="E292" s="13" t="str">
        <f>LRVs!BG284</f>
        <v>Virus</v>
      </c>
      <c r="F292" s="13" t="str">
        <f>IF(LRVs!BH284="","",LRVs!BH284)</f>
        <v>Poliovirus 1</v>
      </c>
      <c r="G292">
        <f>IF(LRVs!BL284="","",LRVs!BL284)</f>
        <v>1</v>
      </c>
    </row>
    <row r="293" spans="2:7" x14ac:dyDescent="0.3">
      <c r="B293">
        <v>301</v>
      </c>
      <c r="C293" s="13" t="str">
        <f>_xlfn.XLOOKUP(B293,LRV[id],LRV[source])</f>
        <v>Keegan et al. (2012)</v>
      </c>
      <c r="D293" s="13" t="str">
        <f>LRVs!C285</f>
        <v>UV</v>
      </c>
      <c r="E293" s="13" t="str">
        <f>LRVs!BG285</f>
        <v>Virus</v>
      </c>
      <c r="F293" s="13" t="str">
        <f>IF(LRVs!BH285="","",LRVs!BH285)</f>
        <v>Poliovirus 1</v>
      </c>
      <c r="G293">
        <f>IF(LRVs!BL285="","",LRVs!BL285)</f>
        <v>2</v>
      </c>
    </row>
    <row r="294" spans="2:7" x14ac:dyDescent="0.3">
      <c r="B294">
        <v>302</v>
      </c>
      <c r="C294" s="13" t="str">
        <f>_xlfn.XLOOKUP(B294,LRV[id],LRV[source])</f>
        <v>Keegan et al. (2012)</v>
      </c>
      <c r="D294" s="13" t="str">
        <f>LRVs!C286</f>
        <v>UV</v>
      </c>
      <c r="E294" s="13" t="str">
        <f>LRVs!BG286</f>
        <v>Virus</v>
      </c>
      <c r="F294" s="13" t="str">
        <f>IF(LRVs!BH286="","",LRVs!BH286)</f>
        <v>Poliovirus 1</v>
      </c>
      <c r="G294">
        <f>IF(LRVs!BL286="","",LRVs!BL286)</f>
        <v>3</v>
      </c>
    </row>
    <row r="295" spans="2:7" x14ac:dyDescent="0.3">
      <c r="B295">
        <v>303</v>
      </c>
      <c r="C295" s="13" t="str">
        <f>_xlfn.XLOOKUP(B295,LRV[id],LRV[source])</f>
        <v>Keegan et al. (2012)</v>
      </c>
      <c r="D295" s="13" t="str">
        <f>LRVs!C287</f>
        <v>UV</v>
      </c>
      <c r="E295" s="13" t="str">
        <f>LRVs!BG287</f>
        <v>Virus</v>
      </c>
      <c r="F295" s="13" t="str">
        <f>IF(LRVs!BH287="","",LRVs!BH287)</f>
        <v>Poliovirus 1</v>
      </c>
      <c r="G295">
        <f>IF(LRVs!BL287="","",LRVs!BL287)</f>
        <v>4</v>
      </c>
    </row>
    <row r="296" spans="2:7" x14ac:dyDescent="0.3">
      <c r="B296">
        <v>304</v>
      </c>
      <c r="C296" s="13" t="str">
        <f>_xlfn.XLOOKUP(B296,LRV[id],LRV[source])</f>
        <v>Keegan et al. (2012)</v>
      </c>
      <c r="D296" s="13" t="str">
        <f>LRVs!C288</f>
        <v>UV</v>
      </c>
      <c r="E296" s="13" t="str">
        <f>LRVs!BG288</f>
        <v>Virus</v>
      </c>
      <c r="F296" s="13" t="str">
        <f>IF(LRVs!BH288="","",LRVs!BH288)</f>
        <v>Adenovirus 2</v>
      </c>
      <c r="G296">
        <f>IF(LRVs!BL288="","",LRVs!BL288)</f>
        <v>1</v>
      </c>
    </row>
    <row r="297" spans="2:7" x14ac:dyDescent="0.3">
      <c r="B297">
        <v>305</v>
      </c>
      <c r="C297" s="13" t="str">
        <f>_xlfn.XLOOKUP(B297,LRV[id],LRV[source])</f>
        <v>Keegan et al. (2012)</v>
      </c>
      <c r="D297" s="13" t="str">
        <f>LRVs!C289</f>
        <v>UV</v>
      </c>
      <c r="E297" s="13" t="str">
        <f>LRVs!BG289</f>
        <v>Virus</v>
      </c>
      <c r="F297" s="13" t="str">
        <f>IF(LRVs!BH289="","",LRVs!BH289)</f>
        <v>Adenovirus 2</v>
      </c>
      <c r="G297">
        <f>IF(LRVs!BL289="","",LRVs!BL289)</f>
        <v>2</v>
      </c>
    </row>
    <row r="298" spans="2:7" x14ac:dyDescent="0.3">
      <c r="B298">
        <v>306</v>
      </c>
      <c r="C298" s="13" t="str">
        <f>_xlfn.XLOOKUP(B298,LRV[id],LRV[source])</f>
        <v>Keegan et al. (2012)</v>
      </c>
      <c r="D298" s="13" t="str">
        <f>LRVs!C290</f>
        <v>UV</v>
      </c>
      <c r="E298" s="13" t="str">
        <f>LRVs!BG290</f>
        <v>Virus</v>
      </c>
      <c r="F298" s="13" t="str">
        <f>IF(LRVs!BH290="","",LRVs!BH290)</f>
        <v>Adenovirus 2</v>
      </c>
      <c r="G298">
        <f>IF(LRVs!BL290="","",LRVs!BL290)</f>
        <v>3</v>
      </c>
    </row>
    <row r="299" spans="2:7" x14ac:dyDescent="0.3">
      <c r="B299">
        <v>307</v>
      </c>
      <c r="C299" s="13" t="str">
        <f>_xlfn.XLOOKUP(B299,LRV[id],LRV[source])</f>
        <v>Keegan et al. (2012)</v>
      </c>
      <c r="D299" s="13" t="str">
        <f>LRVs!C291</f>
        <v>UV</v>
      </c>
      <c r="E299" s="13" t="str">
        <f>LRVs!BG291</f>
        <v>Virus</v>
      </c>
      <c r="F299" s="13" t="str">
        <f>IF(LRVs!BH291="","",LRVs!BH291)</f>
        <v>Adenovirus 2</v>
      </c>
      <c r="G299">
        <f>IF(LRVs!BL291="","",LRVs!BL291)</f>
        <v>4</v>
      </c>
    </row>
    <row r="300" spans="2:7" x14ac:dyDescent="0.3">
      <c r="B300">
        <v>308</v>
      </c>
      <c r="C300" s="13" t="str">
        <f>_xlfn.XLOOKUP(B300,LRV[id],LRV[source])</f>
        <v>Keegan et al. (2012)</v>
      </c>
      <c r="D300" s="13" t="str">
        <f>LRVs!C292</f>
        <v>Chlorine</v>
      </c>
      <c r="E300" s="13" t="str">
        <f>LRVs!BG292</f>
        <v>Virus</v>
      </c>
      <c r="F300" s="13" t="str">
        <f>IF(LRVs!BH292="","",LRVs!BH292)</f>
        <v>Coxsackievirus</v>
      </c>
      <c r="G300">
        <f>IF(LRVs!BL292="","",LRVs!BL292)</f>
        <v>2</v>
      </c>
    </row>
    <row r="301" spans="2:7" x14ac:dyDescent="0.3">
      <c r="B301">
        <v>309</v>
      </c>
      <c r="C301" s="13" t="str">
        <f>_xlfn.XLOOKUP(B301,LRV[id],LRV[source])</f>
        <v>Keegan et al. (2012)</v>
      </c>
      <c r="D301" s="13" t="str">
        <f>LRVs!C293</f>
        <v>Chlorine</v>
      </c>
      <c r="E301" s="13" t="str">
        <f>LRVs!BG293</f>
        <v>Virus</v>
      </c>
      <c r="F301" s="13" t="str">
        <f>IF(LRVs!BH293="","",LRVs!BH293)</f>
        <v>Coxsackievirus</v>
      </c>
      <c r="G301">
        <f>IF(LRVs!BL293="","",LRVs!BL293)</f>
        <v>3</v>
      </c>
    </row>
    <row r="302" spans="2:7" x14ac:dyDescent="0.3">
      <c r="B302">
        <v>310</v>
      </c>
      <c r="C302" s="13" t="str">
        <f>_xlfn.XLOOKUP(B302,LRV[id],LRV[source])</f>
        <v>Keegan et al. (2012)</v>
      </c>
      <c r="D302" s="13" t="str">
        <f>LRVs!C294</f>
        <v>Chlorine</v>
      </c>
      <c r="E302" s="13" t="str">
        <f>LRVs!BG294</f>
        <v>Virus</v>
      </c>
      <c r="F302" s="13" t="str">
        <f>IF(LRVs!BH294="","",LRVs!BH294)</f>
        <v>Coxsackievirus</v>
      </c>
      <c r="G302">
        <f>IF(LRVs!BL294="","",LRVs!BL294)</f>
        <v>4</v>
      </c>
    </row>
    <row r="303" spans="2:7" x14ac:dyDescent="0.3">
      <c r="B303">
        <v>311</v>
      </c>
      <c r="C303" s="13" t="str">
        <f>_xlfn.XLOOKUP(B303,LRV[id],LRV[source])</f>
        <v>Keegan et al. (2012)</v>
      </c>
      <c r="D303" s="13" t="str">
        <f>LRVs!C295</f>
        <v>Chlorine</v>
      </c>
      <c r="E303" s="13" t="str">
        <f>LRVs!BG295</f>
        <v>Virus</v>
      </c>
      <c r="F303" s="13" t="str">
        <f>IF(LRVs!BH295="","",LRVs!BH295)</f>
        <v>Coxsackievirus</v>
      </c>
      <c r="G303">
        <f>IF(LRVs!BL295="","",LRVs!BL295)</f>
        <v>1</v>
      </c>
    </row>
    <row r="304" spans="2:7" x14ac:dyDescent="0.3">
      <c r="B304">
        <v>312</v>
      </c>
      <c r="C304" s="13" t="str">
        <f>_xlfn.XLOOKUP(B304,LRV[id],LRV[source])</f>
        <v>Keegan et al. (2012)</v>
      </c>
      <c r="D304" s="13" t="str">
        <f>LRVs!C296</f>
        <v>Chlorine</v>
      </c>
      <c r="E304" s="13" t="str">
        <f>LRVs!BG296</f>
        <v>Virus</v>
      </c>
      <c r="F304" s="13" t="str">
        <f>IF(LRVs!BH296="","",LRVs!BH296)</f>
        <v>Coxsackievirus</v>
      </c>
      <c r="G304">
        <f>IF(LRVs!BL296="","",LRVs!BL296)</f>
        <v>2</v>
      </c>
    </row>
    <row r="305" spans="2:7" x14ac:dyDescent="0.3">
      <c r="B305">
        <v>313</v>
      </c>
      <c r="C305" s="13" t="str">
        <f>_xlfn.XLOOKUP(B305,LRV[id],LRV[source])</f>
        <v>Keegan et al. (2012)</v>
      </c>
      <c r="D305" s="13" t="str">
        <f>LRVs!C297</f>
        <v>Chlorine</v>
      </c>
      <c r="E305" s="13" t="str">
        <f>LRVs!BG297</f>
        <v>Virus</v>
      </c>
      <c r="F305" s="13" t="str">
        <f>IF(LRVs!BH297="","",LRVs!BH297)</f>
        <v>Coxsackievirus</v>
      </c>
      <c r="G305">
        <f>IF(LRVs!BL297="","",LRVs!BL297)</f>
        <v>3</v>
      </c>
    </row>
    <row r="306" spans="2:7" x14ac:dyDescent="0.3">
      <c r="B306">
        <v>314</v>
      </c>
      <c r="C306" s="13" t="str">
        <f>_xlfn.XLOOKUP(B306,LRV[id],LRV[source])</f>
        <v>Keegan et al. (2012)</v>
      </c>
      <c r="D306" s="13" t="str">
        <f>LRVs!C298</f>
        <v>Chlorine</v>
      </c>
      <c r="E306" s="13" t="str">
        <f>LRVs!BG298</f>
        <v>Virus</v>
      </c>
      <c r="F306" s="13" t="str">
        <f>IF(LRVs!BH298="","",LRVs!BH298)</f>
        <v>Coxsackievirus</v>
      </c>
      <c r="G306">
        <f>IF(LRVs!BL298="","",LRVs!BL298)</f>
        <v>4</v>
      </c>
    </row>
    <row r="307" spans="2:7" x14ac:dyDescent="0.3">
      <c r="B307">
        <v>315</v>
      </c>
      <c r="C307" s="13" t="str">
        <f>_xlfn.XLOOKUP(B307,LRV[id],LRV[source])</f>
        <v>Keegan et al. (2012)</v>
      </c>
      <c r="D307" s="13" t="str">
        <f>LRVs!C299</f>
        <v>Chlorine</v>
      </c>
      <c r="E307" s="13" t="str">
        <f>LRVs!BG299</f>
        <v>Virus</v>
      </c>
      <c r="F307" s="13" t="str">
        <f>IF(LRVs!BH299="","",LRVs!BH299)</f>
        <v>Coxsackievirus</v>
      </c>
      <c r="G307">
        <f>IF(LRVs!BL299="","",LRVs!BL299)</f>
        <v>1</v>
      </c>
    </row>
    <row r="308" spans="2:7" x14ac:dyDescent="0.3">
      <c r="B308">
        <v>316</v>
      </c>
      <c r="C308" s="13" t="str">
        <f>_xlfn.XLOOKUP(B308,LRV[id],LRV[source])</f>
        <v>Keegan et al. (2012)</v>
      </c>
      <c r="D308" s="13" t="str">
        <f>LRVs!C300</f>
        <v>Chlorine</v>
      </c>
      <c r="E308" s="13" t="str">
        <f>LRVs!BG300</f>
        <v>Virus</v>
      </c>
      <c r="F308" s="13" t="str">
        <f>IF(LRVs!BH300="","",LRVs!BH300)</f>
        <v>Coxsackievirus</v>
      </c>
      <c r="G308">
        <f>IF(LRVs!BL300="","",LRVs!BL300)</f>
        <v>2</v>
      </c>
    </row>
    <row r="309" spans="2:7" x14ac:dyDescent="0.3">
      <c r="B309">
        <v>317</v>
      </c>
      <c r="C309" s="13" t="str">
        <f>_xlfn.XLOOKUP(B309,LRV[id],LRV[source])</f>
        <v>Keegan et al. (2012)</v>
      </c>
      <c r="D309" s="13" t="str">
        <f>LRVs!C301</f>
        <v>Chlorine</v>
      </c>
      <c r="E309" s="13" t="str">
        <f>LRVs!BG301</f>
        <v>Virus</v>
      </c>
      <c r="F309" s="13" t="str">
        <f>IF(LRVs!BH301="","",LRVs!BH301)</f>
        <v>Coxsackievirus</v>
      </c>
      <c r="G309">
        <f>IF(LRVs!BL301="","",LRVs!BL301)</f>
        <v>3</v>
      </c>
    </row>
    <row r="310" spans="2:7" x14ac:dyDescent="0.3">
      <c r="B310">
        <v>318</v>
      </c>
      <c r="C310" s="13" t="str">
        <f>_xlfn.XLOOKUP(B310,LRV[id],LRV[source])</f>
        <v>Keegan et al. (2012)</v>
      </c>
      <c r="D310" s="13" t="str">
        <f>LRVs!C302</f>
        <v>Chlorine</v>
      </c>
      <c r="E310" s="13" t="str">
        <f>LRVs!BG302</f>
        <v>Virus</v>
      </c>
      <c r="F310" s="13" t="str">
        <f>IF(LRVs!BH302="","",LRVs!BH302)</f>
        <v>Coxsackievirus</v>
      </c>
      <c r="G310">
        <f>IF(LRVs!BL302="","",LRVs!BL302)</f>
        <v>4</v>
      </c>
    </row>
    <row r="311" spans="2:7" x14ac:dyDescent="0.3">
      <c r="B311">
        <v>319</v>
      </c>
      <c r="C311" s="13" t="str">
        <f>_xlfn.XLOOKUP(B311,LRV[id],LRV[source])</f>
        <v>Keegan et al. (2012)</v>
      </c>
      <c r="D311" s="13" t="str">
        <f>LRVs!C303</f>
        <v>Chlorine</v>
      </c>
      <c r="E311" s="13" t="str">
        <f>LRVs!BG303</f>
        <v>Virus</v>
      </c>
      <c r="F311" s="13" t="str">
        <f>IF(LRVs!BH303="","",LRVs!BH303)</f>
        <v>Coxsackievirus</v>
      </c>
      <c r="G311">
        <f>IF(LRVs!BL303="","",LRVs!BL303)</f>
        <v>1</v>
      </c>
    </row>
    <row r="312" spans="2:7" x14ac:dyDescent="0.3">
      <c r="B312">
        <v>320</v>
      </c>
      <c r="C312" s="13" t="str">
        <f>_xlfn.XLOOKUP(B312,LRV[id],LRV[source])</f>
        <v>Keegan et al. (2012)</v>
      </c>
      <c r="D312" s="13" t="str">
        <f>LRVs!C304</f>
        <v>Chlorine</v>
      </c>
      <c r="E312" s="13" t="str">
        <f>LRVs!BG304</f>
        <v>Virus</v>
      </c>
      <c r="F312" s="13" t="str">
        <f>IF(LRVs!BH304="","",LRVs!BH304)</f>
        <v>Coxsackievirus</v>
      </c>
      <c r="G312">
        <f>IF(LRVs!BL304="","",LRVs!BL304)</f>
        <v>2</v>
      </c>
    </row>
    <row r="313" spans="2:7" x14ac:dyDescent="0.3">
      <c r="B313">
        <v>321</v>
      </c>
      <c r="C313" s="13" t="str">
        <f>_xlfn.XLOOKUP(B313,LRV[id],LRV[source])</f>
        <v>Keegan et al. (2012)</v>
      </c>
      <c r="D313" s="13" t="str">
        <f>LRVs!C305</f>
        <v>Chlorine</v>
      </c>
      <c r="E313" s="13" t="str">
        <f>LRVs!BG305</f>
        <v>Virus</v>
      </c>
      <c r="F313" s="13" t="str">
        <f>IF(LRVs!BH305="","",LRVs!BH305)</f>
        <v>Coxsackievirus</v>
      </c>
      <c r="G313">
        <f>IF(LRVs!BL305="","",LRVs!BL305)</f>
        <v>3</v>
      </c>
    </row>
    <row r="314" spans="2:7" x14ac:dyDescent="0.3">
      <c r="B314">
        <v>322</v>
      </c>
      <c r="C314" s="13" t="str">
        <f>_xlfn.XLOOKUP(B314,LRV[id],LRV[source])</f>
        <v>Keegan et al. (2012)</v>
      </c>
      <c r="D314" s="13" t="str">
        <f>LRVs!C306</f>
        <v>Chlorine</v>
      </c>
      <c r="E314" s="13" t="str">
        <f>LRVs!BG306</f>
        <v>Virus</v>
      </c>
      <c r="F314" s="13" t="str">
        <f>IF(LRVs!BH306="","",LRVs!BH306)</f>
        <v>Coxsackievirus</v>
      </c>
      <c r="G314">
        <f>IF(LRVs!BL306="","",LRVs!BL306)</f>
        <v>4</v>
      </c>
    </row>
    <row r="315" spans="2:7" x14ac:dyDescent="0.3">
      <c r="B315">
        <v>323</v>
      </c>
      <c r="C315" s="13" t="str">
        <f>_xlfn.XLOOKUP(B315,LRV[id],LRV[source])</f>
        <v>Keegan et al. (2012)</v>
      </c>
      <c r="D315" s="13" t="str">
        <f>LRVs!C307</f>
        <v>Chlorine</v>
      </c>
      <c r="E315" s="13" t="str">
        <f>LRVs!BG307</f>
        <v>Virus</v>
      </c>
      <c r="F315" s="13" t="str">
        <f>IF(LRVs!BH307="","",LRVs!BH307)</f>
        <v>Coxsackievirus</v>
      </c>
      <c r="G315">
        <f>IF(LRVs!BL307="","",LRVs!BL307)</f>
        <v>1</v>
      </c>
    </row>
    <row r="316" spans="2:7" x14ac:dyDescent="0.3">
      <c r="B316">
        <v>324</v>
      </c>
      <c r="C316" s="13" t="str">
        <f>_xlfn.XLOOKUP(B316,LRV[id],LRV[source])</f>
        <v>Keegan et al. (2012)</v>
      </c>
      <c r="D316" s="13" t="str">
        <f>LRVs!C308</f>
        <v>Chlorine</v>
      </c>
      <c r="E316" s="13" t="str">
        <f>LRVs!BG308</f>
        <v>Virus</v>
      </c>
      <c r="F316" s="13" t="str">
        <f>IF(LRVs!BH308="","",LRVs!BH308)</f>
        <v>Coxsackievirus</v>
      </c>
      <c r="G316">
        <f>IF(LRVs!BL308="","",LRVs!BL308)</f>
        <v>2</v>
      </c>
    </row>
    <row r="317" spans="2:7" x14ac:dyDescent="0.3">
      <c r="B317">
        <v>325</v>
      </c>
      <c r="C317" s="13" t="str">
        <f>_xlfn.XLOOKUP(B317,LRV[id],LRV[source])</f>
        <v>Keegan et al. (2012)</v>
      </c>
      <c r="D317" s="13" t="str">
        <f>LRVs!C309</f>
        <v>Chlorine</v>
      </c>
      <c r="E317" s="13" t="str">
        <f>LRVs!BG309</f>
        <v>Virus</v>
      </c>
      <c r="F317" s="13" t="str">
        <f>IF(LRVs!BH309="","",LRVs!BH309)</f>
        <v>Coxsackievirus</v>
      </c>
      <c r="G317">
        <f>IF(LRVs!BL309="","",LRVs!BL309)</f>
        <v>3</v>
      </c>
    </row>
    <row r="318" spans="2:7" x14ac:dyDescent="0.3">
      <c r="B318">
        <v>326</v>
      </c>
      <c r="C318" s="13" t="str">
        <f>_xlfn.XLOOKUP(B318,LRV[id],LRV[source])</f>
        <v>Keegan et al. (2012)</v>
      </c>
      <c r="D318" s="13" t="str">
        <f>LRVs!C310</f>
        <v>Chlorine</v>
      </c>
      <c r="E318" s="13" t="str">
        <f>LRVs!BG310</f>
        <v>Virus</v>
      </c>
      <c r="F318" s="13" t="str">
        <f>IF(LRVs!BH310="","",LRVs!BH310)</f>
        <v>Coxsackievirus</v>
      </c>
      <c r="G318">
        <f>IF(LRVs!BL310="","",LRVs!BL310)</f>
        <v>4</v>
      </c>
    </row>
    <row r="319" spans="2:7" x14ac:dyDescent="0.3">
      <c r="B319">
        <v>327</v>
      </c>
      <c r="C319" s="13" t="str">
        <f>_xlfn.XLOOKUP(B319,LRV[id],LRV[source])</f>
        <v>Keegan et al. (2012)</v>
      </c>
      <c r="D319" s="13" t="str">
        <f>LRVs!C311</f>
        <v>Chlorine</v>
      </c>
      <c r="E319" s="13" t="str">
        <f>LRVs!BG311</f>
        <v>Virus</v>
      </c>
      <c r="F319" s="13" t="str">
        <f>IF(LRVs!BH311="","",LRVs!BH311)</f>
        <v>Coxsackievirus</v>
      </c>
      <c r="G319">
        <f>IF(LRVs!BL311="","",LRVs!BL311)</f>
        <v>1</v>
      </c>
    </row>
    <row r="320" spans="2:7" x14ac:dyDescent="0.3">
      <c r="B320">
        <v>328</v>
      </c>
      <c r="C320" s="13" t="str">
        <f>_xlfn.XLOOKUP(B320,LRV[id],LRV[source])</f>
        <v>Keegan et al. (2012)</v>
      </c>
      <c r="D320" s="13" t="str">
        <f>LRVs!C312</f>
        <v>Chlorine</v>
      </c>
      <c r="E320" s="13" t="str">
        <f>LRVs!BG312</f>
        <v>Virus</v>
      </c>
      <c r="F320" s="13" t="str">
        <f>IF(LRVs!BH312="","",LRVs!BH312)</f>
        <v>Coxsackievirus</v>
      </c>
      <c r="G320">
        <f>IF(LRVs!BL312="","",LRVs!BL312)</f>
        <v>2</v>
      </c>
    </row>
    <row r="321" spans="2:7" x14ac:dyDescent="0.3">
      <c r="B321">
        <v>329</v>
      </c>
      <c r="C321" s="13" t="str">
        <f>_xlfn.XLOOKUP(B321,LRV[id],LRV[source])</f>
        <v>Keegan et al. (2012)</v>
      </c>
      <c r="D321" s="13" t="str">
        <f>LRVs!C313</f>
        <v>Chlorine</v>
      </c>
      <c r="E321" s="13" t="str">
        <f>LRVs!BG313</f>
        <v>Virus</v>
      </c>
      <c r="F321" s="13" t="str">
        <f>IF(LRVs!BH313="","",LRVs!BH313)</f>
        <v>Coxsackievirus</v>
      </c>
      <c r="G321">
        <f>IF(LRVs!BL313="","",LRVs!BL313)</f>
        <v>3</v>
      </c>
    </row>
    <row r="322" spans="2:7" x14ac:dyDescent="0.3">
      <c r="B322">
        <v>330</v>
      </c>
      <c r="C322" s="13" t="str">
        <f>_xlfn.XLOOKUP(B322,LRV[id],LRV[source])</f>
        <v>Keegan et al. (2012)</v>
      </c>
      <c r="D322" s="13" t="str">
        <f>LRVs!C314</f>
        <v>Chlorine</v>
      </c>
      <c r="E322" s="13" t="str">
        <f>LRVs!BG314</f>
        <v>Virus</v>
      </c>
      <c r="F322" s="13" t="str">
        <f>IF(LRVs!BH314="","",LRVs!BH314)</f>
        <v>Coxsackievirus</v>
      </c>
      <c r="G322">
        <f>IF(LRVs!BL314="","",LRVs!BL314)</f>
        <v>4</v>
      </c>
    </row>
    <row r="323" spans="2:7" x14ac:dyDescent="0.3">
      <c r="B323">
        <v>331</v>
      </c>
      <c r="C323" s="13" t="str">
        <f>_xlfn.XLOOKUP(B323,LRV[id],LRV[source])</f>
        <v>Keegan et al. (2012)</v>
      </c>
      <c r="D323" s="13" t="str">
        <f>LRVs!C315</f>
        <v>Chlorine</v>
      </c>
      <c r="E323" s="13" t="str">
        <f>LRVs!BG315</f>
        <v>Virus</v>
      </c>
      <c r="F323" s="13" t="str">
        <f>IF(LRVs!BH315="","",LRVs!BH315)</f>
        <v>Coxsackievirus</v>
      </c>
      <c r="G323">
        <f>IF(LRVs!BL315="","",LRVs!BL315)</f>
        <v>1</v>
      </c>
    </row>
    <row r="324" spans="2:7" x14ac:dyDescent="0.3">
      <c r="B324">
        <v>332</v>
      </c>
      <c r="C324" s="13" t="str">
        <f>_xlfn.XLOOKUP(B324,LRV[id],LRV[source])</f>
        <v>Keegan et al. (2012)</v>
      </c>
      <c r="D324" s="13" t="str">
        <f>LRVs!C316</f>
        <v>Chlorine</v>
      </c>
      <c r="E324" s="13" t="str">
        <f>LRVs!BG316</f>
        <v>Virus</v>
      </c>
      <c r="F324" s="13" t="str">
        <f>IF(LRVs!BH316="","",LRVs!BH316)</f>
        <v>Coxsackievirus</v>
      </c>
      <c r="G324">
        <f>IF(LRVs!BL316="","",LRVs!BL316)</f>
        <v>2</v>
      </c>
    </row>
    <row r="325" spans="2:7" x14ac:dyDescent="0.3">
      <c r="B325">
        <v>333</v>
      </c>
      <c r="C325" s="13" t="str">
        <f>_xlfn.XLOOKUP(B325,LRV[id],LRV[source])</f>
        <v>Keegan et al. (2012)</v>
      </c>
      <c r="D325" s="13" t="str">
        <f>LRVs!C317</f>
        <v>Chlorine</v>
      </c>
      <c r="E325" s="13" t="str">
        <f>LRVs!BG317</f>
        <v>Virus</v>
      </c>
      <c r="F325" s="13" t="str">
        <f>IF(LRVs!BH317="","",LRVs!BH317)</f>
        <v>Coxsackievirus</v>
      </c>
      <c r="G325">
        <f>IF(LRVs!BL317="","",LRVs!BL317)</f>
        <v>3</v>
      </c>
    </row>
    <row r="326" spans="2:7" x14ac:dyDescent="0.3">
      <c r="B326">
        <v>334</v>
      </c>
      <c r="C326" s="13" t="str">
        <f>_xlfn.XLOOKUP(B326,LRV[id],LRV[source])</f>
        <v>Keegan et al. (2012)</v>
      </c>
      <c r="D326" s="13" t="str">
        <f>LRVs!C318</f>
        <v>Chlorine</v>
      </c>
      <c r="E326" s="13" t="str">
        <f>LRVs!BG318</f>
        <v>Virus</v>
      </c>
      <c r="F326" s="13" t="str">
        <f>IF(LRVs!BH318="","",LRVs!BH318)</f>
        <v>Coxsackievirus</v>
      </c>
      <c r="G326">
        <f>IF(LRVs!BL318="","",LRVs!BL318)</f>
        <v>4</v>
      </c>
    </row>
    <row r="327" spans="2:7" x14ac:dyDescent="0.3">
      <c r="B327">
        <v>335</v>
      </c>
      <c r="C327" s="13" t="str">
        <f>_xlfn.XLOOKUP(B327,LRV[id],LRV[source])</f>
        <v>Keegan et al. (2012)</v>
      </c>
      <c r="D327" s="13" t="str">
        <f>LRVs!C319</f>
        <v>Chlorine</v>
      </c>
      <c r="E327" s="13" t="str">
        <f>LRVs!BG319</f>
        <v>Virus</v>
      </c>
      <c r="F327" s="13" t="str">
        <f>IF(LRVs!BH319="","",LRVs!BH319)</f>
        <v>Coxsackievirus</v>
      </c>
      <c r="G327">
        <f>IF(LRVs!BL319="","",LRVs!BL319)</f>
        <v>1</v>
      </c>
    </row>
    <row r="328" spans="2:7" x14ac:dyDescent="0.3">
      <c r="B328">
        <v>336</v>
      </c>
      <c r="C328" s="13" t="str">
        <f>_xlfn.XLOOKUP(B328,LRV[id],LRV[source])</f>
        <v>Keegan et al. (2012)</v>
      </c>
      <c r="D328" s="13" t="str">
        <f>LRVs!C320</f>
        <v>Chlorine</v>
      </c>
      <c r="E328" s="13" t="str">
        <f>LRVs!BG320</f>
        <v>Virus</v>
      </c>
      <c r="F328" s="13" t="str">
        <f>IF(LRVs!BH320="","",LRVs!BH320)</f>
        <v>Coxsackievirus</v>
      </c>
      <c r="G328">
        <f>IF(LRVs!BL320="","",LRVs!BL320)</f>
        <v>2</v>
      </c>
    </row>
    <row r="329" spans="2:7" x14ac:dyDescent="0.3">
      <c r="B329">
        <v>337</v>
      </c>
      <c r="C329" s="13" t="str">
        <f>_xlfn.XLOOKUP(B329,LRV[id],LRV[source])</f>
        <v>Keegan et al. (2012)</v>
      </c>
      <c r="D329" s="13" t="str">
        <f>LRVs!C321</f>
        <v>Chlorine</v>
      </c>
      <c r="E329" s="13" t="str">
        <f>LRVs!BG321</f>
        <v>Virus</v>
      </c>
      <c r="F329" s="13" t="str">
        <f>IF(LRVs!BH321="","",LRVs!BH321)</f>
        <v>Coxsackievirus</v>
      </c>
      <c r="G329">
        <f>IF(LRVs!BL321="","",LRVs!BL321)</f>
        <v>3</v>
      </c>
    </row>
    <row r="330" spans="2:7" x14ac:dyDescent="0.3">
      <c r="B330">
        <v>338</v>
      </c>
      <c r="C330" s="13" t="str">
        <f>_xlfn.XLOOKUP(B330,LRV[id],LRV[source])</f>
        <v>Keegan et al. (2012)</v>
      </c>
      <c r="D330" s="13" t="str">
        <f>LRVs!C322</f>
        <v>Chlorine</v>
      </c>
      <c r="E330" s="13" t="str">
        <f>LRVs!BG322</f>
        <v>Virus</v>
      </c>
      <c r="F330" s="13" t="str">
        <f>IF(LRVs!BH322="","",LRVs!BH322)</f>
        <v>Coxsackievirus</v>
      </c>
      <c r="G330">
        <f>IF(LRVs!BL322="","",LRVs!BL322)</f>
        <v>4</v>
      </c>
    </row>
    <row r="331" spans="2:7" x14ac:dyDescent="0.3">
      <c r="B331">
        <v>339</v>
      </c>
      <c r="C331" s="13" t="str">
        <f>_xlfn.XLOOKUP(B331,LRV[id],LRV[source])</f>
        <v>Keegan et al. (2012)</v>
      </c>
      <c r="D331" s="13" t="str">
        <f>LRVs!C323</f>
        <v>Chlorine</v>
      </c>
      <c r="E331" s="13" t="str">
        <f>LRVs!BG323</f>
        <v>Virus</v>
      </c>
      <c r="F331" s="13" t="str">
        <f>IF(LRVs!BH323="","",LRVs!BH323)</f>
        <v>Coxsackievirus</v>
      </c>
      <c r="G331">
        <f>IF(LRVs!BL323="","",LRVs!BL323)</f>
        <v>1</v>
      </c>
    </row>
    <row r="332" spans="2:7" x14ac:dyDescent="0.3">
      <c r="B332">
        <v>340</v>
      </c>
      <c r="C332" s="13" t="str">
        <f>_xlfn.XLOOKUP(B332,LRV[id],LRV[source])</f>
        <v>Keegan et al. (2012)</v>
      </c>
      <c r="D332" s="13" t="str">
        <f>LRVs!C324</f>
        <v>Chlorine</v>
      </c>
      <c r="E332" s="13" t="str">
        <f>LRVs!BG324</f>
        <v>Virus</v>
      </c>
      <c r="F332" s="13" t="str">
        <f>IF(LRVs!BH324="","",LRVs!BH324)</f>
        <v>Coxsackievirus</v>
      </c>
      <c r="G332">
        <f>IF(LRVs!BL324="","",LRVs!BL324)</f>
        <v>2</v>
      </c>
    </row>
    <row r="333" spans="2:7" x14ac:dyDescent="0.3">
      <c r="B333">
        <v>341</v>
      </c>
      <c r="C333" s="13" t="str">
        <f>_xlfn.XLOOKUP(B333,LRV[id],LRV[source])</f>
        <v>Keegan et al. (2012)</v>
      </c>
      <c r="D333" s="13" t="str">
        <f>LRVs!C325</f>
        <v>Chlorine</v>
      </c>
      <c r="E333" s="13" t="str">
        <f>LRVs!BG325</f>
        <v>Virus</v>
      </c>
      <c r="F333" s="13" t="str">
        <f>IF(LRVs!BH325="","",LRVs!BH325)</f>
        <v>Coxsackievirus</v>
      </c>
      <c r="G333">
        <f>IF(LRVs!BL325="","",LRVs!BL325)</f>
        <v>3</v>
      </c>
    </row>
    <row r="334" spans="2:7" x14ac:dyDescent="0.3">
      <c r="B334">
        <v>342</v>
      </c>
      <c r="C334" s="13" t="str">
        <f>_xlfn.XLOOKUP(B334,LRV[id],LRV[source])</f>
        <v>Keegan et al. (2012)</v>
      </c>
      <c r="D334" s="13" t="str">
        <f>LRVs!C326</f>
        <v>Chlorine</v>
      </c>
      <c r="E334" s="13" t="str">
        <f>LRVs!BG326</f>
        <v>Virus</v>
      </c>
      <c r="F334" s="13" t="str">
        <f>IF(LRVs!BH326="","",LRVs!BH326)</f>
        <v>Coxsackievirus</v>
      </c>
      <c r="G334">
        <f>IF(LRVs!BL326="","",LRVs!BL326)</f>
        <v>4</v>
      </c>
    </row>
    <row r="335" spans="2:7" x14ac:dyDescent="0.3">
      <c r="B335">
        <v>343</v>
      </c>
      <c r="C335" s="13" t="str">
        <f>_xlfn.XLOOKUP(B335,LRV[id],LRV[source])</f>
        <v>Keegan et al. (2012)</v>
      </c>
      <c r="D335" s="13" t="str">
        <f>LRVs!C327</f>
        <v>Chlorine</v>
      </c>
      <c r="E335" s="13" t="str">
        <f>LRVs!BG327</f>
        <v>Virus</v>
      </c>
      <c r="F335" s="13" t="str">
        <f>IF(LRVs!BH327="","",LRVs!BH327)</f>
        <v>Coxsackievirus</v>
      </c>
      <c r="G335">
        <f>IF(LRVs!BL327="","",LRVs!BL327)</f>
        <v>1</v>
      </c>
    </row>
    <row r="336" spans="2:7" x14ac:dyDescent="0.3">
      <c r="B336">
        <v>344</v>
      </c>
      <c r="C336" s="13" t="str">
        <f>_xlfn.XLOOKUP(B336,LRV[id],LRV[source])</f>
        <v>Keegan et al. (2012)</v>
      </c>
      <c r="D336" s="13" t="str">
        <f>LRVs!C328</f>
        <v>Chlorine</v>
      </c>
      <c r="E336" s="13" t="str">
        <f>LRVs!BG328</f>
        <v>Virus</v>
      </c>
      <c r="F336" s="13" t="str">
        <f>IF(LRVs!BH328="","",LRVs!BH328)</f>
        <v>Coxsackievirus</v>
      </c>
      <c r="G336">
        <f>IF(LRVs!BL328="","",LRVs!BL328)</f>
        <v>2</v>
      </c>
    </row>
    <row r="337" spans="2:7" x14ac:dyDescent="0.3">
      <c r="B337">
        <v>345</v>
      </c>
      <c r="C337" s="13" t="str">
        <f>_xlfn.XLOOKUP(B337,LRV[id],LRV[source])</f>
        <v>Keegan et al. (2012)</v>
      </c>
      <c r="D337" s="13" t="str">
        <f>LRVs!C329</f>
        <v>Chlorine</v>
      </c>
      <c r="E337" s="13" t="str">
        <f>LRVs!BG329</f>
        <v>Virus</v>
      </c>
      <c r="F337" s="13" t="str">
        <f>IF(LRVs!BH329="","",LRVs!BH329)</f>
        <v>Coxsackievirus</v>
      </c>
      <c r="G337">
        <f>IF(LRVs!BL329="","",LRVs!BL329)</f>
        <v>3</v>
      </c>
    </row>
    <row r="338" spans="2:7" x14ac:dyDescent="0.3">
      <c r="B338">
        <v>346</v>
      </c>
      <c r="C338" s="13" t="str">
        <f>_xlfn.XLOOKUP(B338,LRV[id],LRV[source])</f>
        <v>Keegan et al. (2012)</v>
      </c>
      <c r="D338" s="13" t="str">
        <f>LRVs!C330</f>
        <v>Chlorine</v>
      </c>
      <c r="E338" s="13" t="str">
        <f>LRVs!BG330</f>
        <v>Virus</v>
      </c>
      <c r="F338" s="13" t="str">
        <f>IF(LRVs!BH330="","",LRVs!BH330)</f>
        <v>Coxsackievirus</v>
      </c>
      <c r="G338">
        <f>IF(LRVs!BL330="","",LRVs!BL330)</f>
        <v>4</v>
      </c>
    </row>
    <row r="339" spans="2:7" x14ac:dyDescent="0.3">
      <c r="B339">
        <v>347</v>
      </c>
      <c r="C339" s="13" t="str">
        <f>_xlfn.XLOOKUP(B339,LRV[id],LRV[source])</f>
        <v>Keegan et al. (2012)</v>
      </c>
      <c r="D339" s="13" t="str">
        <f>LRVs!C331</f>
        <v>Chlorine</v>
      </c>
      <c r="E339" s="13" t="str">
        <f>LRVs!BG331</f>
        <v>Virus</v>
      </c>
      <c r="F339" s="13" t="str">
        <f>IF(LRVs!BH331="","",LRVs!BH331)</f>
        <v>Coxsackievirus</v>
      </c>
      <c r="G339">
        <f>IF(LRVs!BL331="","",LRVs!BL331)</f>
        <v>1</v>
      </c>
    </row>
    <row r="340" spans="2:7" x14ac:dyDescent="0.3">
      <c r="B340">
        <v>348</v>
      </c>
      <c r="C340" s="13" t="str">
        <f>_xlfn.XLOOKUP(B340,LRV[id],LRV[source])</f>
        <v>Keegan et al. (2012)</v>
      </c>
      <c r="D340" s="13" t="str">
        <f>LRVs!C332</f>
        <v>Chlorine</v>
      </c>
      <c r="E340" s="13" t="str">
        <f>LRVs!BG332</f>
        <v>Virus</v>
      </c>
      <c r="F340" s="13" t="str">
        <f>IF(LRVs!BH332="","",LRVs!BH332)</f>
        <v>Coxsackievirus</v>
      </c>
      <c r="G340">
        <f>IF(LRVs!BL332="","",LRVs!BL332)</f>
        <v>2</v>
      </c>
    </row>
    <row r="341" spans="2:7" x14ac:dyDescent="0.3">
      <c r="B341">
        <v>349</v>
      </c>
      <c r="C341" s="13" t="str">
        <f>_xlfn.XLOOKUP(B341,LRV[id],LRV[source])</f>
        <v>Keegan et al. (2012)</v>
      </c>
      <c r="D341" s="13" t="str">
        <f>LRVs!C333</f>
        <v>Chlorine</v>
      </c>
      <c r="E341" s="13" t="str">
        <f>LRVs!BG333</f>
        <v>Virus</v>
      </c>
      <c r="F341" s="13" t="str">
        <f>IF(LRVs!BH333="","",LRVs!BH333)</f>
        <v>Coxsackievirus</v>
      </c>
      <c r="G341">
        <f>IF(LRVs!BL333="","",LRVs!BL333)</f>
        <v>3</v>
      </c>
    </row>
    <row r="342" spans="2:7" x14ac:dyDescent="0.3">
      <c r="B342">
        <v>350</v>
      </c>
      <c r="C342" s="13" t="str">
        <f>_xlfn.XLOOKUP(B342,LRV[id],LRV[source])</f>
        <v>Keegan et al. (2012)</v>
      </c>
      <c r="D342" s="13" t="str">
        <f>LRVs!C334</f>
        <v>Chlorine</v>
      </c>
      <c r="E342" s="13" t="str">
        <f>LRVs!BG334</f>
        <v>Virus</v>
      </c>
      <c r="F342" s="13" t="str">
        <f>IF(LRVs!BH334="","",LRVs!BH334)</f>
        <v>Coxsackievirus</v>
      </c>
      <c r="G342">
        <f>IF(LRVs!BL334="","",LRVs!BL334)</f>
        <v>4</v>
      </c>
    </row>
    <row r="343" spans="2:7" x14ac:dyDescent="0.3">
      <c r="B343">
        <v>351</v>
      </c>
      <c r="C343" s="13" t="str">
        <f>_xlfn.XLOOKUP(B343,LRV[id],LRV[source])</f>
        <v>Keegan et al. (2012)</v>
      </c>
      <c r="D343" s="13" t="str">
        <f>LRVs!C335</f>
        <v>Chlorine</v>
      </c>
      <c r="E343" s="13" t="str">
        <f>LRVs!BG335</f>
        <v>Virus</v>
      </c>
      <c r="F343" s="13" t="str">
        <f>IF(LRVs!BH335="","",LRVs!BH335)</f>
        <v>Coxsackievirus</v>
      </c>
      <c r="G343">
        <f>IF(LRVs!BL335="","",LRVs!BL335)</f>
        <v>1</v>
      </c>
    </row>
    <row r="344" spans="2:7" x14ac:dyDescent="0.3">
      <c r="B344">
        <v>352</v>
      </c>
      <c r="C344" s="13" t="str">
        <f>_xlfn.XLOOKUP(B344,LRV[id],LRV[source])</f>
        <v>Keegan et al. (2012)</v>
      </c>
      <c r="D344" s="13" t="str">
        <f>LRVs!C336</f>
        <v>Chlorine</v>
      </c>
      <c r="E344" s="13" t="str">
        <f>LRVs!BG336</f>
        <v>Virus</v>
      </c>
      <c r="F344" s="13" t="str">
        <f>IF(LRVs!BH336="","",LRVs!BH336)</f>
        <v>Coxsackievirus</v>
      </c>
      <c r="G344">
        <f>IF(LRVs!BL336="","",LRVs!BL336)</f>
        <v>2</v>
      </c>
    </row>
    <row r="345" spans="2:7" x14ac:dyDescent="0.3">
      <c r="B345">
        <v>353</v>
      </c>
      <c r="C345" s="13" t="str">
        <f>_xlfn.XLOOKUP(B345,LRV[id],LRV[source])</f>
        <v>Keegan et al. (2012)</v>
      </c>
      <c r="D345" s="13" t="str">
        <f>LRVs!C337</f>
        <v>Chlorine</v>
      </c>
      <c r="E345" s="13" t="str">
        <f>LRVs!BG337</f>
        <v>Virus</v>
      </c>
      <c r="F345" s="13" t="str">
        <f>IF(LRVs!BH337="","",LRVs!BH337)</f>
        <v>Coxsackievirus</v>
      </c>
      <c r="G345">
        <f>IF(LRVs!BL337="","",LRVs!BL337)</f>
        <v>3</v>
      </c>
    </row>
    <row r="346" spans="2:7" x14ac:dyDescent="0.3">
      <c r="B346">
        <v>354</v>
      </c>
      <c r="C346" s="13" t="str">
        <f>_xlfn.XLOOKUP(B346,LRV[id],LRV[source])</f>
        <v>Keegan et al. (2012)</v>
      </c>
      <c r="D346" s="13" t="str">
        <f>LRVs!C338</f>
        <v>Chlorine</v>
      </c>
      <c r="E346" s="13" t="str">
        <f>LRVs!BG338</f>
        <v>Virus</v>
      </c>
      <c r="F346" s="13" t="str">
        <f>IF(LRVs!BH338="","",LRVs!BH338)</f>
        <v>Coxsackievirus</v>
      </c>
      <c r="G346">
        <f>IF(LRVs!BL338="","",LRVs!BL338)</f>
        <v>4</v>
      </c>
    </row>
    <row r="347" spans="2:7" x14ac:dyDescent="0.3">
      <c r="B347">
        <v>355</v>
      </c>
      <c r="C347" s="13" t="str">
        <f>_xlfn.XLOOKUP(B347,LRV[id],LRV[source])</f>
        <v>Keegan et al. (2012)</v>
      </c>
      <c r="D347" s="13" t="str">
        <f>LRVs!C339</f>
        <v>Chlorine</v>
      </c>
      <c r="E347" s="13" t="str">
        <f>LRVs!BG339</f>
        <v>Virus</v>
      </c>
      <c r="F347" s="13" t="str">
        <f>IF(LRVs!BH339="","",LRVs!BH339)</f>
        <v>Coxsackievirus</v>
      </c>
      <c r="G347">
        <f>IF(LRVs!BL339="","",LRVs!BL339)</f>
        <v>1</v>
      </c>
    </row>
    <row r="348" spans="2:7" x14ac:dyDescent="0.3">
      <c r="B348">
        <v>356</v>
      </c>
      <c r="C348" s="13" t="str">
        <f>_xlfn.XLOOKUP(B348,LRV[id],LRV[source])</f>
        <v>Keegan et al. (2012)</v>
      </c>
      <c r="D348" s="13" t="str">
        <f>LRVs!C340</f>
        <v>Chlorine</v>
      </c>
      <c r="E348" s="13" t="str">
        <f>LRVs!BG340</f>
        <v>Virus</v>
      </c>
      <c r="F348" s="13" t="str">
        <f>IF(LRVs!BH340="","",LRVs!BH340)</f>
        <v>Coxsackievirus</v>
      </c>
      <c r="G348">
        <f>IF(LRVs!BL340="","",LRVs!BL340)</f>
        <v>2</v>
      </c>
    </row>
    <row r="349" spans="2:7" x14ac:dyDescent="0.3">
      <c r="B349">
        <v>357</v>
      </c>
      <c r="C349" s="13" t="str">
        <f>_xlfn.XLOOKUP(B349,LRV[id],LRV[source])</f>
        <v>Keegan et al. (2012)</v>
      </c>
      <c r="D349" s="13" t="str">
        <f>LRVs!C341</f>
        <v>Chlorine</v>
      </c>
      <c r="E349" s="13" t="str">
        <f>LRVs!BG341</f>
        <v>Virus</v>
      </c>
      <c r="F349" s="13" t="str">
        <f>IF(LRVs!BH341="","",LRVs!BH341)</f>
        <v>Coxsackievirus</v>
      </c>
      <c r="G349">
        <f>IF(LRVs!BL341="","",LRVs!BL341)</f>
        <v>3</v>
      </c>
    </row>
    <row r="350" spans="2:7" x14ac:dyDescent="0.3">
      <c r="B350">
        <v>358</v>
      </c>
      <c r="C350" s="13" t="str">
        <f>_xlfn.XLOOKUP(B350,LRV[id],LRV[source])</f>
        <v>Keegan et al. (2012)</v>
      </c>
      <c r="D350" s="13" t="str">
        <f>LRVs!C342</f>
        <v>Chlorine</v>
      </c>
      <c r="E350" s="13" t="str">
        <f>LRVs!BG342</f>
        <v>Virus</v>
      </c>
      <c r="F350" s="13" t="str">
        <f>IF(LRVs!BH342="","",LRVs!BH342)</f>
        <v>Coxsackievirus</v>
      </c>
      <c r="G350">
        <f>IF(LRVs!BL342="","",LRVs!BL342)</f>
        <v>4</v>
      </c>
    </row>
    <row r="351" spans="2:7" x14ac:dyDescent="0.3">
      <c r="B351">
        <v>359</v>
      </c>
      <c r="C351" s="13" t="str">
        <f>_xlfn.XLOOKUP(B351,LRV[id],LRV[source])</f>
        <v>Keegan et al. (2012)</v>
      </c>
      <c r="D351" s="13" t="str">
        <f>LRVs!C343</f>
        <v>Chloramination</v>
      </c>
      <c r="E351" s="13" t="str">
        <f>LRVs!BG343</f>
        <v>Virus</v>
      </c>
      <c r="F351" s="13" t="str">
        <f>IF(LRVs!BH343="","",LRVs!BH343)</f>
        <v>Adenovirus 2</v>
      </c>
      <c r="G351">
        <f>IF(LRVs!BL343="","",LRVs!BL343)</f>
        <v>1</v>
      </c>
    </row>
    <row r="352" spans="2:7" x14ac:dyDescent="0.3">
      <c r="B352">
        <v>360</v>
      </c>
      <c r="C352" s="13" t="str">
        <f>_xlfn.XLOOKUP(B352,LRV[id],LRV[source])</f>
        <v>Keegan et al. (2012)</v>
      </c>
      <c r="D352" s="13" t="str">
        <f>LRVs!C344</f>
        <v>Chloramination</v>
      </c>
      <c r="E352" s="13" t="str">
        <f>LRVs!BG344</f>
        <v>Virus</v>
      </c>
      <c r="F352" s="13" t="str">
        <f>IF(LRVs!BH344="","",LRVs!BH344)</f>
        <v>Adenovirus 2</v>
      </c>
      <c r="G352">
        <f>IF(LRVs!BL344="","",LRVs!BL344)</f>
        <v>2</v>
      </c>
    </row>
    <row r="353" spans="2:7" x14ac:dyDescent="0.3">
      <c r="B353">
        <v>361</v>
      </c>
      <c r="C353" s="13" t="str">
        <f>_xlfn.XLOOKUP(B353,LRV[id],LRV[source])</f>
        <v>Keegan et al. (2012)</v>
      </c>
      <c r="D353" s="13" t="str">
        <f>LRVs!C345</f>
        <v>Chloramination</v>
      </c>
      <c r="E353" s="13" t="str">
        <f>LRVs!BG345</f>
        <v>Virus</v>
      </c>
      <c r="F353" s="13" t="str">
        <f>IF(LRVs!BH345="","",LRVs!BH345)</f>
        <v>Adenovirus 2</v>
      </c>
      <c r="G353">
        <f>IF(LRVs!BL345="","",LRVs!BL345)</f>
        <v>3</v>
      </c>
    </row>
    <row r="354" spans="2:7" x14ac:dyDescent="0.3">
      <c r="B354">
        <v>362</v>
      </c>
      <c r="C354" s="13" t="str">
        <f>_xlfn.XLOOKUP(B354,LRV[id],LRV[source])</f>
        <v>Keegan et al. (2012)</v>
      </c>
      <c r="D354" s="13" t="str">
        <f>LRVs!C346</f>
        <v>Chloramination</v>
      </c>
      <c r="E354" s="13" t="str">
        <f>LRVs!BG346</f>
        <v>Virus</v>
      </c>
      <c r="F354" s="13" t="str">
        <f>IF(LRVs!BH346="","",LRVs!BH346)</f>
        <v>Adenovirus 2</v>
      </c>
      <c r="G354">
        <f>IF(LRVs!BL346="","",LRVs!BL346)</f>
        <v>4</v>
      </c>
    </row>
    <row r="355" spans="2:7" x14ac:dyDescent="0.3">
      <c r="B355">
        <v>363</v>
      </c>
      <c r="C355" s="13" t="str">
        <f>_xlfn.XLOOKUP(B355,LRV[id],LRV[source])</f>
        <v>Keegan et al. (2012)</v>
      </c>
      <c r="D355" s="13" t="str">
        <f>LRVs!C347</f>
        <v>Chloramination</v>
      </c>
      <c r="E355" s="13" t="str">
        <f>LRVs!BG347</f>
        <v>Virus</v>
      </c>
      <c r="F355" s="13" t="str">
        <f>IF(LRVs!BH347="","",LRVs!BH347)</f>
        <v>Adenovirus 2</v>
      </c>
      <c r="G355">
        <f>IF(LRVs!BL347="","",LRVs!BL347)</f>
        <v>1</v>
      </c>
    </row>
    <row r="356" spans="2:7" x14ac:dyDescent="0.3">
      <c r="B356">
        <v>364</v>
      </c>
      <c r="C356" s="13" t="str">
        <f>_xlfn.XLOOKUP(B356,LRV[id],LRV[source])</f>
        <v>Keegan et al. (2012)</v>
      </c>
      <c r="D356" s="13" t="str">
        <f>LRVs!C348</f>
        <v>Chloramination</v>
      </c>
      <c r="E356" s="13" t="str">
        <f>LRVs!BG348</f>
        <v>Virus</v>
      </c>
      <c r="F356" s="13" t="str">
        <f>IF(LRVs!BH348="","",LRVs!BH348)</f>
        <v>Adenovirus 2</v>
      </c>
      <c r="G356">
        <f>IF(LRVs!BL348="","",LRVs!BL348)</f>
        <v>2</v>
      </c>
    </row>
    <row r="357" spans="2:7" x14ac:dyDescent="0.3">
      <c r="B357">
        <v>365</v>
      </c>
      <c r="C357" s="13" t="str">
        <f>_xlfn.XLOOKUP(B357,LRV[id],LRV[source])</f>
        <v>Keegan et al. (2012)</v>
      </c>
      <c r="D357" s="13" t="str">
        <f>LRVs!C349</f>
        <v>Chloramination</v>
      </c>
      <c r="E357" s="13" t="str">
        <f>LRVs!BG349</f>
        <v>Virus</v>
      </c>
      <c r="F357" s="13" t="str">
        <f>IF(LRVs!BH349="","",LRVs!BH349)</f>
        <v>Adenovirus 2</v>
      </c>
      <c r="G357">
        <f>IF(LRVs!BL349="","",LRVs!BL349)</f>
        <v>3</v>
      </c>
    </row>
    <row r="358" spans="2:7" x14ac:dyDescent="0.3">
      <c r="B358">
        <v>366</v>
      </c>
      <c r="C358" s="13" t="str">
        <f>_xlfn.XLOOKUP(B358,LRV[id],LRV[source])</f>
        <v>Keegan et al. (2012)</v>
      </c>
      <c r="D358" s="13" t="str">
        <f>LRVs!C350</f>
        <v>Chloramination</v>
      </c>
      <c r="E358" s="13" t="str">
        <f>LRVs!BG350</f>
        <v>Virus</v>
      </c>
      <c r="F358" s="13" t="str">
        <f>IF(LRVs!BH350="","",LRVs!BH350)</f>
        <v>Adenovirus 2</v>
      </c>
      <c r="G358">
        <f>IF(LRVs!BL350="","",LRVs!BL350)</f>
        <v>4</v>
      </c>
    </row>
    <row r="359" spans="2:7" x14ac:dyDescent="0.3">
      <c r="B359">
        <v>367</v>
      </c>
      <c r="C359" s="13" t="str">
        <f>_xlfn.XLOOKUP(B359,LRV[id],LRV[source])</f>
        <v>Keegan et al. (2012)</v>
      </c>
      <c r="D359" s="13" t="str">
        <f>LRVs!C351</f>
        <v>Chloramination</v>
      </c>
      <c r="E359" s="13" t="str">
        <f>LRVs!BG351</f>
        <v>Virus</v>
      </c>
      <c r="F359" s="13" t="str">
        <f>IF(LRVs!BH351="","",LRVs!BH351)</f>
        <v>Adenovirus 2</v>
      </c>
      <c r="G359">
        <f>IF(LRVs!BL351="","",LRVs!BL351)</f>
        <v>1</v>
      </c>
    </row>
    <row r="360" spans="2:7" x14ac:dyDescent="0.3">
      <c r="B360">
        <v>368</v>
      </c>
      <c r="C360" s="13" t="str">
        <f>_xlfn.XLOOKUP(B360,LRV[id],LRV[source])</f>
        <v>Keegan et al. (2012)</v>
      </c>
      <c r="D360" s="13" t="str">
        <f>LRVs!C352</f>
        <v>Chloramination</v>
      </c>
      <c r="E360" s="13" t="str">
        <f>LRVs!BG352</f>
        <v>Virus</v>
      </c>
      <c r="F360" s="13" t="str">
        <f>IF(LRVs!BH352="","",LRVs!BH352)</f>
        <v>Adenovirus 2</v>
      </c>
      <c r="G360">
        <f>IF(LRVs!BL352="","",LRVs!BL352)</f>
        <v>2</v>
      </c>
    </row>
    <row r="361" spans="2:7" x14ac:dyDescent="0.3">
      <c r="B361">
        <v>369</v>
      </c>
      <c r="C361" s="13" t="str">
        <f>_xlfn.XLOOKUP(B361,LRV[id],LRV[source])</f>
        <v>Keegan et al. (2012)</v>
      </c>
      <c r="D361" s="13" t="str">
        <f>LRVs!C353</f>
        <v>Chloramination</v>
      </c>
      <c r="E361" s="13" t="str">
        <f>LRVs!BG353</f>
        <v>Virus</v>
      </c>
      <c r="F361" s="13" t="str">
        <f>IF(LRVs!BH353="","",LRVs!BH353)</f>
        <v>Adenovirus 2</v>
      </c>
      <c r="G361">
        <f>IF(LRVs!BL353="","",LRVs!BL353)</f>
        <v>3</v>
      </c>
    </row>
    <row r="362" spans="2:7" x14ac:dyDescent="0.3">
      <c r="B362">
        <v>370</v>
      </c>
      <c r="C362" s="13" t="str">
        <f>_xlfn.XLOOKUP(B362,LRV[id],LRV[source])</f>
        <v>Keegan et al. (2012)</v>
      </c>
      <c r="D362" s="13" t="str">
        <f>LRVs!C354</f>
        <v>Chloramination</v>
      </c>
      <c r="E362" s="13" t="str">
        <f>LRVs!BG354</f>
        <v>Virus</v>
      </c>
      <c r="F362" s="13" t="str">
        <f>IF(LRVs!BH354="","",LRVs!BH354)</f>
        <v>Adenovirus 2</v>
      </c>
      <c r="G362">
        <f>IF(LRVs!BL354="","",LRVs!BL354)</f>
        <v>4</v>
      </c>
    </row>
    <row r="363" spans="2:7" x14ac:dyDescent="0.3">
      <c r="B363">
        <v>371</v>
      </c>
      <c r="C363" s="13" t="str">
        <f>_xlfn.XLOOKUP(B363,LRV[id],LRV[source])</f>
        <v>Keegan et al. (2012)</v>
      </c>
      <c r="D363" s="13" t="str">
        <f>LRVs!C355</f>
        <v>Chloramination</v>
      </c>
      <c r="E363" s="13" t="str">
        <f>LRVs!BG355</f>
        <v>Virus</v>
      </c>
      <c r="F363" s="13" t="str">
        <f>IF(LRVs!BH355="","",LRVs!BH355)</f>
        <v>Adenovirus 2</v>
      </c>
      <c r="G363">
        <f>IF(LRVs!BL355="","",LRVs!BL355)</f>
        <v>1</v>
      </c>
    </row>
    <row r="364" spans="2:7" x14ac:dyDescent="0.3">
      <c r="B364">
        <v>372</v>
      </c>
      <c r="C364" s="13" t="str">
        <f>_xlfn.XLOOKUP(B364,LRV[id],LRV[source])</f>
        <v>Keegan et al. (2012)</v>
      </c>
      <c r="D364" s="13" t="str">
        <f>LRVs!C356</f>
        <v>Chloramination</v>
      </c>
      <c r="E364" s="13" t="str">
        <f>LRVs!BG356</f>
        <v>Virus</v>
      </c>
      <c r="F364" s="13" t="str">
        <f>IF(LRVs!BH356="","",LRVs!BH356)</f>
        <v>Adenovirus 2</v>
      </c>
      <c r="G364">
        <f>IF(LRVs!BL356="","",LRVs!BL356)</f>
        <v>2</v>
      </c>
    </row>
    <row r="365" spans="2:7" x14ac:dyDescent="0.3">
      <c r="B365">
        <v>373</v>
      </c>
      <c r="C365" s="13" t="str">
        <f>_xlfn.XLOOKUP(B365,LRV[id],LRV[source])</f>
        <v>Keegan et al. (2012)</v>
      </c>
      <c r="D365" s="13" t="str">
        <f>LRVs!C357</f>
        <v>Chloramination</v>
      </c>
      <c r="E365" s="13" t="str">
        <f>LRVs!BG357</f>
        <v>Virus</v>
      </c>
      <c r="F365" s="13" t="str">
        <f>IF(LRVs!BH357="","",LRVs!BH357)</f>
        <v>Adenovirus 2</v>
      </c>
      <c r="G365">
        <f>IF(LRVs!BL357="","",LRVs!BL357)</f>
        <v>3</v>
      </c>
    </row>
    <row r="366" spans="2:7" x14ac:dyDescent="0.3">
      <c r="B366">
        <v>374</v>
      </c>
      <c r="C366" s="13" t="str">
        <f>_xlfn.XLOOKUP(B366,LRV[id],LRV[source])</f>
        <v>Keegan et al. (2012)</v>
      </c>
      <c r="D366" s="13" t="str">
        <f>LRVs!C358</f>
        <v>Chloramination</v>
      </c>
      <c r="E366" s="13" t="str">
        <f>LRVs!BG358</f>
        <v>Virus</v>
      </c>
      <c r="F366" s="13" t="str">
        <f>IF(LRVs!BH358="","",LRVs!BH358)</f>
        <v>Adenovirus 2</v>
      </c>
      <c r="G366">
        <f>IF(LRVs!BL358="","",LRVs!BL358)</f>
        <v>4</v>
      </c>
    </row>
    <row r="367" spans="2:7" x14ac:dyDescent="0.3">
      <c r="B367">
        <v>375</v>
      </c>
      <c r="C367" s="13" t="str">
        <f>_xlfn.XLOOKUP(B367,LRV[id],LRV[source])</f>
        <v>Keegan et al. (2012)</v>
      </c>
      <c r="D367" s="13" t="str">
        <f>LRVs!C359</f>
        <v>Chloramination</v>
      </c>
      <c r="E367" s="13" t="str">
        <f>LRVs!BG359</f>
        <v>Virus</v>
      </c>
      <c r="F367" s="13" t="str">
        <f>IF(LRVs!BH359="","",LRVs!BH359)</f>
        <v>Adenovirus 2</v>
      </c>
      <c r="G367">
        <f>IF(LRVs!BL359="","",LRVs!BL359)</f>
        <v>1</v>
      </c>
    </row>
    <row r="368" spans="2:7" x14ac:dyDescent="0.3">
      <c r="B368">
        <v>376</v>
      </c>
      <c r="C368" s="13" t="str">
        <f>_xlfn.XLOOKUP(B368,LRV[id],LRV[source])</f>
        <v>Keegan et al. (2012)</v>
      </c>
      <c r="D368" s="13" t="str">
        <f>LRVs!C360</f>
        <v>Chloramination</v>
      </c>
      <c r="E368" s="13" t="str">
        <f>LRVs!BG360</f>
        <v>Virus</v>
      </c>
      <c r="F368" s="13" t="str">
        <f>IF(LRVs!BH360="","",LRVs!BH360)</f>
        <v>Adenovirus 2</v>
      </c>
      <c r="G368">
        <f>IF(LRVs!BL360="","",LRVs!BL360)</f>
        <v>2</v>
      </c>
    </row>
    <row r="369" spans="2:7" x14ac:dyDescent="0.3">
      <c r="B369">
        <v>377</v>
      </c>
      <c r="C369" s="13" t="str">
        <f>_xlfn.XLOOKUP(B369,LRV[id],LRV[source])</f>
        <v>Keegan et al. (2012)</v>
      </c>
      <c r="D369" s="13" t="str">
        <f>LRVs!C361</f>
        <v>Chloramination</v>
      </c>
      <c r="E369" s="13" t="str">
        <f>LRVs!BG361</f>
        <v>Virus</v>
      </c>
      <c r="F369" s="13" t="str">
        <f>IF(LRVs!BH361="","",LRVs!BH361)</f>
        <v>Adenovirus 2</v>
      </c>
      <c r="G369">
        <f>IF(LRVs!BL361="","",LRVs!BL361)</f>
        <v>3</v>
      </c>
    </row>
    <row r="370" spans="2:7" x14ac:dyDescent="0.3">
      <c r="B370">
        <v>378</v>
      </c>
      <c r="C370" s="13" t="str">
        <f>_xlfn.XLOOKUP(B370,LRV[id],LRV[source])</f>
        <v>Keegan et al. (2012)</v>
      </c>
      <c r="D370" s="13" t="str">
        <f>LRVs!C362</f>
        <v>Chloramination</v>
      </c>
      <c r="E370" s="13" t="str">
        <f>LRVs!BG362</f>
        <v>Virus</v>
      </c>
      <c r="F370" s="13" t="str">
        <f>IF(LRVs!BH362="","",LRVs!BH362)</f>
        <v>Adenovirus 2</v>
      </c>
      <c r="G370">
        <f>IF(LRVs!BL362="","",LRVs!BL362)</f>
        <v>4</v>
      </c>
    </row>
    <row r="371" spans="2:7" x14ac:dyDescent="0.3">
      <c r="B371">
        <v>379</v>
      </c>
      <c r="C371" s="13" t="str">
        <f>_xlfn.XLOOKUP(B371,LRV[id],LRV[source])</f>
        <v>Keegan et al. (2012)</v>
      </c>
      <c r="D371" s="13" t="str">
        <f>LRVs!C363</f>
        <v>Chloramination</v>
      </c>
      <c r="E371" s="13" t="str">
        <f>LRVs!BG363</f>
        <v>Virus</v>
      </c>
      <c r="F371" s="13" t="str">
        <f>IF(LRVs!BH363="","",LRVs!BH363)</f>
        <v>Adenovirus 2</v>
      </c>
      <c r="G371">
        <f>IF(LRVs!BL363="","",LRVs!BL363)</f>
        <v>1</v>
      </c>
    </row>
    <row r="372" spans="2:7" x14ac:dyDescent="0.3">
      <c r="B372">
        <v>380</v>
      </c>
      <c r="C372" s="13" t="str">
        <f>_xlfn.XLOOKUP(B372,LRV[id],LRV[source])</f>
        <v>Keegan et al. (2012)</v>
      </c>
      <c r="D372" s="13" t="str">
        <f>LRVs!C364</f>
        <v>Chloramination</v>
      </c>
      <c r="E372" s="13" t="str">
        <f>LRVs!BG364</f>
        <v>Virus</v>
      </c>
      <c r="F372" s="13" t="str">
        <f>IF(LRVs!BH364="","",LRVs!BH364)</f>
        <v>Adenovirus 2</v>
      </c>
      <c r="G372">
        <f>IF(LRVs!BL364="","",LRVs!BL364)</f>
        <v>2</v>
      </c>
    </row>
    <row r="373" spans="2:7" x14ac:dyDescent="0.3">
      <c r="B373">
        <v>381</v>
      </c>
      <c r="C373" s="13" t="str">
        <f>_xlfn.XLOOKUP(B373,LRV[id],LRV[source])</f>
        <v>Keegan et al. (2012)</v>
      </c>
      <c r="D373" s="13" t="str">
        <f>LRVs!C365</f>
        <v>Chloramination</v>
      </c>
      <c r="E373" s="13" t="str">
        <f>LRVs!BG365</f>
        <v>Virus</v>
      </c>
      <c r="F373" s="13" t="str">
        <f>IF(LRVs!BH365="","",LRVs!BH365)</f>
        <v>Adenovirus 2</v>
      </c>
      <c r="G373">
        <f>IF(LRVs!BL365="","",LRVs!BL365)</f>
        <v>3</v>
      </c>
    </row>
    <row r="374" spans="2:7" x14ac:dyDescent="0.3">
      <c r="B374">
        <v>382</v>
      </c>
      <c r="C374" s="13" t="str">
        <f>_xlfn.XLOOKUP(B374,LRV[id],LRV[source])</f>
        <v>Keegan et al. (2012)</v>
      </c>
      <c r="D374" s="13" t="str">
        <f>LRVs!C366</f>
        <v>Chloramination</v>
      </c>
      <c r="E374" s="13" t="str">
        <f>LRVs!BG366</f>
        <v>Virus</v>
      </c>
      <c r="F374" s="13" t="str">
        <f>IF(LRVs!BH366="","",LRVs!BH366)</f>
        <v>Adenovirus 2</v>
      </c>
      <c r="G374">
        <f>IF(LRVs!BL366="","",LRVs!BL366)</f>
        <v>4</v>
      </c>
    </row>
    <row r="375" spans="2:7" x14ac:dyDescent="0.3">
      <c r="B375">
        <v>383</v>
      </c>
      <c r="C375" s="13" t="str">
        <f>_xlfn.XLOOKUP(B375,LRV[id],LRV[source])</f>
        <v>Keegan et al. (2012)</v>
      </c>
      <c r="D375" s="13" t="str">
        <f>LRVs!C367</f>
        <v>Chloramination</v>
      </c>
      <c r="E375" s="13" t="str">
        <f>LRVs!BG367</f>
        <v>Virus</v>
      </c>
      <c r="F375" s="13" t="str">
        <f>IF(LRVs!BH367="","",LRVs!BH367)</f>
        <v>Adenovirus 2</v>
      </c>
      <c r="G375">
        <f>IF(LRVs!BL367="","",LRVs!BL367)</f>
        <v>1</v>
      </c>
    </row>
    <row r="376" spans="2:7" x14ac:dyDescent="0.3">
      <c r="B376">
        <v>384</v>
      </c>
      <c r="C376" s="13" t="str">
        <f>_xlfn.XLOOKUP(B376,LRV[id],LRV[source])</f>
        <v>Keegan et al. (2012)</v>
      </c>
      <c r="D376" s="13" t="str">
        <f>LRVs!C368</f>
        <v>Chloramination</v>
      </c>
      <c r="E376" s="13" t="str">
        <f>LRVs!BG368</f>
        <v>Virus</v>
      </c>
      <c r="F376" s="13" t="str">
        <f>IF(LRVs!BH368="","",LRVs!BH368)</f>
        <v>Adenovirus 2</v>
      </c>
      <c r="G376">
        <f>IF(LRVs!BL368="","",LRVs!BL368)</f>
        <v>2</v>
      </c>
    </row>
    <row r="377" spans="2:7" x14ac:dyDescent="0.3">
      <c r="B377">
        <v>385</v>
      </c>
      <c r="C377" s="13" t="str">
        <f>_xlfn.XLOOKUP(B377,LRV[id],LRV[source])</f>
        <v>Keegan et al. (2012)</v>
      </c>
      <c r="D377" s="13" t="str">
        <f>LRVs!C369</f>
        <v>Chloramination</v>
      </c>
      <c r="E377" s="13" t="str">
        <f>LRVs!BG369</f>
        <v>Virus</v>
      </c>
      <c r="F377" s="13" t="str">
        <f>IF(LRVs!BH369="","",LRVs!BH369)</f>
        <v>Adenovirus 2</v>
      </c>
      <c r="G377">
        <f>IF(LRVs!BL369="","",LRVs!BL369)</f>
        <v>3</v>
      </c>
    </row>
    <row r="378" spans="2:7" x14ac:dyDescent="0.3">
      <c r="B378">
        <v>386</v>
      </c>
      <c r="C378" s="13" t="str">
        <f>_xlfn.XLOOKUP(B378,LRV[id],LRV[source])</f>
        <v>Keegan et al. (2012)</v>
      </c>
      <c r="D378" s="13" t="str">
        <f>LRVs!C370</f>
        <v>Chloramination</v>
      </c>
      <c r="E378" s="13" t="str">
        <f>LRVs!BG370</f>
        <v>Virus</v>
      </c>
      <c r="F378" s="13" t="str">
        <f>IF(LRVs!BH370="","",LRVs!BH370)</f>
        <v>Adenovirus 2</v>
      </c>
      <c r="G378">
        <f>IF(LRVs!BL370="","",LRVs!BL370)</f>
        <v>4</v>
      </c>
    </row>
    <row r="379" spans="2:7" x14ac:dyDescent="0.3">
      <c r="B379">
        <v>387</v>
      </c>
      <c r="C379" s="13" t="str">
        <f>_xlfn.XLOOKUP(B379,LRV[id],LRV[source])</f>
        <v>Keegan et al. (2012)</v>
      </c>
      <c r="D379" s="13" t="str">
        <f>LRVs!C371</f>
        <v>Chloramination</v>
      </c>
      <c r="E379" s="13" t="str">
        <f>LRVs!BG371</f>
        <v>Virus</v>
      </c>
      <c r="F379" s="13" t="str">
        <f>IF(LRVs!BH371="","",LRVs!BH371)</f>
        <v>Adenovirus 2</v>
      </c>
      <c r="G379">
        <f>IF(LRVs!BL371="","",LRVs!BL371)</f>
        <v>1</v>
      </c>
    </row>
    <row r="380" spans="2:7" x14ac:dyDescent="0.3">
      <c r="B380">
        <v>388</v>
      </c>
      <c r="C380" s="13" t="str">
        <f>_xlfn.XLOOKUP(B380,LRV[id],LRV[source])</f>
        <v>Keegan et al. (2012)</v>
      </c>
      <c r="D380" s="13" t="str">
        <f>LRVs!C372</f>
        <v>Chloramination</v>
      </c>
      <c r="E380" s="13" t="str">
        <f>LRVs!BG372</f>
        <v>Virus</v>
      </c>
      <c r="F380" s="13" t="str">
        <f>IF(LRVs!BH372="","",LRVs!BH372)</f>
        <v>Adenovirus 2</v>
      </c>
      <c r="G380">
        <f>IF(LRVs!BL372="","",LRVs!BL372)</f>
        <v>2</v>
      </c>
    </row>
    <row r="381" spans="2:7" x14ac:dyDescent="0.3">
      <c r="B381">
        <v>389</v>
      </c>
      <c r="C381" s="13" t="str">
        <f>_xlfn.XLOOKUP(B381,LRV[id],LRV[source])</f>
        <v>Keegan et al. (2012)</v>
      </c>
      <c r="D381" s="13" t="str">
        <f>LRVs!C373</f>
        <v>Chloramination</v>
      </c>
      <c r="E381" s="13" t="str">
        <f>LRVs!BG373</f>
        <v>Virus</v>
      </c>
      <c r="F381" s="13" t="str">
        <f>IF(LRVs!BH373="","",LRVs!BH373)</f>
        <v>Adenovirus 2</v>
      </c>
      <c r="G381">
        <f>IF(LRVs!BL373="","",LRVs!BL373)</f>
        <v>3</v>
      </c>
    </row>
    <row r="382" spans="2:7" x14ac:dyDescent="0.3">
      <c r="B382">
        <v>390</v>
      </c>
      <c r="C382" s="13" t="str">
        <f>_xlfn.XLOOKUP(B382,LRV[id],LRV[source])</f>
        <v>Keegan et al. (2012)</v>
      </c>
      <c r="D382" s="13" t="str">
        <f>LRVs!C374</f>
        <v>Chloramination</v>
      </c>
      <c r="E382" s="13" t="str">
        <f>LRVs!BG374</f>
        <v>Virus</v>
      </c>
      <c r="F382" s="13" t="str">
        <f>IF(LRVs!BH374="","",LRVs!BH374)</f>
        <v>Adenovirus 2</v>
      </c>
      <c r="G382">
        <f>IF(LRVs!BL374="","",LRVs!BL374)</f>
        <v>4</v>
      </c>
    </row>
    <row r="383" spans="2:7" x14ac:dyDescent="0.3">
      <c r="B383">
        <v>391</v>
      </c>
      <c r="C383" s="13" t="str">
        <f>_xlfn.XLOOKUP(B383,LRV[id],LRV[source])</f>
        <v>Francy et al. (2012)</v>
      </c>
      <c r="D383" s="13" t="str">
        <f>LRVs!C375</f>
        <v>Chloramination</v>
      </c>
      <c r="E383" s="13" t="str">
        <f>LRVs!BG375</f>
        <v>Virus</v>
      </c>
      <c r="F383" s="13" t="str">
        <f>IF(LRVs!BH375="","",LRVs!BH375)</f>
        <v>Adenovirus 2</v>
      </c>
      <c r="G383">
        <f>IF(LRVs!BL375="","",LRVs!BL375)</f>
        <v>1</v>
      </c>
    </row>
    <row r="384" spans="2:7" x14ac:dyDescent="0.3">
      <c r="B384">
        <v>392</v>
      </c>
      <c r="C384" s="13" t="str">
        <f>_xlfn.XLOOKUP(B384,LRV[id],LRV[source])</f>
        <v>Francy et al. (2012)</v>
      </c>
      <c r="D384" s="13" t="str">
        <f>LRVs!C376</f>
        <v>Chloramination</v>
      </c>
      <c r="E384" s="13" t="str">
        <f>LRVs!BG376</f>
        <v>Virus</v>
      </c>
      <c r="F384" s="13" t="str">
        <f>IF(LRVs!BH376="","",LRVs!BH376)</f>
        <v>Adenovirus 2</v>
      </c>
      <c r="G384">
        <f>IF(LRVs!BL376="","",LRVs!BL376)</f>
        <v>2</v>
      </c>
    </row>
    <row r="385" spans="2:7" x14ac:dyDescent="0.3">
      <c r="B385">
        <v>393</v>
      </c>
      <c r="C385" s="13" t="str">
        <f>_xlfn.XLOOKUP(B385,LRV[id],LRV[source])</f>
        <v>Francy et al. (2012)</v>
      </c>
      <c r="D385" s="13" t="str">
        <f>LRVs!C377</f>
        <v>Chloramination</v>
      </c>
      <c r="E385" s="13" t="str">
        <f>LRVs!BG377</f>
        <v>Virus</v>
      </c>
      <c r="F385" s="13" t="str">
        <f>IF(LRVs!BH377="","",LRVs!BH377)</f>
        <v>Adenovirus 2</v>
      </c>
      <c r="G385">
        <f>IF(LRVs!BL377="","",LRVs!BL377)</f>
        <v>3</v>
      </c>
    </row>
    <row r="386" spans="2:7" x14ac:dyDescent="0.3">
      <c r="B386">
        <v>394</v>
      </c>
      <c r="C386" s="13" t="str">
        <f>_xlfn.XLOOKUP(B386,LRV[id],LRV[source])</f>
        <v>Francy et al. (2012)</v>
      </c>
      <c r="D386" s="13" t="str">
        <f>LRVs!C378</f>
        <v>Chloramination</v>
      </c>
      <c r="E386" s="13" t="str">
        <f>LRVs!BG378</f>
        <v>Virus</v>
      </c>
      <c r="F386" s="13" t="str">
        <f>IF(LRVs!BH378="","",LRVs!BH378)</f>
        <v>Adenovirus 2</v>
      </c>
      <c r="G386">
        <f>IF(LRVs!BL378="","",LRVs!BL378)</f>
        <v>4</v>
      </c>
    </row>
    <row r="387" spans="2:7" x14ac:dyDescent="0.3">
      <c r="B387">
        <v>395</v>
      </c>
      <c r="C387" s="13" t="str">
        <f>_xlfn.XLOOKUP(B387,LRV[id],LRV[source])</f>
        <v>Francy et al. (2012)</v>
      </c>
      <c r="D387" s="13" t="str">
        <f>LRVs!C379</f>
        <v>Chloramination</v>
      </c>
      <c r="E387" s="13" t="str">
        <f>LRVs!BG379</f>
        <v>Virus</v>
      </c>
      <c r="F387" s="13" t="str">
        <f>IF(LRVs!BH379="","",LRVs!BH379)</f>
        <v>F-RNA phage</v>
      </c>
      <c r="G387">
        <f>IF(LRVs!BL379="","",LRVs!BL379)</f>
        <v>2</v>
      </c>
    </row>
    <row r="388" spans="2:7" x14ac:dyDescent="0.3">
      <c r="B388">
        <v>396</v>
      </c>
      <c r="C388" s="13" t="str">
        <f>_xlfn.XLOOKUP(B388,LRV[id],LRV[source])</f>
        <v>Francy et al. (2012)</v>
      </c>
      <c r="D388" s="13" t="str">
        <f>LRVs!C380</f>
        <v>Chloramination</v>
      </c>
      <c r="E388" s="13" t="str">
        <f>LRVs!BG380</f>
        <v>Virus</v>
      </c>
      <c r="F388" s="13" t="str">
        <f>IF(LRVs!BH380="","",LRVs!BH380)</f>
        <v>F-RNA phage</v>
      </c>
      <c r="G388">
        <f>IF(LRVs!BL380="","",LRVs!BL380)</f>
        <v>2</v>
      </c>
    </row>
    <row r="389" spans="2:7" x14ac:dyDescent="0.3">
      <c r="B389">
        <v>397</v>
      </c>
      <c r="C389" s="13" t="str">
        <f>_xlfn.XLOOKUP(B389,LRV[id],LRV[source])</f>
        <v>Francy et al. (2012)</v>
      </c>
      <c r="D389" s="13" t="str">
        <f>LRVs!C381</f>
        <v>Chloramination</v>
      </c>
      <c r="E389" s="13" t="str">
        <f>LRVs!BG381</f>
        <v>Virus</v>
      </c>
      <c r="F389" s="13" t="str">
        <f>IF(LRVs!BH381="","",LRVs!BH381)</f>
        <v>F-RNA phage</v>
      </c>
      <c r="G389">
        <f>IF(LRVs!BL381="","",LRVs!BL381)</f>
        <v>1</v>
      </c>
    </row>
    <row r="390" spans="2:7" x14ac:dyDescent="0.3">
      <c r="B390">
        <v>398</v>
      </c>
      <c r="C390" s="13" t="str">
        <f>_xlfn.XLOOKUP(B390,LRV[id],LRV[source])</f>
        <v>Francy et al. (2012)</v>
      </c>
      <c r="D390" s="13" t="str">
        <f>LRVs!C382</f>
        <v>Chloramination</v>
      </c>
      <c r="E390" s="13" t="str">
        <f>LRVs!BG382</f>
        <v>Virus</v>
      </c>
      <c r="F390" s="13" t="str">
        <f>IF(LRVs!BH382="","",LRVs!BH382)</f>
        <v>F-RNA phage</v>
      </c>
      <c r="G390">
        <f>IF(LRVs!BL382="","",LRVs!BL382)</f>
        <v>1</v>
      </c>
    </row>
    <row r="391" spans="2:7" x14ac:dyDescent="0.3">
      <c r="B391">
        <v>399</v>
      </c>
      <c r="C391" s="13" t="str">
        <f>_xlfn.XLOOKUP(B391,LRV[id],LRV[source])</f>
        <v>Francy et al. (2012)</v>
      </c>
      <c r="D391" s="13" t="str">
        <f>LRVs!C383</f>
        <v>Chloramination</v>
      </c>
      <c r="E391" s="13" t="str">
        <f>LRVs!BG383</f>
        <v>Virus</v>
      </c>
      <c r="F391" s="13" t="str">
        <f>IF(LRVs!BH383="","",LRVs!BH383)</f>
        <v>F-RNA phage</v>
      </c>
      <c r="G391">
        <f>IF(LRVs!BL383="","",LRVs!BL383)</f>
        <v>1</v>
      </c>
    </row>
    <row r="392" spans="2:7" x14ac:dyDescent="0.3">
      <c r="B392">
        <v>400</v>
      </c>
      <c r="C392" s="13" t="str">
        <f>_xlfn.XLOOKUP(B392,LRV[id],LRV[source])</f>
        <v>Francy et al. (2012)</v>
      </c>
      <c r="D392" s="13" t="str">
        <f>LRVs!C384</f>
        <v>Chloramination</v>
      </c>
      <c r="E392" s="13" t="str">
        <f>LRVs!BG384</f>
        <v>Virus</v>
      </c>
      <c r="F392" s="13" t="str">
        <f>IF(LRVs!BH384="","",LRVs!BH384)</f>
        <v>F-RNA phage</v>
      </c>
      <c r="G392">
        <f>IF(LRVs!BL384="","",LRVs!BL384)</f>
        <v>1</v>
      </c>
    </row>
    <row r="393" spans="2:7" x14ac:dyDescent="0.3">
      <c r="B393">
        <v>401</v>
      </c>
      <c r="C393" s="13" t="str">
        <f>_xlfn.XLOOKUP(B393,LRV[id],LRV[source])</f>
        <v>Francy et al. (2012)</v>
      </c>
      <c r="D393" s="13" t="str">
        <f>LRVs!C385</f>
        <v>Membrane bioreactor</v>
      </c>
      <c r="E393" s="13" t="str">
        <f>LRVs!BG385</f>
        <v>Bacteria</v>
      </c>
      <c r="F393" s="13" t="str">
        <f>IF(LRVs!BH385="","",LRVs!BH385)</f>
        <v>Escherichia coli</v>
      </c>
      <c r="G393">
        <f>IF(LRVs!BL385="","",LRVs!BL385)</f>
        <v>5.8677620246502</v>
      </c>
    </row>
    <row r="394" spans="2:7" x14ac:dyDescent="0.3">
      <c r="B394">
        <v>402</v>
      </c>
      <c r="C394" s="13" t="str">
        <f>_xlfn.XLOOKUP(B394,LRV[id],LRV[source])</f>
        <v>Francy et al. (2012)</v>
      </c>
      <c r="D394" s="13" t="str">
        <f>LRVs!C386</f>
        <v>Membrane bioreactor</v>
      </c>
      <c r="E394" s="13" t="str">
        <f>LRVs!BG386</f>
        <v>Bacteria</v>
      </c>
      <c r="F394" s="13" t="str">
        <f>IF(LRVs!BH386="","",LRVs!BH386)</f>
        <v>Escherichia coli</v>
      </c>
      <c r="G394">
        <f>IF(LRVs!BL386="","",LRVs!BL386)</f>
        <v>6.4313637641589869</v>
      </c>
    </row>
    <row r="395" spans="2:7" x14ac:dyDescent="0.3">
      <c r="B395">
        <v>403</v>
      </c>
      <c r="C395" s="13" t="str">
        <f>_xlfn.XLOOKUP(B395,LRV[id],LRV[source])</f>
        <v>Francy et al. (2012)</v>
      </c>
      <c r="D395" s="13" t="str">
        <f>LRVs!C387</f>
        <v>Membrane bioreactor</v>
      </c>
      <c r="E395" s="13" t="str">
        <f>LRVs!BG387</f>
        <v>Bacteria</v>
      </c>
      <c r="F395" s="13" t="str">
        <f>IF(LRVs!BH387="","",LRVs!BH387)</f>
        <v>Escherichia coli</v>
      </c>
      <c r="G395">
        <f>IF(LRVs!BL387="","",LRVs!BL387)</f>
        <v>5.4771212547196626</v>
      </c>
    </row>
    <row r="396" spans="2:7" x14ac:dyDescent="0.3">
      <c r="B396">
        <v>404</v>
      </c>
      <c r="C396" s="13" t="str">
        <f>_xlfn.XLOOKUP(B396,LRV[id],LRV[source])</f>
        <v>Francy et al. (2012)</v>
      </c>
      <c r="D396" s="13" t="str">
        <f>LRVs!C388</f>
        <v>Membrane bioreactor</v>
      </c>
      <c r="E396" s="13" t="str">
        <f>LRVs!BG388</f>
        <v>Bacteria</v>
      </c>
      <c r="F396" s="13" t="str">
        <f>IF(LRVs!BH388="","",LRVs!BH388)</f>
        <v>Escherichia coli</v>
      </c>
      <c r="G396">
        <f>IF(LRVs!BL388="","",LRVs!BL388)</f>
        <v>5.3679767852945943</v>
      </c>
    </row>
    <row r="397" spans="2:7" x14ac:dyDescent="0.3">
      <c r="B397">
        <v>405</v>
      </c>
      <c r="C397" s="13" t="str">
        <f>_xlfn.XLOOKUP(B397,LRV[id],LRV[source])</f>
        <v>Francy et al. (2012)</v>
      </c>
      <c r="D397" s="13" t="str">
        <f>LRVs!C389</f>
        <v>Membrane bioreactor</v>
      </c>
      <c r="E397" s="13" t="str">
        <f>LRVs!BG389</f>
        <v>Bacteria</v>
      </c>
      <c r="F397" s="13" t="str">
        <f>IF(LRVs!BH389="","",LRVs!BH389)</f>
        <v>Escherichia coli</v>
      </c>
      <c r="G397">
        <f>IF(LRVs!BL389="","",LRVs!BL389)</f>
        <v>6.0791812460476251</v>
      </c>
    </row>
    <row r="398" spans="2:7" x14ac:dyDescent="0.3">
      <c r="B398">
        <v>406</v>
      </c>
      <c r="C398" s="13" t="str">
        <f>_xlfn.XLOOKUP(B398,LRV[id],LRV[source])</f>
        <v>Francy et al. (2012)</v>
      </c>
      <c r="D398" s="13" t="str">
        <f>LRVs!C390</f>
        <v>Membrane bioreactor</v>
      </c>
      <c r="E398" s="13" t="str">
        <f>LRVs!BG390</f>
        <v>Bacteria</v>
      </c>
      <c r="F398" s="13" t="str">
        <f>IF(LRVs!BH390="","",LRVs!BH390)</f>
        <v>Escherichia coli</v>
      </c>
      <c r="G398">
        <f>IF(LRVs!BL390="","",LRVs!BL390)</f>
        <v>5.5440680443502757</v>
      </c>
    </row>
    <row r="399" spans="2:7" x14ac:dyDescent="0.3">
      <c r="B399">
        <v>407</v>
      </c>
      <c r="C399" s="13" t="str">
        <f>_xlfn.XLOOKUP(B399,LRV[id],LRV[source])</f>
        <v>Francy et al. (2012)</v>
      </c>
      <c r="D399" s="13" t="str">
        <f>LRVs!C391</f>
        <v>Membrane bioreactor</v>
      </c>
      <c r="E399" s="13" t="str">
        <f>LRVs!BG391</f>
        <v>Bacteria</v>
      </c>
      <c r="F399" s="13" t="str">
        <f>IF(LRVs!BH391="","",LRVs!BH391)</f>
        <v>Escherichia coli</v>
      </c>
      <c r="G399">
        <f>IF(LRVs!BL391="","",LRVs!BL391)</f>
        <v>6.6334684555795862</v>
      </c>
    </row>
    <row r="400" spans="2:7" x14ac:dyDescent="0.3">
      <c r="B400">
        <v>421</v>
      </c>
      <c r="C400" s="13" t="str">
        <f>_xlfn.XLOOKUP(B400,LRV[id],LRV[source])</f>
        <v>Francy et al. (2012)</v>
      </c>
      <c r="D400" s="13" t="str">
        <f>LRVs!C392</f>
        <v>Membrane bioreactor</v>
      </c>
      <c r="E400" s="13" t="str">
        <f>LRVs!BG392</f>
        <v>Bacteria</v>
      </c>
      <c r="F400" s="13" t="str">
        <f>IF(LRVs!BH392="","",LRVs!BH392)</f>
        <v>Escherichia coli</v>
      </c>
      <c r="G400">
        <f>IF(LRVs!BL392="","",LRVs!BL392)</f>
        <v>6.1139433523068369</v>
      </c>
    </row>
    <row r="401" spans="2:7" x14ac:dyDescent="0.3">
      <c r="B401">
        <v>422</v>
      </c>
      <c r="C401" s="13" t="str">
        <f>_xlfn.XLOOKUP(B401,LRV[id],LRV[source])</f>
        <v>Francy et al. (2012)</v>
      </c>
      <c r="D401" s="13" t="str">
        <f>LRVs!C393</f>
        <v>Membrane bioreactor</v>
      </c>
      <c r="E401" s="13" t="str">
        <f>LRVs!BG393</f>
        <v>Bacteria</v>
      </c>
      <c r="F401" s="13" t="str">
        <f>IF(LRVs!BH393="","",LRVs!BH393)</f>
        <v>Escherichia coli</v>
      </c>
      <c r="G401">
        <f>IF(LRVs!BL393="","",LRVs!BL393)</f>
        <v>6.8450980400142569</v>
      </c>
    </row>
    <row r="402" spans="2:7" x14ac:dyDescent="0.3">
      <c r="B402">
        <v>423</v>
      </c>
      <c r="C402" s="13" t="str">
        <f>_xlfn.XLOOKUP(B402,LRV[id],LRV[source])</f>
        <v>Francy et al. (2012)</v>
      </c>
      <c r="D402" s="13" t="str">
        <f>LRVs!C394</f>
        <v>Membrane bioreactor</v>
      </c>
      <c r="E402" s="13" t="str">
        <f>LRVs!BG394</f>
        <v>Bacteria</v>
      </c>
      <c r="F402" s="13" t="str">
        <f>IF(LRVs!BH394="","",LRVs!BH394)</f>
        <v>Escherichia coli</v>
      </c>
      <c r="G402">
        <f>IF(LRVs!BL394="","",LRVs!BL394)</f>
        <v>6.7323937598229682</v>
      </c>
    </row>
    <row r="403" spans="2:7" x14ac:dyDescent="0.3">
      <c r="B403">
        <v>424</v>
      </c>
      <c r="C403" s="13" t="str">
        <f>_xlfn.XLOOKUP(B403,LRV[id],LRV[source])</f>
        <v>Francy et al. (2012)</v>
      </c>
      <c r="D403" s="13" t="str">
        <f>LRVs!C395</f>
        <v>Membrane bioreactor</v>
      </c>
      <c r="E403" s="13" t="str">
        <f>LRVs!BG395</f>
        <v>Bacteria</v>
      </c>
      <c r="F403" s="13" t="str">
        <f>IF(LRVs!BH395="","",LRVs!BH395)</f>
        <v>Escherichia coli</v>
      </c>
      <c r="G403">
        <f>IF(LRVs!BL395="","",LRVs!BL395)</f>
        <v>6.6127838567197355</v>
      </c>
    </row>
    <row r="404" spans="2:7" x14ac:dyDescent="0.3">
      <c r="B404">
        <v>429</v>
      </c>
      <c r="C404" s="13" t="str">
        <f>_xlfn.XLOOKUP(B404,LRV[id],LRV[source])</f>
        <v>Francy et al. (2012)</v>
      </c>
      <c r="D404" s="13" t="str">
        <f>LRVs!C396</f>
        <v>UV</v>
      </c>
      <c r="E404" s="13" t="str">
        <f>LRVs!BG396</f>
        <v>Bacteria</v>
      </c>
      <c r="F404" s="13" t="str">
        <f>IF(LRVs!BH396="","",LRVs!BH396)</f>
        <v>Escherichia coli</v>
      </c>
      <c r="G404">
        <f>IF(LRVs!BL396="","",LRVs!BL396)</f>
        <v>0.90308998699194354</v>
      </c>
    </row>
    <row r="405" spans="2:7" x14ac:dyDescent="0.3">
      <c r="B405">
        <v>430</v>
      </c>
      <c r="C405" s="13" t="str">
        <f>_xlfn.XLOOKUP(B405,LRV[id],LRV[source])</f>
        <v>Francy et al. (2012)</v>
      </c>
      <c r="D405" s="13" t="str">
        <f>LRVs!C397</f>
        <v>UV</v>
      </c>
      <c r="E405" s="13" t="str">
        <f>LRVs!BG397</f>
        <v>Bacteria</v>
      </c>
      <c r="F405" s="13" t="str">
        <f>IF(LRVs!BH397="","",LRVs!BH397)</f>
        <v>Escherichia coli</v>
      </c>
      <c r="G405">
        <f>IF(LRVs!BL397="","",LRVs!BL397)</f>
        <v>0.30102999566398125</v>
      </c>
    </row>
    <row r="406" spans="2:7" x14ac:dyDescent="0.3">
      <c r="B406">
        <v>431</v>
      </c>
      <c r="C406" s="13" t="str">
        <f>_xlfn.XLOOKUP(B406,LRV[id],LRV[source])</f>
        <v>Francy et al. (2012)</v>
      </c>
      <c r="D406" s="13" t="str">
        <f>LRVs!C398</f>
        <v>UV</v>
      </c>
      <c r="E406" s="13" t="str">
        <f>LRVs!BG398</f>
        <v>Bacteria</v>
      </c>
      <c r="F406" s="13" t="str">
        <f>IF(LRVs!BH398="","",LRVs!BH398)</f>
        <v>Escherichia coli</v>
      </c>
      <c r="G406">
        <f>IF(LRVs!BL398="","",LRVs!BL398)</f>
        <v>0.30102999566398125</v>
      </c>
    </row>
    <row r="407" spans="2:7" x14ac:dyDescent="0.3">
      <c r="B407">
        <v>432</v>
      </c>
      <c r="C407" s="13" t="str">
        <f>_xlfn.XLOOKUP(B407,LRV[id],LRV[source])</f>
        <v>Francy et al. (2012)</v>
      </c>
      <c r="D407" s="13" t="str">
        <f>LRVs!C399</f>
        <v>UV</v>
      </c>
      <c r="E407" s="13" t="str">
        <f>LRVs!BG399</f>
        <v>Bacteria</v>
      </c>
      <c r="F407" s="13" t="str">
        <f>IF(LRVs!BH399="","",LRVs!BH399)</f>
        <v>Escherichia coli</v>
      </c>
      <c r="G407">
        <f>IF(LRVs!BL399="","",LRVs!BL399)</f>
        <v>0.47712125471966238</v>
      </c>
    </row>
    <row r="408" spans="2:7" x14ac:dyDescent="0.3">
      <c r="B408">
        <v>433</v>
      </c>
      <c r="C408" s="13" t="str">
        <f>_xlfn.XLOOKUP(B408,LRV[id],LRV[source])</f>
        <v>Francy et al. (2012)</v>
      </c>
      <c r="D408" s="13" t="str">
        <f>LRVs!C400</f>
        <v>UV</v>
      </c>
      <c r="E408" s="13" t="str">
        <f>LRVs!BG400</f>
        <v>Bacteria</v>
      </c>
      <c r="F408" s="13" t="str">
        <f>IF(LRVs!BH400="","",LRVs!BH400)</f>
        <v>Escherichia coli</v>
      </c>
      <c r="G408">
        <f>IF(LRVs!BL400="","",LRVs!BL400)</f>
        <v>0</v>
      </c>
    </row>
    <row r="409" spans="2:7" x14ac:dyDescent="0.3">
      <c r="B409">
        <v>434</v>
      </c>
      <c r="C409" s="13" t="str">
        <f>_xlfn.XLOOKUP(B409,LRV[id],LRV[source])</f>
        <v>Francy et al. (2012)</v>
      </c>
      <c r="D409" s="13" t="str">
        <f>LRVs!C401</f>
        <v>UV</v>
      </c>
      <c r="E409" s="13" t="str">
        <f>LRVs!BG401</f>
        <v>Bacteria</v>
      </c>
      <c r="F409" s="13" t="str">
        <f>IF(LRVs!BH401="","",LRVs!BH401)</f>
        <v>Escherichia coli</v>
      </c>
      <c r="G409">
        <f>IF(LRVs!BL401="","",LRVs!BL401)</f>
        <v>0.30102999566398125</v>
      </c>
    </row>
    <row r="410" spans="2:7" x14ac:dyDescent="0.3">
      <c r="B410">
        <v>435</v>
      </c>
      <c r="C410" s="13" t="str">
        <f>_xlfn.XLOOKUP(B410,LRV[id],LRV[source])</f>
        <v>Francy et al. (2012)</v>
      </c>
      <c r="D410" s="13" t="e">
        <f>LRVs!#REF!</f>
        <v>#REF!</v>
      </c>
      <c r="E410" s="13" t="e">
        <f>LRVs!#REF!</f>
        <v>#REF!</v>
      </c>
      <c r="F410" s="13" t="e">
        <f>IF(LRVs!#REF!="","",LRVs!#REF!)</f>
        <v>#REF!</v>
      </c>
      <c r="G410" t="e">
        <f>IF(LRVs!#REF!="","",LRVs!#REF!)</f>
        <v>#REF!</v>
      </c>
    </row>
    <row r="411" spans="2:7" x14ac:dyDescent="0.3">
      <c r="B411">
        <v>436</v>
      </c>
      <c r="C411" s="13" t="str">
        <f>_xlfn.XLOOKUP(B411,LRV[id],LRV[source])</f>
        <v>Francy et al. (2012)</v>
      </c>
      <c r="D411" s="13" t="e">
        <f>LRVs!#REF!</f>
        <v>#REF!</v>
      </c>
      <c r="E411" s="13" t="e">
        <f>LRVs!#REF!</f>
        <v>#REF!</v>
      </c>
      <c r="F411" s="13" t="e">
        <f>IF(LRVs!#REF!="","",LRVs!#REF!)</f>
        <v>#REF!</v>
      </c>
      <c r="G411" t="e">
        <f>IF(LRVs!#REF!="","",LRVs!#REF!)</f>
        <v>#REF!</v>
      </c>
    </row>
    <row r="412" spans="2:7" x14ac:dyDescent="0.3">
      <c r="B412">
        <v>437</v>
      </c>
      <c r="C412" s="13" t="str">
        <f>_xlfn.XLOOKUP(B412,LRV[id],LRV[source])</f>
        <v>Francy et al. (2012)</v>
      </c>
      <c r="D412" s="13" t="e">
        <f>LRVs!#REF!</f>
        <v>#REF!</v>
      </c>
      <c r="E412" s="13" t="e">
        <f>LRVs!#REF!</f>
        <v>#REF!</v>
      </c>
      <c r="F412" s="13" t="e">
        <f>IF(LRVs!#REF!="","",LRVs!#REF!)</f>
        <v>#REF!</v>
      </c>
      <c r="G412" t="e">
        <f>IF(LRVs!#REF!="","",LRVs!#REF!)</f>
        <v>#REF!</v>
      </c>
    </row>
    <row r="413" spans="2:7" x14ac:dyDescent="0.3">
      <c r="B413">
        <v>438</v>
      </c>
      <c r="C413" s="13" t="str">
        <f>_xlfn.XLOOKUP(B413,LRV[id],LRV[source])</f>
        <v>Francy et al. (2012)</v>
      </c>
      <c r="D413" s="13" t="e">
        <f>LRVs!#REF!</f>
        <v>#REF!</v>
      </c>
      <c r="E413" s="13" t="e">
        <f>LRVs!#REF!</f>
        <v>#REF!</v>
      </c>
      <c r="F413" s="13" t="e">
        <f>IF(LRVs!#REF!="","",LRVs!#REF!)</f>
        <v>#REF!</v>
      </c>
      <c r="G413" t="e">
        <f>IF(LRVs!#REF!="","",LRVs!#REF!)</f>
        <v>#REF!</v>
      </c>
    </row>
    <row r="414" spans="2:7" x14ac:dyDescent="0.3">
      <c r="B414">
        <v>439</v>
      </c>
      <c r="C414" s="13" t="str">
        <f>_xlfn.XLOOKUP(B414,LRV[id],LRV[source])</f>
        <v>Francy et al. (2012)</v>
      </c>
      <c r="D414" s="13" t="e">
        <f>LRVs!#REF!</f>
        <v>#REF!</v>
      </c>
      <c r="E414" s="13" t="e">
        <f>LRVs!#REF!</f>
        <v>#REF!</v>
      </c>
      <c r="F414" s="13" t="e">
        <f>IF(LRVs!#REF!="","",LRVs!#REF!)</f>
        <v>#REF!</v>
      </c>
      <c r="G414" t="e">
        <f>IF(LRVs!#REF!="","",LRVs!#REF!)</f>
        <v>#REF!</v>
      </c>
    </row>
    <row r="415" spans="2:7" x14ac:dyDescent="0.3">
      <c r="B415">
        <v>440</v>
      </c>
      <c r="C415" s="13" t="str">
        <f>_xlfn.XLOOKUP(B415,LRV[id],LRV[source])</f>
        <v>Francy et al. (2012)</v>
      </c>
      <c r="D415" s="13" t="e">
        <f>LRVs!#REF!</f>
        <v>#REF!</v>
      </c>
      <c r="E415" s="13" t="e">
        <f>LRVs!#REF!</f>
        <v>#REF!</v>
      </c>
      <c r="F415" s="13" t="e">
        <f>IF(LRVs!#REF!="","",LRVs!#REF!)</f>
        <v>#REF!</v>
      </c>
      <c r="G415" t="e">
        <f>IF(LRVs!#REF!="","",LRVs!#REF!)</f>
        <v>#REF!</v>
      </c>
    </row>
    <row r="416" spans="2:7" x14ac:dyDescent="0.3">
      <c r="B416">
        <v>441</v>
      </c>
      <c r="C416" s="13" t="str">
        <f>_xlfn.XLOOKUP(B416,LRV[id],LRV[source])</f>
        <v>Francy et al. (2012)</v>
      </c>
      <c r="D416" s="13" t="e">
        <f>LRVs!#REF!</f>
        <v>#REF!</v>
      </c>
      <c r="E416" s="13" t="e">
        <f>LRVs!#REF!</f>
        <v>#REF!</v>
      </c>
      <c r="F416" s="13" t="e">
        <f>IF(LRVs!#REF!="","",LRVs!#REF!)</f>
        <v>#REF!</v>
      </c>
      <c r="G416" t="e">
        <f>IF(LRVs!#REF!="","",LRVs!#REF!)</f>
        <v>#REF!</v>
      </c>
    </row>
    <row r="417" spans="2:7" x14ac:dyDescent="0.3">
      <c r="B417">
        <v>442</v>
      </c>
      <c r="C417" s="13" t="str">
        <f>_xlfn.XLOOKUP(B417,LRV[id],LRV[source])</f>
        <v>Francy et al. (2012)</v>
      </c>
      <c r="D417" s="13" t="e">
        <f>LRVs!#REF!</f>
        <v>#REF!</v>
      </c>
      <c r="E417" s="13" t="e">
        <f>LRVs!#REF!</f>
        <v>#REF!</v>
      </c>
      <c r="F417" s="13" t="e">
        <f>IF(LRVs!#REF!="","",LRVs!#REF!)</f>
        <v>#REF!</v>
      </c>
      <c r="G417" t="e">
        <f>IF(LRVs!#REF!="","",LRVs!#REF!)</f>
        <v>#REF!</v>
      </c>
    </row>
    <row r="418" spans="2:7" x14ac:dyDescent="0.3">
      <c r="B418">
        <v>443</v>
      </c>
      <c r="C418" s="13" t="str">
        <f>_xlfn.XLOOKUP(B418,LRV[id],LRV[source])</f>
        <v>Francy et al. (2012)</v>
      </c>
      <c r="D418" s="13" t="e">
        <f>LRVs!#REF!</f>
        <v>#REF!</v>
      </c>
      <c r="E418" s="13" t="e">
        <f>LRVs!#REF!</f>
        <v>#REF!</v>
      </c>
      <c r="F418" s="13" t="e">
        <f>IF(LRVs!#REF!="","",LRVs!#REF!)</f>
        <v>#REF!</v>
      </c>
      <c r="G418" t="e">
        <f>IF(LRVs!#REF!="","",LRVs!#REF!)</f>
        <v>#REF!</v>
      </c>
    </row>
    <row r="419" spans="2:7" x14ac:dyDescent="0.3">
      <c r="B419">
        <v>444</v>
      </c>
      <c r="C419" s="13" t="str">
        <f>_xlfn.XLOOKUP(B419,LRV[id],LRV[source])</f>
        <v>Francy et al. (2012)</v>
      </c>
      <c r="D419" s="13" t="e">
        <f>LRVs!#REF!</f>
        <v>#REF!</v>
      </c>
      <c r="E419" s="13" t="e">
        <f>LRVs!#REF!</f>
        <v>#REF!</v>
      </c>
      <c r="F419" s="13" t="e">
        <f>IF(LRVs!#REF!="","",LRVs!#REF!)</f>
        <v>#REF!</v>
      </c>
      <c r="G419" t="e">
        <f>IF(LRVs!#REF!="","",LRVs!#REF!)</f>
        <v>#REF!</v>
      </c>
    </row>
    <row r="420" spans="2:7" x14ac:dyDescent="0.3">
      <c r="B420">
        <v>445</v>
      </c>
      <c r="C420" s="13" t="str">
        <f>_xlfn.XLOOKUP(B420,LRV[id],LRV[source])</f>
        <v>Francy et al. (2012)</v>
      </c>
      <c r="D420" s="13" t="e">
        <f>LRVs!#REF!</f>
        <v>#REF!</v>
      </c>
      <c r="E420" s="13" t="e">
        <f>LRVs!#REF!</f>
        <v>#REF!</v>
      </c>
      <c r="F420" s="13" t="e">
        <f>IF(LRVs!#REF!="","",LRVs!#REF!)</f>
        <v>#REF!</v>
      </c>
      <c r="G420" t="e">
        <f>IF(LRVs!#REF!="","",LRVs!#REF!)</f>
        <v>#REF!</v>
      </c>
    </row>
    <row r="421" spans="2:7" x14ac:dyDescent="0.3">
      <c r="B421">
        <v>446</v>
      </c>
      <c r="C421" s="13" t="str">
        <f>_xlfn.XLOOKUP(B421,LRV[id],LRV[source])</f>
        <v>Francy et al. (2012)</v>
      </c>
      <c r="D421" s="13" t="e">
        <f>LRVs!#REF!</f>
        <v>#REF!</v>
      </c>
      <c r="E421" s="13" t="e">
        <f>LRVs!#REF!</f>
        <v>#REF!</v>
      </c>
      <c r="F421" s="13" t="e">
        <f>IF(LRVs!#REF!="","",LRVs!#REF!)</f>
        <v>#REF!</v>
      </c>
      <c r="G421" t="e">
        <f>IF(LRVs!#REF!="","",LRVs!#REF!)</f>
        <v>#REF!</v>
      </c>
    </row>
    <row r="422" spans="2:7" x14ac:dyDescent="0.3">
      <c r="B422">
        <v>447</v>
      </c>
      <c r="C422" s="13" t="str">
        <f>_xlfn.XLOOKUP(B422,LRV[id],LRV[source])</f>
        <v>Francy et al. (2012)</v>
      </c>
      <c r="D422" s="13" t="e">
        <f>LRVs!#REF!</f>
        <v>#REF!</v>
      </c>
      <c r="E422" s="13" t="e">
        <f>LRVs!#REF!</f>
        <v>#REF!</v>
      </c>
      <c r="F422" s="13" t="e">
        <f>IF(LRVs!#REF!="","",LRVs!#REF!)</f>
        <v>#REF!</v>
      </c>
      <c r="G422" t="e">
        <f>IF(LRVs!#REF!="","",LRVs!#REF!)</f>
        <v>#REF!</v>
      </c>
    </row>
    <row r="423" spans="2:7" x14ac:dyDescent="0.3">
      <c r="B423">
        <v>448</v>
      </c>
      <c r="C423" s="13" t="str">
        <f>_xlfn.XLOOKUP(B423,LRV[id],LRV[source])</f>
        <v>Francy et al. (2012)</v>
      </c>
      <c r="D423" s="13" t="str">
        <f>LRVs!C402</f>
        <v>UV</v>
      </c>
      <c r="E423" s="13" t="str">
        <f>LRVs!BG402</f>
        <v>Bacteria</v>
      </c>
      <c r="F423" s="13" t="str">
        <f>IF(LRVs!BH402="","",LRVs!BH402)</f>
        <v>Escherichia coli</v>
      </c>
      <c r="G423">
        <f>IF(LRVs!BL402="","",LRVs!BL402)</f>
        <v>4.3802112417116064</v>
      </c>
    </row>
    <row r="424" spans="2:7" x14ac:dyDescent="0.3">
      <c r="B424">
        <v>449</v>
      </c>
      <c r="C424" s="13" t="str">
        <f>_xlfn.XLOOKUP(B424,LRV[id],LRV[source])</f>
        <v>Francy et al. (2012)</v>
      </c>
      <c r="D424" s="13" t="str">
        <f>LRVs!C403</f>
        <v>UV</v>
      </c>
      <c r="E424" s="13" t="str">
        <f>LRVs!BG403</f>
        <v>Bacteria</v>
      </c>
      <c r="F424" s="13" t="str">
        <f>IF(LRVs!BH403="","",LRVs!BH403)</f>
        <v>Escherichia coli</v>
      </c>
      <c r="G424">
        <f>IF(LRVs!BL403="","",LRVs!BL403)</f>
        <v>3.5314789170422554</v>
      </c>
    </row>
    <row r="425" spans="2:7" x14ac:dyDescent="0.3">
      <c r="B425">
        <v>453</v>
      </c>
      <c r="C425" s="13" t="str">
        <f>_xlfn.XLOOKUP(B425,LRV[id],LRV[source])</f>
        <v>Francy et al. (2012)</v>
      </c>
      <c r="D425" s="13" t="str">
        <f>LRVs!C404</f>
        <v>UV</v>
      </c>
      <c r="E425" s="13" t="str">
        <f>LRVs!BG404</f>
        <v>Bacteria</v>
      </c>
      <c r="F425" s="13" t="str">
        <f>IF(LRVs!BH404="","",LRVs!BH404)</f>
        <v>Escherichia coli</v>
      </c>
      <c r="G425">
        <f>IF(LRVs!BL404="","",LRVs!BL404)</f>
        <v>2.6334684555795866</v>
      </c>
    </row>
    <row r="426" spans="2:7" x14ac:dyDescent="0.3">
      <c r="B426">
        <v>463</v>
      </c>
      <c r="C426" s="13" t="str">
        <f>_xlfn.XLOOKUP(B426,LRV[id],LRV[source])</f>
        <v>Francy et al. (2012)</v>
      </c>
      <c r="D426" s="13" t="str">
        <f>LRVs!C405</f>
        <v>UV</v>
      </c>
      <c r="E426" s="13" t="str">
        <f>LRVs!BG405</f>
        <v>Bacteria</v>
      </c>
      <c r="F426" s="13" t="str">
        <f>IF(LRVs!BH405="","",LRVs!BH405)</f>
        <v>Escherichia coli</v>
      </c>
      <c r="G426">
        <f>IF(LRVs!BL405="","",LRVs!BL405)</f>
        <v>4.1139433523068369</v>
      </c>
    </row>
    <row r="427" spans="2:7" x14ac:dyDescent="0.3">
      <c r="B427">
        <v>464</v>
      </c>
      <c r="C427" s="13" t="str">
        <f>_xlfn.XLOOKUP(B427,LRV[id],LRV[source])</f>
        <v>Francy et al. (2012)</v>
      </c>
      <c r="D427" s="13" t="e">
        <f>LRVs!#REF!</f>
        <v>#REF!</v>
      </c>
      <c r="E427" s="13" t="e">
        <f>LRVs!#REF!</f>
        <v>#REF!</v>
      </c>
      <c r="F427" s="13" t="e">
        <f>IF(LRVs!#REF!="","",LRVs!#REF!)</f>
        <v>#REF!</v>
      </c>
      <c r="G427" t="e">
        <f>IF(LRVs!#REF!="","",LRVs!#REF!)</f>
        <v>#REF!</v>
      </c>
    </row>
    <row r="428" spans="2:7" x14ac:dyDescent="0.3">
      <c r="B428">
        <v>465</v>
      </c>
      <c r="C428" s="13" t="str">
        <f>_xlfn.XLOOKUP(B428,LRV[id],LRV[source])</f>
        <v>Francy et al. (2012)</v>
      </c>
      <c r="D428" s="13" t="e">
        <f>LRVs!#REF!</f>
        <v>#REF!</v>
      </c>
      <c r="E428" s="13" t="e">
        <f>LRVs!#REF!</f>
        <v>#REF!</v>
      </c>
      <c r="F428" s="13" t="e">
        <f>IF(LRVs!#REF!="","",LRVs!#REF!)</f>
        <v>#REF!</v>
      </c>
      <c r="G428" t="e">
        <f>IF(LRVs!#REF!="","",LRVs!#REF!)</f>
        <v>#REF!</v>
      </c>
    </row>
    <row r="429" spans="2:7" x14ac:dyDescent="0.3">
      <c r="B429">
        <v>466</v>
      </c>
      <c r="C429" s="13" t="str">
        <f>_xlfn.XLOOKUP(B429,LRV[id],LRV[source])</f>
        <v>Francy et al. (2012)</v>
      </c>
      <c r="D429" s="13" t="e">
        <f>LRVs!#REF!</f>
        <v>#REF!</v>
      </c>
      <c r="E429" s="13" t="e">
        <f>LRVs!#REF!</f>
        <v>#REF!</v>
      </c>
      <c r="F429" s="13" t="e">
        <f>IF(LRVs!#REF!="","",LRVs!#REF!)</f>
        <v>#REF!</v>
      </c>
      <c r="G429" t="e">
        <f>IF(LRVs!#REF!="","",LRVs!#REF!)</f>
        <v>#REF!</v>
      </c>
    </row>
    <row r="430" spans="2:7" x14ac:dyDescent="0.3">
      <c r="B430">
        <v>471</v>
      </c>
      <c r="C430" s="13" t="str">
        <f>_xlfn.XLOOKUP(B430,LRV[id],LRV[source])</f>
        <v>Francy et al. (2012)</v>
      </c>
      <c r="D430" s="13" t="e">
        <f>LRVs!#REF!</f>
        <v>#REF!</v>
      </c>
      <c r="E430" s="13" t="e">
        <f>LRVs!#REF!</f>
        <v>#REF!</v>
      </c>
      <c r="F430" s="13" t="e">
        <f>IF(LRVs!#REF!="","",LRVs!#REF!)</f>
        <v>#REF!</v>
      </c>
      <c r="G430" t="e">
        <f>IF(LRVs!#REF!="","",LRVs!#REF!)</f>
        <v>#REF!</v>
      </c>
    </row>
    <row r="431" spans="2:7" x14ac:dyDescent="0.3">
      <c r="B431">
        <v>472</v>
      </c>
      <c r="C431" s="13" t="str">
        <f>_xlfn.XLOOKUP(B431,LRV[id],LRV[source])</f>
        <v>Francy et al. (2012)</v>
      </c>
      <c r="D431" s="13" t="str">
        <f>LRVs!C406</f>
        <v>Chlorine</v>
      </c>
      <c r="E431" s="13" t="str">
        <f>LRVs!BG406</f>
        <v>Bacteria</v>
      </c>
      <c r="F431" s="13" t="str">
        <f>IF(LRVs!BH406="","",LRVs!BH406)</f>
        <v>Escherichia coli</v>
      </c>
      <c r="G431">
        <f>IF(LRVs!BL406="","",LRVs!BL406)</f>
        <v>2.7781512503836439</v>
      </c>
    </row>
    <row r="432" spans="2:7" x14ac:dyDescent="0.3">
      <c r="B432">
        <v>473</v>
      </c>
      <c r="C432" s="13" t="str">
        <f>_xlfn.XLOOKUP(B432,LRV[id],LRV[source])</f>
        <v>Francy et al. (2012)</v>
      </c>
      <c r="D432" s="13" t="str">
        <f>LRVs!C407</f>
        <v>Chlorine</v>
      </c>
      <c r="E432" s="13" t="str">
        <f>LRVs!BG407</f>
        <v>Bacteria</v>
      </c>
      <c r="F432" s="13" t="str">
        <f>IF(LRVs!BH407="","",LRVs!BH407)</f>
        <v>Escherichia coli</v>
      </c>
      <c r="G432">
        <f>IF(LRVs!BL407="","",LRVs!BL407)</f>
        <v>3.1461280356782382</v>
      </c>
    </row>
    <row r="433" spans="2:7" x14ac:dyDescent="0.3">
      <c r="B433">
        <v>474</v>
      </c>
      <c r="C433" s="13" t="str">
        <f>_xlfn.XLOOKUP(B433,LRV[id],LRV[source])</f>
        <v>Francy et al. (2012)</v>
      </c>
      <c r="D433" s="13" t="str">
        <f>LRVs!C408</f>
        <v>Chlorine</v>
      </c>
      <c r="E433" s="13" t="str">
        <f>LRVs!BG408</f>
        <v>Bacteria</v>
      </c>
      <c r="F433" s="13" t="str">
        <f>IF(LRVs!BH408="","",LRVs!BH408)</f>
        <v>Escherichia coli</v>
      </c>
      <c r="G433">
        <f>IF(LRVs!BL408="","",LRVs!BL408)</f>
        <v>2.3010299956639813</v>
      </c>
    </row>
    <row r="434" spans="2:7" x14ac:dyDescent="0.3">
      <c r="B434">
        <v>475</v>
      </c>
      <c r="C434" s="13" t="str">
        <f>_xlfn.XLOOKUP(B434,LRV[id],LRV[source])</f>
        <v>Francy et al. (2012)</v>
      </c>
      <c r="D434" s="13" t="str">
        <f>LRVs!C409</f>
        <v>Chlorine</v>
      </c>
      <c r="E434" s="13" t="str">
        <f>LRVs!BG409</f>
        <v>Bacteria</v>
      </c>
      <c r="F434" s="13" t="str">
        <f>IF(LRVs!BH409="","",LRVs!BH409)</f>
        <v>Escherichia coli</v>
      </c>
      <c r="G434">
        <f>IF(LRVs!BL409="","",LRVs!BL409)</f>
        <v>2.3679767852945943</v>
      </c>
    </row>
    <row r="435" spans="2:7" x14ac:dyDescent="0.3">
      <c r="B435">
        <v>476</v>
      </c>
      <c r="C435" s="13" t="str">
        <f>_xlfn.XLOOKUP(B435,LRV[id],LRV[source])</f>
        <v>Francy et al. (2012)</v>
      </c>
      <c r="D435" s="13" t="str">
        <f>LRVs!C410</f>
        <v>Membrane bioreactor</v>
      </c>
      <c r="E435" s="13" t="str">
        <f>LRVs!BG410</f>
        <v>Bacteria</v>
      </c>
      <c r="F435" s="13" t="str">
        <f>IF(LRVs!BH410="","",LRVs!BH410)</f>
        <v>Fecal coliform</v>
      </c>
      <c r="G435">
        <f>IF(LRVs!BL410="","",LRVs!BL410)</f>
        <v>5.4117282931576707</v>
      </c>
    </row>
    <row r="436" spans="2:7" x14ac:dyDescent="0.3">
      <c r="B436">
        <v>477</v>
      </c>
      <c r="C436" s="13" t="str">
        <f>_xlfn.XLOOKUP(B436,LRV[id],LRV[source])</f>
        <v>Francy et al. (2012)</v>
      </c>
      <c r="D436" s="13" t="str">
        <f>LRVs!C411</f>
        <v>Membrane bioreactor</v>
      </c>
      <c r="E436" s="13" t="str">
        <f>LRVs!BG411</f>
        <v>Bacteria</v>
      </c>
      <c r="F436" s="13" t="str">
        <f>IF(LRVs!BH411="","",LRVs!BH411)</f>
        <v>Fecal coliform</v>
      </c>
      <c r="G436">
        <f>IF(LRVs!BL411="","",LRVs!BL411)</f>
        <v>7.2340832060333682</v>
      </c>
    </row>
    <row r="437" spans="2:7" x14ac:dyDescent="0.3">
      <c r="B437">
        <v>478</v>
      </c>
      <c r="C437" s="13" t="str">
        <f>_xlfn.XLOOKUP(B437,LRV[id],LRV[source])</f>
        <v>Francy et al. (2012)</v>
      </c>
      <c r="D437" s="13" t="str">
        <f>LRVs!C412</f>
        <v>Membrane bioreactor</v>
      </c>
      <c r="E437" s="13" t="str">
        <f>LRVs!BG412</f>
        <v>Bacteria</v>
      </c>
      <c r="F437" s="13" t="str">
        <f>IF(LRVs!BH412="","",LRVs!BH412)</f>
        <v>Fecal coliform</v>
      </c>
      <c r="G437">
        <f>IF(LRVs!BL412="","",LRVs!BL412)</f>
        <v>5.5642714304385628</v>
      </c>
    </row>
    <row r="438" spans="2:7" x14ac:dyDescent="0.3">
      <c r="B438">
        <v>479</v>
      </c>
      <c r="C438" s="13" t="str">
        <f>_xlfn.XLOOKUP(B438,LRV[id],LRV[source])</f>
        <v>Francy et al. (2012)</v>
      </c>
      <c r="D438" s="13" t="str">
        <f>LRVs!C413</f>
        <v>Membrane bioreactor</v>
      </c>
      <c r="E438" s="13" t="str">
        <f>LRVs!BG413</f>
        <v>Bacteria</v>
      </c>
      <c r="F438" s="13" t="str">
        <f>IF(LRVs!BH413="","",LRVs!BH413)</f>
        <v>Fecal coliform</v>
      </c>
      <c r="G438">
        <f>IF(LRVs!BL413="","",LRVs!BL413)</f>
        <v>5.3424226808222066</v>
      </c>
    </row>
    <row r="439" spans="2:7" x14ac:dyDescent="0.3">
      <c r="B439">
        <v>480</v>
      </c>
      <c r="C439" s="13" t="str">
        <f>_xlfn.XLOOKUP(B439,LRV[id],LRV[source])</f>
        <v>Francy et al. (2012)</v>
      </c>
      <c r="D439" s="13" t="str">
        <f>LRVs!C414</f>
        <v>Membrane bioreactor</v>
      </c>
      <c r="E439" s="13" t="str">
        <f>LRVs!BG414</f>
        <v>Bacteria</v>
      </c>
      <c r="F439" s="13" t="str">
        <f>IF(LRVs!BH414="","",LRVs!BH414)</f>
        <v>Fecal coliform</v>
      </c>
      <c r="G439">
        <f>IF(LRVs!BL414="","",LRVs!BL414)</f>
        <v>6.3521825181113627</v>
      </c>
    </row>
    <row r="440" spans="2:7" x14ac:dyDescent="0.3">
      <c r="B440">
        <v>481</v>
      </c>
      <c r="C440" s="13" t="str">
        <f>_xlfn.XLOOKUP(B440,LRV[id],LRV[source])</f>
        <v>Francy et al. (2012)</v>
      </c>
      <c r="D440" s="13" t="str">
        <f>LRVs!C415</f>
        <v>Membrane bioreactor</v>
      </c>
      <c r="E440" s="13" t="str">
        <f>LRVs!BG415</f>
        <v>Bacteria</v>
      </c>
      <c r="F440" s="13" t="str">
        <f>IF(LRVs!BH415="","",LRVs!BH415)</f>
        <v>Fecal coliform</v>
      </c>
      <c r="G440">
        <f>IF(LRVs!BL415="","",LRVs!BL415)</f>
        <v>5.6020599913279625</v>
      </c>
    </row>
    <row r="441" spans="2:7" x14ac:dyDescent="0.3">
      <c r="B441">
        <v>482</v>
      </c>
      <c r="C441" s="13" t="str">
        <f>_xlfn.XLOOKUP(B441,LRV[id],LRV[source])</f>
        <v>Francy et al. (2012)</v>
      </c>
      <c r="D441" s="13" t="str">
        <f>LRVs!C416</f>
        <v>Membrane bioreactor</v>
      </c>
      <c r="E441" s="13" t="str">
        <f>LRVs!BG416</f>
        <v>Bacteria</v>
      </c>
      <c r="F441" s="13" t="str">
        <f>IF(LRVs!BH416="","",LRVs!BH416)</f>
        <v>Fecal coliform</v>
      </c>
      <c r="G441">
        <f>IF(LRVs!BL416="","",LRVs!BL416)</f>
        <v>6.7481880270062007</v>
      </c>
    </row>
    <row r="442" spans="2:7" x14ac:dyDescent="0.3">
      <c r="B442">
        <v>483</v>
      </c>
      <c r="C442" s="13" t="str">
        <f>_xlfn.XLOOKUP(B442,LRV[id],LRV[source])</f>
        <v>Francy et al. (2012)</v>
      </c>
      <c r="D442" s="13" t="str">
        <f>LRVs!C417</f>
        <v>Membrane bioreactor</v>
      </c>
      <c r="E442" s="13" t="str">
        <f>LRVs!BG417</f>
        <v>Bacteria</v>
      </c>
      <c r="F442" s="13" t="str">
        <f>IF(LRVs!BH417="","",LRVs!BH417)</f>
        <v>Fecal coliform</v>
      </c>
      <c r="G442">
        <f>IF(LRVs!BL417="","",LRVs!BL417)</f>
        <v>6.8633228601204559</v>
      </c>
    </row>
    <row r="443" spans="2:7" x14ac:dyDescent="0.3">
      <c r="B443">
        <v>484</v>
      </c>
      <c r="C443" s="13" t="str">
        <f>_xlfn.XLOOKUP(B443,LRV[id],LRV[source])</f>
        <v>Francy et al. (2012)</v>
      </c>
      <c r="D443" s="13" t="str">
        <f>LRVs!C418</f>
        <v>Membrane bioreactor</v>
      </c>
      <c r="E443" s="13" t="str">
        <f>LRVs!BG418</f>
        <v>Bacteria</v>
      </c>
      <c r="F443" s="13" t="str">
        <f>IF(LRVs!BH418="","",LRVs!BH418)</f>
        <v>Fecal coliform</v>
      </c>
      <c r="G443">
        <f>IF(LRVs!BL418="","",LRVs!BL418)</f>
        <v>6.8450980400142569</v>
      </c>
    </row>
    <row r="444" spans="2:7" x14ac:dyDescent="0.3">
      <c r="B444">
        <v>485</v>
      </c>
      <c r="C444" s="13" t="str">
        <f>_xlfn.XLOOKUP(B444,LRV[id],LRV[source])</f>
        <v>Francy et al. (2012)</v>
      </c>
      <c r="D444" s="13" t="str">
        <f>LRVs!C419</f>
        <v>Membrane bioreactor</v>
      </c>
      <c r="E444" s="13" t="str">
        <f>LRVs!BG419</f>
        <v>Bacteria</v>
      </c>
      <c r="F444" s="13" t="str">
        <f>IF(LRVs!BH419="","",LRVs!BH419)</f>
        <v>Fecal coliform</v>
      </c>
      <c r="G444">
        <f>IF(LRVs!BL419="","",LRVs!BL419)</f>
        <v>6.826074802700826</v>
      </c>
    </row>
    <row r="445" spans="2:7" x14ac:dyDescent="0.3">
      <c r="B445">
        <v>486</v>
      </c>
      <c r="C445" s="13" t="str">
        <f>_xlfn.XLOOKUP(B445,LRV[id],LRV[source])</f>
        <v>Francy et al. (2012)</v>
      </c>
      <c r="D445" s="13" t="str">
        <f>LRVs!C420</f>
        <v>Membrane bioreactor</v>
      </c>
      <c r="E445" s="13" t="str">
        <f>LRVs!BG420</f>
        <v>Bacteria</v>
      </c>
      <c r="F445" s="13" t="str">
        <f>IF(LRVs!BH420="","",LRVs!BH420)</f>
        <v>Fecal coliform</v>
      </c>
      <c r="G445">
        <f>IF(LRVs!BL420="","",LRVs!BL420)</f>
        <v>6.7323937598229682</v>
      </c>
    </row>
    <row r="446" spans="2:7" x14ac:dyDescent="0.3">
      <c r="B446">
        <v>487</v>
      </c>
      <c r="C446" s="13" t="str">
        <f>_xlfn.XLOOKUP(B446,LRV[id],LRV[source])</f>
        <v>Francy et al. (2012)</v>
      </c>
      <c r="D446" s="13" t="str">
        <f>LRVs!C421</f>
        <v>UV</v>
      </c>
      <c r="E446" s="13" t="str">
        <f>LRVs!BG421</f>
        <v>Bacteria</v>
      </c>
      <c r="F446" s="13" t="str">
        <f>IF(LRVs!BH421="","",LRVs!BH421)</f>
        <v>Fecal coliform</v>
      </c>
      <c r="G446">
        <f>IF(LRVs!BL421="","",LRVs!BL421)</f>
        <v>1.7923916894982539</v>
      </c>
    </row>
    <row r="447" spans="2:7" x14ac:dyDescent="0.3">
      <c r="B447">
        <v>488</v>
      </c>
      <c r="C447" s="13" t="str">
        <f>_xlfn.XLOOKUP(B447,LRV[id],LRV[source])</f>
        <v>Francy et al. (2012)</v>
      </c>
      <c r="D447" s="13" t="str">
        <f>LRVs!C422</f>
        <v>UV</v>
      </c>
      <c r="E447" s="13" t="str">
        <f>LRVs!BG422</f>
        <v>Bacteria</v>
      </c>
      <c r="F447" s="13" t="str">
        <f>IF(LRVs!BH422="","",LRVs!BH422)</f>
        <v>Fecal coliform</v>
      </c>
      <c r="G447">
        <f>IF(LRVs!BL422="","",LRVs!BL422)</f>
        <v>0.84509804001425692</v>
      </c>
    </row>
    <row r="448" spans="2:7" x14ac:dyDescent="0.3">
      <c r="B448">
        <v>489</v>
      </c>
      <c r="C448" s="13" t="str">
        <f>_xlfn.XLOOKUP(B448,LRV[id],LRV[source])</f>
        <v>Francy et al. (2012)</v>
      </c>
      <c r="D448" s="13" t="str">
        <f>LRVs!C423</f>
        <v>UV</v>
      </c>
      <c r="E448" s="13" t="str">
        <f>LRVs!BG423</f>
        <v>Bacteria</v>
      </c>
      <c r="F448" s="13" t="str">
        <f>IF(LRVs!BH423="","",LRVs!BH423)</f>
        <v>Fecal coliform</v>
      </c>
      <c r="G448">
        <f>IF(LRVs!BL423="","",LRVs!BL423)</f>
        <v>0.47712125471966238</v>
      </c>
    </row>
    <row r="449" spans="2:7" x14ac:dyDescent="0.3">
      <c r="B449">
        <v>490</v>
      </c>
      <c r="C449" s="13" t="str">
        <f>_xlfn.XLOOKUP(B449,LRV[id],LRV[source])</f>
        <v>Francy et al. (2012)</v>
      </c>
      <c r="D449" s="13" t="str">
        <f>LRVs!C424</f>
        <v>UV</v>
      </c>
      <c r="E449" s="13" t="str">
        <f>LRVs!BG424</f>
        <v>Bacteria</v>
      </c>
      <c r="F449" s="13" t="str">
        <f>IF(LRVs!BH424="","",LRVs!BH424)</f>
        <v>Fecal coliform</v>
      </c>
      <c r="G449">
        <f>IF(LRVs!BL424="","",LRVs!BL424)</f>
        <v>1</v>
      </c>
    </row>
    <row r="450" spans="2:7" x14ac:dyDescent="0.3">
      <c r="B450">
        <v>491</v>
      </c>
      <c r="C450" s="13" t="str">
        <f>_xlfn.XLOOKUP(B450,LRV[id],LRV[source])</f>
        <v>Francy et al. (2012)</v>
      </c>
      <c r="D450" s="13" t="str">
        <f>LRVs!C425</f>
        <v>UV</v>
      </c>
      <c r="E450" s="13" t="str">
        <f>LRVs!BG425</f>
        <v>Bacteria</v>
      </c>
      <c r="F450" s="13" t="str">
        <f>IF(LRVs!BH425="","",LRVs!BH425)</f>
        <v>Fecal coliform</v>
      </c>
      <c r="G450">
        <f>IF(LRVs!BL425="","",LRVs!BL425)</f>
        <v>0.30102999566398125</v>
      </c>
    </row>
    <row r="451" spans="2:7" x14ac:dyDescent="0.3">
      <c r="B451">
        <v>495</v>
      </c>
      <c r="C451" s="13" t="str">
        <f>_xlfn.XLOOKUP(B451,LRV[id],LRV[source])</f>
        <v>Francy et al. (2012)</v>
      </c>
      <c r="D451" s="13" t="str">
        <f>LRVs!C426</f>
        <v>UV</v>
      </c>
      <c r="E451" s="13" t="str">
        <f>LRVs!BG426</f>
        <v>Bacteria</v>
      </c>
      <c r="F451" s="13" t="str">
        <f>IF(LRVs!BH426="","",LRVs!BH426)</f>
        <v>Fecal coliform</v>
      </c>
      <c r="G451">
        <f>IF(LRVs!BL426="","",LRVs!BL426)</f>
        <v>0.69897000433601875</v>
      </c>
    </row>
    <row r="452" spans="2:7" x14ac:dyDescent="0.3">
      <c r="B452">
        <v>496</v>
      </c>
      <c r="C452" s="13" t="str">
        <f>_xlfn.XLOOKUP(B452,LRV[id],LRV[source])</f>
        <v>Francy et al. (2012)</v>
      </c>
      <c r="D452" s="13" t="e">
        <f>LRVs!#REF!</f>
        <v>#REF!</v>
      </c>
      <c r="E452" s="13" t="e">
        <f>LRVs!#REF!</f>
        <v>#REF!</v>
      </c>
      <c r="F452" s="13" t="e">
        <f>IF(LRVs!#REF!="","",LRVs!#REF!)</f>
        <v>#REF!</v>
      </c>
      <c r="G452" t="e">
        <f>IF(LRVs!#REF!="","",LRVs!#REF!)</f>
        <v>#REF!</v>
      </c>
    </row>
    <row r="453" spans="2:7" x14ac:dyDescent="0.3">
      <c r="B453">
        <v>505</v>
      </c>
      <c r="C453" s="13" t="str">
        <f>_xlfn.XLOOKUP(B453,LRV[id],LRV[source])</f>
        <v>Francy et al. (2012)</v>
      </c>
      <c r="D453" s="13" t="e">
        <f>LRVs!#REF!</f>
        <v>#REF!</v>
      </c>
      <c r="E453" s="13" t="e">
        <f>LRVs!#REF!</f>
        <v>#REF!</v>
      </c>
      <c r="F453" s="13" t="e">
        <f>IF(LRVs!#REF!="","",LRVs!#REF!)</f>
        <v>#REF!</v>
      </c>
      <c r="G453" t="e">
        <f>IF(LRVs!#REF!="","",LRVs!#REF!)</f>
        <v>#REF!</v>
      </c>
    </row>
    <row r="454" spans="2:7" x14ac:dyDescent="0.3">
      <c r="B454">
        <v>506</v>
      </c>
      <c r="C454" s="13" t="str">
        <f>_xlfn.XLOOKUP(B454,LRV[id],LRV[source])</f>
        <v>Francy et al. (2012)</v>
      </c>
      <c r="D454" s="13" t="e">
        <f>LRVs!#REF!</f>
        <v>#REF!</v>
      </c>
      <c r="E454" s="13" t="e">
        <f>LRVs!#REF!</f>
        <v>#REF!</v>
      </c>
      <c r="F454" s="13" t="e">
        <f>IF(LRVs!#REF!="","",LRVs!#REF!)</f>
        <v>#REF!</v>
      </c>
      <c r="G454" t="e">
        <f>IF(LRVs!#REF!="","",LRVs!#REF!)</f>
        <v>#REF!</v>
      </c>
    </row>
    <row r="455" spans="2:7" x14ac:dyDescent="0.3">
      <c r="B455">
        <v>507</v>
      </c>
      <c r="C455" s="13" t="str">
        <f>_xlfn.XLOOKUP(B455,LRV[id],LRV[source])</f>
        <v>Francy et al. (2012)</v>
      </c>
      <c r="D455" s="13" t="str">
        <f>LRVs!C427</f>
        <v>UV</v>
      </c>
      <c r="E455" s="13" t="str">
        <f>LRVs!BG427</f>
        <v>Bacteria</v>
      </c>
      <c r="F455" s="13" t="str">
        <f>IF(LRVs!BH427="","",LRVs!BH427)</f>
        <v>Fecal coliform</v>
      </c>
      <c r="G455">
        <f>IF(LRVs!BL427="","",LRVs!BL427)</f>
        <v>0</v>
      </c>
    </row>
    <row r="456" spans="2:7" x14ac:dyDescent="0.3">
      <c r="B456">
        <v>508</v>
      </c>
      <c r="C456" s="13" t="str">
        <f>_xlfn.XLOOKUP(B456,LRV[id],LRV[source])</f>
        <v>Francy et al. (2012)</v>
      </c>
      <c r="D456" s="13" t="e">
        <f>LRVs!#REF!</f>
        <v>#REF!</v>
      </c>
      <c r="E456" s="13" t="e">
        <f>LRVs!#REF!</f>
        <v>#REF!</v>
      </c>
      <c r="F456" s="13" t="e">
        <f>IF(LRVs!#REF!="","",LRVs!#REF!)</f>
        <v>#REF!</v>
      </c>
      <c r="G456" t="e">
        <f>IF(LRVs!#REF!="","",LRVs!#REF!)</f>
        <v>#REF!</v>
      </c>
    </row>
    <row r="457" spans="2:7" x14ac:dyDescent="0.3">
      <c r="B457">
        <v>513</v>
      </c>
      <c r="C457" s="13" t="str">
        <f>_xlfn.XLOOKUP(B457,LRV[id],LRV[source])</f>
        <v>Francy et al. (2012)</v>
      </c>
      <c r="D457" s="13" t="e">
        <f>LRVs!#REF!</f>
        <v>#REF!</v>
      </c>
      <c r="E457" s="13" t="e">
        <f>LRVs!#REF!</f>
        <v>#REF!</v>
      </c>
      <c r="F457" s="13" t="e">
        <f>IF(LRVs!#REF!="","",LRVs!#REF!)</f>
        <v>#REF!</v>
      </c>
      <c r="G457" t="e">
        <f>IF(LRVs!#REF!="","",LRVs!#REF!)</f>
        <v>#REF!</v>
      </c>
    </row>
    <row r="458" spans="2:7" x14ac:dyDescent="0.3">
      <c r="B458">
        <v>514</v>
      </c>
      <c r="C458" s="13" t="str">
        <f>_xlfn.XLOOKUP(B458,LRV[id],LRV[source])</f>
        <v>Francy et al. (2012)</v>
      </c>
      <c r="D458" s="13" t="e">
        <f>LRVs!#REF!</f>
        <v>#REF!</v>
      </c>
      <c r="E458" s="13" t="e">
        <f>LRVs!#REF!</f>
        <v>#REF!</v>
      </c>
      <c r="F458" s="13" t="e">
        <f>IF(LRVs!#REF!="","",LRVs!#REF!)</f>
        <v>#REF!</v>
      </c>
      <c r="G458" t="e">
        <f>IF(LRVs!#REF!="","",LRVs!#REF!)</f>
        <v>#REF!</v>
      </c>
    </row>
    <row r="459" spans="2:7" x14ac:dyDescent="0.3">
      <c r="B459">
        <v>515</v>
      </c>
      <c r="C459" s="13" t="str">
        <f>_xlfn.XLOOKUP(B459,LRV[id],LRV[source])</f>
        <v>Francy et al. (2012)</v>
      </c>
      <c r="D459" s="13" t="e">
        <f>LRVs!#REF!</f>
        <v>#REF!</v>
      </c>
      <c r="E459" s="13" t="e">
        <f>LRVs!#REF!</f>
        <v>#REF!</v>
      </c>
      <c r="F459" s="13" t="e">
        <f>IF(LRVs!#REF!="","",LRVs!#REF!)</f>
        <v>#REF!</v>
      </c>
      <c r="G459" t="e">
        <f>IF(LRVs!#REF!="","",LRVs!#REF!)</f>
        <v>#REF!</v>
      </c>
    </row>
    <row r="460" spans="2:7" x14ac:dyDescent="0.3">
      <c r="B460">
        <v>516</v>
      </c>
      <c r="C460" s="13" t="str">
        <f>_xlfn.XLOOKUP(B460,LRV[id],LRV[source])</f>
        <v>Francy et al. (2012)</v>
      </c>
      <c r="D460" s="13" t="e">
        <f>LRVs!#REF!</f>
        <v>#REF!</v>
      </c>
      <c r="E460" s="13" t="e">
        <f>LRVs!#REF!</f>
        <v>#REF!</v>
      </c>
      <c r="F460" s="13" t="e">
        <f>IF(LRVs!#REF!="","",LRVs!#REF!)</f>
        <v>#REF!</v>
      </c>
      <c r="G460" t="e">
        <f>IF(LRVs!#REF!="","",LRVs!#REF!)</f>
        <v>#REF!</v>
      </c>
    </row>
    <row r="461" spans="2:7" x14ac:dyDescent="0.3">
      <c r="B461">
        <v>517</v>
      </c>
      <c r="C461" s="13" t="str">
        <f>_xlfn.XLOOKUP(B461,LRV[id],LRV[source])</f>
        <v>Francy et al. (2012)</v>
      </c>
      <c r="D461" s="13" t="e">
        <f>LRVs!#REF!</f>
        <v>#REF!</v>
      </c>
      <c r="E461" s="13" t="e">
        <f>LRVs!#REF!</f>
        <v>#REF!</v>
      </c>
      <c r="F461" s="13" t="e">
        <f>IF(LRVs!#REF!="","",LRVs!#REF!)</f>
        <v>#REF!</v>
      </c>
      <c r="G461" t="e">
        <f>IF(LRVs!#REF!="","",LRVs!#REF!)</f>
        <v>#REF!</v>
      </c>
    </row>
    <row r="462" spans="2:7" x14ac:dyDescent="0.3">
      <c r="B462">
        <v>518</v>
      </c>
      <c r="C462" s="13" t="str">
        <f>_xlfn.XLOOKUP(B462,LRV[id],LRV[source])</f>
        <v>Francy et al. (2012)</v>
      </c>
      <c r="D462" s="13" t="e">
        <f>LRVs!#REF!</f>
        <v>#REF!</v>
      </c>
      <c r="E462" s="13" t="e">
        <f>LRVs!#REF!</f>
        <v>#REF!</v>
      </c>
      <c r="F462" s="13" t="e">
        <f>IF(LRVs!#REF!="","",LRVs!#REF!)</f>
        <v>#REF!</v>
      </c>
      <c r="G462" t="e">
        <f>IF(LRVs!#REF!="","",LRVs!#REF!)</f>
        <v>#REF!</v>
      </c>
    </row>
    <row r="463" spans="2:7" x14ac:dyDescent="0.3">
      <c r="B463">
        <v>519</v>
      </c>
      <c r="C463" s="13" t="str">
        <f>_xlfn.XLOOKUP(B463,LRV[id],LRV[source])</f>
        <v>Francy et al. (2012)</v>
      </c>
      <c r="D463" s="13" t="e">
        <f>LRVs!#REF!</f>
        <v>#REF!</v>
      </c>
      <c r="E463" s="13" t="e">
        <f>LRVs!#REF!</f>
        <v>#REF!</v>
      </c>
      <c r="F463" s="13" t="e">
        <f>IF(LRVs!#REF!="","",LRVs!#REF!)</f>
        <v>#REF!</v>
      </c>
      <c r="G463" t="e">
        <f>IF(LRVs!#REF!="","",LRVs!#REF!)</f>
        <v>#REF!</v>
      </c>
    </row>
    <row r="464" spans="2:7" x14ac:dyDescent="0.3">
      <c r="B464">
        <v>520</v>
      </c>
      <c r="C464" s="13" t="str">
        <f>_xlfn.XLOOKUP(B464,LRV[id],LRV[source])</f>
        <v>Francy et al. (2012)</v>
      </c>
      <c r="D464" s="13" t="e">
        <f>LRVs!#REF!</f>
        <v>#REF!</v>
      </c>
      <c r="E464" s="13" t="e">
        <f>LRVs!#REF!</f>
        <v>#REF!</v>
      </c>
      <c r="F464" s="13" t="e">
        <f>IF(LRVs!#REF!="","",LRVs!#REF!)</f>
        <v>#REF!</v>
      </c>
      <c r="G464" t="e">
        <f>IF(LRVs!#REF!="","",LRVs!#REF!)</f>
        <v>#REF!</v>
      </c>
    </row>
    <row r="465" spans="2:7" x14ac:dyDescent="0.3">
      <c r="B465">
        <v>521</v>
      </c>
      <c r="C465" s="13" t="str">
        <f>_xlfn.XLOOKUP(B465,LRV[id],LRV[source])</f>
        <v>Francy et al. (2012)</v>
      </c>
      <c r="D465" s="13" t="str">
        <f>LRVs!C428</f>
        <v>UV</v>
      </c>
      <c r="E465" s="13" t="str">
        <f>LRVs!BG428</f>
        <v>Bacteria</v>
      </c>
      <c r="F465" s="13" t="str">
        <f>IF(LRVs!BH428="","",LRVs!BH428)</f>
        <v>Fecal coliform</v>
      </c>
      <c r="G465">
        <f>IF(LRVs!BL428="","",LRVs!BL428)</f>
        <v>4.7558748556724915</v>
      </c>
    </row>
    <row r="466" spans="2:7" x14ac:dyDescent="0.3">
      <c r="B466">
        <v>522</v>
      </c>
      <c r="C466" s="13" t="str">
        <f>_xlfn.XLOOKUP(B466,LRV[id],LRV[source])</f>
        <v>Francy et al. (2012)</v>
      </c>
      <c r="D466" s="13" t="str">
        <f>LRVs!C429</f>
        <v>UV</v>
      </c>
      <c r="E466" s="13" t="str">
        <f>LRVs!BG429</f>
        <v>Bacteria</v>
      </c>
      <c r="F466" s="13" t="str">
        <f>IF(LRVs!BH429="","",LRVs!BH429)</f>
        <v>Fecal coliform</v>
      </c>
      <c r="G466">
        <f>IF(LRVs!BL429="","",LRVs!BL429)</f>
        <v>3.4471580313422194</v>
      </c>
    </row>
    <row r="467" spans="2:7" x14ac:dyDescent="0.3">
      <c r="B467">
        <v>523</v>
      </c>
      <c r="C467" s="13" t="str">
        <f>_xlfn.XLOOKUP(B467,LRV[id],LRV[source])</f>
        <v>Francy et al. (2012)</v>
      </c>
      <c r="D467" s="13" t="str">
        <f>LRVs!C430</f>
        <v>UV</v>
      </c>
      <c r="E467" s="13" t="str">
        <f>LRVs!BG430</f>
        <v>Bacteria</v>
      </c>
      <c r="F467" s="13" t="str">
        <f>IF(LRVs!BH430="","",LRVs!BH430)</f>
        <v>Fecal coliform</v>
      </c>
      <c r="G467">
        <f>IF(LRVs!BL430="","",LRVs!BL430)</f>
        <v>3.3979400086720375</v>
      </c>
    </row>
    <row r="468" spans="2:7" x14ac:dyDescent="0.3">
      <c r="B468">
        <v>524</v>
      </c>
      <c r="C468" s="13" t="str">
        <f>_xlfn.XLOOKUP(B468,LRV[id],LRV[source])</f>
        <v>Francy et al. (2012)</v>
      </c>
      <c r="D468" s="13" t="str">
        <f>LRVs!C431</f>
        <v>UV</v>
      </c>
      <c r="E468" s="13" t="str">
        <f>LRVs!BG431</f>
        <v>Bacteria</v>
      </c>
      <c r="F468" s="13" t="str">
        <f>IF(LRVs!BH431="","",LRVs!BH431)</f>
        <v>Fecal coliform</v>
      </c>
      <c r="G468">
        <f>IF(LRVs!BL431="","",LRVs!BL431)</f>
        <v>4.3424226808222066</v>
      </c>
    </row>
    <row r="469" spans="2:7" x14ac:dyDescent="0.3">
      <c r="B469">
        <v>525</v>
      </c>
      <c r="C469" s="13" t="str">
        <f>_xlfn.XLOOKUP(B469,LRV[id],LRV[source])</f>
        <v>Francy et al. (2012)</v>
      </c>
      <c r="D469" s="13" t="e">
        <f>LRVs!#REF!</f>
        <v>#REF!</v>
      </c>
      <c r="E469" s="13" t="e">
        <f>LRVs!#REF!</f>
        <v>#REF!</v>
      </c>
      <c r="F469" s="13" t="e">
        <f>IF(LRVs!#REF!="","",LRVs!#REF!)</f>
        <v>#REF!</v>
      </c>
      <c r="G469" t="e">
        <f>IF(LRVs!#REF!="","",LRVs!#REF!)</f>
        <v>#REF!</v>
      </c>
    </row>
    <row r="470" spans="2:7" x14ac:dyDescent="0.3">
      <c r="B470">
        <v>526</v>
      </c>
      <c r="C470" s="13" t="str">
        <f>_xlfn.XLOOKUP(B470,LRV[id],LRV[source])</f>
        <v>Francy et al. (2012)</v>
      </c>
      <c r="D470" s="13" t="e">
        <f>LRVs!#REF!</f>
        <v>#REF!</v>
      </c>
      <c r="E470" s="13" t="e">
        <f>LRVs!#REF!</f>
        <v>#REF!</v>
      </c>
      <c r="F470" s="13" t="e">
        <f>IF(LRVs!#REF!="","",LRVs!#REF!)</f>
        <v>#REF!</v>
      </c>
      <c r="G470" t="e">
        <f>IF(LRVs!#REF!="","",LRVs!#REF!)</f>
        <v>#REF!</v>
      </c>
    </row>
    <row r="471" spans="2:7" x14ac:dyDescent="0.3">
      <c r="B471">
        <v>527</v>
      </c>
      <c r="C471" s="13" t="str">
        <f>_xlfn.XLOOKUP(B471,LRV[id],LRV[source])</f>
        <v>Francy et al. (2012)</v>
      </c>
      <c r="D471" s="13" t="e">
        <f>LRVs!#REF!</f>
        <v>#REF!</v>
      </c>
      <c r="E471" s="13" t="e">
        <f>LRVs!#REF!</f>
        <v>#REF!</v>
      </c>
      <c r="F471" s="13" t="e">
        <f>IF(LRVs!#REF!="","",LRVs!#REF!)</f>
        <v>#REF!</v>
      </c>
      <c r="G471" t="e">
        <f>IF(LRVs!#REF!="","",LRVs!#REF!)</f>
        <v>#REF!</v>
      </c>
    </row>
    <row r="472" spans="2:7" x14ac:dyDescent="0.3">
      <c r="B472">
        <v>528</v>
      </c>
      <c r="C472" s="13" t="str">
        <f>_xlfn.XLOOKUP(B472,LRV[id],LRV[source])</f>
        <v>Francy et al. (2012)</v>
      </c>
      <c r="D472" s="13" t="e">
        <f>LRVs!#REF!</f>
        <v>#REF!</v>
      </c>
      <c r="E472" s="13" t="e">
        <f>LRVs!#REF!</f>
        <v>#REF!</v>
      </c>
      <c r="F472" s="13" t="e">
        <f>IF(LRVs!#REF!="","",LRVs!#REF!)</f>
        <v>#REF!</v>
      </c>
      <c r="G472" t="e">
        <f>IF(LRVs!#REF!="","",LRVs!#REF!)</f>
        <v>#REF!</v>
      </c>
    </row>
    <row r="473" spans="2:7" x14ac:dyDescent="0.3">
      <c r="B473">
        <v>529</v>
      </c>
      <c r="C473" s="13" t="str">
        <f>_xlfn.XLOOKUP(B473,LRV[id],LRV[source])</f>
        <v>Francy et al. (2012)</v>
      </c>
      <c r="D473" s="13" t="str">
        <f>LRVs!C432</f>
        <v>Chlorine</v>
      </c>
      <c r="E473" s="13" t="str">
        <f>LRVs!BG432</f>
        <v>Bacteria</v>
      </c>
      <c r="F473" s="13" t="str">
        <f>IF(LRVs!BH432="","",LRVs!BH432)</f>
        <v>Fecal coliform</v>
      </c>
      <c r="G473">
        <f>IF(LRVs!BL432="","",LRVs!BL432)</f>
        <v>2.5642714304385628</v>
      </c>
    </row>
    <row r="474" spans="2:7" x14ac:dyDescent="0.3">
      <c r="B474">
        <v>532</v>
      </c>
      <c r="C474" s="13" t="str">
        <f>_xlfn.XLOOKUP(B474,LRV[id],LRV[source])</f>
        <v>Francy et al. (2012)</v>
      </c>
      <c r="D474" s="13" t="str">
        <f>LRVs!C433</f>
        <v>Chlorine</v>
      </c>
      <c r="E474" s="13" t="str">
        <f>LRVs!BG433</f>
        <v>Bacteria</v>
      </c>
      <c r="F474" s="13" t="str">
        <f>IF(LRVs!BH433="","",LRVs!BH433)</f>
        <v>Fecal coliform</v>
      </c>
      <c r="G474">
        <f>IF(LRVs!BL433="","",LRVs!BL433)</f>
        <v>3.2632414347745815</v>
      </c>
    </row>
    <row r="475" spans="2:7" x14ac:dyDescent="0.3">
      <c r="B475">
        <v>534</v>
      </c>
      <c r="C475" s="13" t="str">
        <f>_xlfn.XLOOKUP(B475,LRV[id],LRV[source])</f>
        <v>Francy et al. (2012)</v>
      </c>
      <c r="D475" s="13" t="str">
        <f>LRVs!C434</f>
        <v>Chlorine</v>
      </c>
      <c r="E475" s="13" t="str">
        <f>LRVs!BG434</f>
        <v>Bacteria</v>
      </c>
      <c r="F475" s="13" t="str">
        <f>IF(LRVs!BH434="","",LRVs!BH434)</f>
        <v>Fecal coliform</v>
      </c>
      <c r="G475">
        <f>IF(LRVs!BL434="","",LRVs!BL434)</f>
        <v>2.1165055690714376</v>
      </c>
    </row>
    <row r="476" spans="2:7" x14ac:dyDescent="0.3">
      <c r="B476">
        <v>535</v>
      </c>
      <c r="C476" s="13" t="str">
        <f>_xlfn.XLOOKUP(B476,LRV[id],LRV[source])</f>
        <v>Francy et al. (2012)</v>
      </c>
      <c r="D476" s="13" t="str">
        <f>LRVs!C435</f>
        <v>Chlorine</v>
      </c>
      <c r="E476" s="13" t="str">
        <f>LRVs!BG435</f>
        <v>Bacteria</v>
      </c>
      <c r="F476" s="13" t="str">
        <f>IF(LRVs!BH435="","",LRVs!BH435)</f>
        <v>Fecal coliform</v>
      </c>
      <c r="G476">
        <f>IF(LRVs!BL435="","",LRVs!BL435)</f>
        <v>2.106455330914287</v>
      </c>
    </row>
    <row r="477" spans="2:7" x14ac:dyDescent="0.3">
      <c r="B477">
        <v>536</v>
      </c>
      <c r="C477" s="13" t="str">
        <f>_xlfn.XLOOKUP(B477,LRV[id],LRV[source])</f>
        <v>Francy et al. (2012)</v>
      </c>
      <c r="D477" s="13" t="str">
        <f>LRVs!C436</f>
        <v>Membrane bioreactor</v>
      </c>
      <c r="E477" s="13" t="str">
        <f>LRVs!BG436</f>
        <v>Bacteria</v>
      </c>
      <c r="F477" s="13" t="str">
        <f>IF(LRVs!BH436="","",LRVs!BH436)</f>
        <v>Enterococci</v>
      </c>
      <c r="G477">
        <f>IF(LRVs!BL436="","",LRVs!BL436)</f>
        <v>5.3521825181113627</v>
      </c>
    </row>
    <row r="478" spans="2:7" x14ac:dyDescent="0.3">
      <c r="B478">
        <v>538</v>
      </c>
      <c r="C478" s="13" t="str">
        <f>_xlfn.XLOOKUP(B478,LRV[id],LRV[source])</f>
        <v>Francy et al. (2012)</v>
      </c>
      <c r="D478" s="13" t="str">
        <f>LRVs!C437</f>
        <v>Membrane bioreactor</v>
      </c>
      <c r="E478" s="13" t="str">
        <f>LRVs!BG437</f>
        <v>Bacteria</v>
      </c>
      <c r="F478" s="13" t="str">
        <f>IF(LRVs!BH437="","",LRVs!BH437)</f>
        <v>Enterococci</v>
      </c>
      <c r="G478">
        <f>IF(LRVs!BL437="","",LRVs!BL437)</f>
        <v>7.4913616938342731</v>
      </c>
    </row>
    <row r="479" spans="2:7" x14ac:dyDescent="0.3">
      <c r="B479">
        <v>547</v>
      </c>
      <c r="C479" s="13" t="str">
        <f>_xlfn.XLOOKUP(B479,LRV[id],LRV[source])</f>
        <v>Francy et al. (2012)</v>
      </c>
      <c r="D479" s="13" t="str">
        <f>LRVs!C438</f>
        <v>Membrane bioreactor</v>
      </c>
      <c r="E479" s="13" t="str">
        <f>LRVs!BG438</f>
        <v>Bacteria</v>
      </c>
      <c r="F479" s="13" t="str">
        <f>IF(LRVs!BH438="","",LRVs!BH438)</f>
        <v>Enterococci</v>
      </c>
      <c r="G479">
        <f>IF(LRVs!BL438="","",LRVs!BL438)</f>
        <v>6.0413926851582245</v>
      </c>
    </row>
    <row r="480" spans="2:7" x14ac:dyDescent="0.3">
      <c r="B480">
        <v>548</v>
      </c>
      <c r="C480" s="13" t="str">
        <f>_xlfn.XLOOKUP(B480,LRV[id],LRV[source])</f>
        <v>Francy et al. (2012)</v>
      </c>
      <c r="D480" s="13" t="str">
        <f>LRVs!C439</f>
        <v>Membrane bioreactor</v>
      </c>
      <c r="E480" s="13" t="str">
        <f>LRVs!BG439</f>
        <v>Bacteria</v>
      </c>
      <c r="F480" s="13" t="str">
        <f>IF(LRVs!BH439="","",LRVs!BH439)</f>
        <v>Enterococci</v>
      </c>
      <c r="G480">
        <f>IF(LRVs!BL439="","",LRVs!BL439)</f>
        <v>4.8239087409443187</v>
      </c>
    </row>
    <row r="481" spans="2:7" x14ac:dyDescent="0.3">
      <c r="B481">
        <v>549</v>
      </c>
      <c r="C481" s="13" t="str">
        <f>_xlfn.XLOOKUP(B481,LRV[id],LRV[source])</f>
        <v>Francy et al. (2012)</v>
      </c>
      <c r="D481" s="13" t="str">
        <f>LRVs!C440</f>
        <v>Membrane bioreactor</v>
      </c>
      <c r="E481" s="13" t="str">
        <f>LRVs!BG440</f>
        <v>Bacteria</v>
      </c>
      <c r="F481" s="13" t="str">
        <f>IF(LRVs!BH440="","",LRVs!BH440)</f>
        <v>Enterococci</v>
      </c>
      <c r="G481">
        <f>IF(LRVs!BL440="","",LRVs!BL440)</f>
        <v>5.9420080530223132</v>
      </c>
    </row>
    <row r="482" spans="2:7" x14ac:dyDescent="0.3">
      <c r="B482">
        <v>550</v>
      </c>
      <c r="C482" s="13" t="str">
        <f>_xlfn.XLOOKUP(B482,LRV[id],LRV[source])</f>
        <v>Francy et al. (2012)</v>
      </c>
      <c r="D482" s="13" t="str">
        <f>LRVs!C441</f>
        <v>Membrane bioreactor</v>
      </c>
      <c r="E482" s="13" t="str">
        <f>LRVs!BG441</f>
        <v>Bacteria</v>
      </c>
      <c r="F482" s="13" t="str">
        <f>IF(LRVs!BH441="","",LRVs!BH441)</f>
        <v>Enterococci</v>
      </c>
      <c r="G482">
        <f>IF(LRVs!BL441="","",LRVs!BL441)</f>
        <v>5.204119982655925</v>
      </c>
    </row>
    <row r="483" spans="2:7" x14ac:dyDescent="0.3">
      <c r="B483">
        <v>555</v>
      </c>
      <c r="C483" s="13" t="str">
        <f>_xlfn.XLOOKUP(B483,LRV[id],LRV[source])</f>
        <v>Francy et al. (2012)</v>
      </c>
      <c r="D483" s="13" t="str">
        <f>LRVs!C442</f>
        <v>Membrane bioreactor</v>
      </c>
      <c r="E483" s="13" t="str">
        <f>LRVs!BG442</f>
        <v>Bacteria</v>
      </c>
      <c r="F483" s="13" t="str">
        <f>IF(LRVs!BH442="","",LRVs!BH442)</f>
        <v>Enterococci</v>
      </c>
      <c r="G483">
        <f>IF(LRVs!BL442="","",LRVs!BL442)</f>
        <v>6.3222192947339195</v>
      </c>
    </row>
    <row r="484" spans="2:7" x14ac:dyDescent="0.3">
      <c r="B484">
        <v>556</v>
      </c>
      <c r="C484" s="13" t="str">
        <f>_xlfn.XLOOKUP(B484,LRV[id],LRV[source])</f>
        <v>Francy et al. (2012)</v>
      </c>
      <c r="D484" s="13" t="str">
        <f>LRVs!C443</f>
        <v>Membrane bioreactor</v>
      </c>
      <c r="E484" s="13" t="str">
        <f>LRVs!BG443</f>
        <v>Bacteria</v>
      </c>
      <c r="F484" s="13" t="str">
        <f>IF(LRVs!BH443="","",LRVs!BH443)</f>
        <v>Enterococci</v>
      </c>
      <c r="G484">
        <f>IF(LRVs!BL443="","",LRVs!BL443)</f>
        <v>6.6127838567197355</v>
      </c>
    </row>
    <row r="485" spans="2:7" x14ac:dyDescent="0.3">
      <c r="B485">
        <v>557</v>
      </c>
      <c r="C485" s="13" t="str">
        <f>_xlfn.XLOOKUP(B485,LRV[id],LRV[source])</f>
        <v>Francy et al. (2012)</v>
      </c>
      <c r="D485" s="13" t="str">
        <f>LRVs!C444</f>
        <v>Membrane bioreactor</v>
      </c>
      <c r="E485" s="13" t="str">
        <f>LRVs!BG444</f>
        <v>Bacteria</v>
      </c>
      <c r="F485" s="13" t="str">
        <f>IF(LRVs!BH444="","",LRVs!BH444)</f>
        <v>Enterococci</v>
      </c>
      <c r="G485">
        <f>IF(LRVs!BL444="","",LRVs!BL444)</f>
        <v>6.3222192947339195</v>
      </c>
    </row>
    <row r="486" spans="2:7" x14ac:dyDescent="0.3">
      <c r="B486">
        <v>558</v>
      </c>
      <c r="C486" s="13" t="str">
        <f>_xlfn.XLOOKUP(B486,LRV[id],LRV[source])</f>
        <v>Francy et al. (2012)</v>
      </c>
      <c r="D486" s="13" t="str">
        <f>LRVs!C445</f>
        <v>Membrane bioreactor</v>
      </c>
      <c r="E486" s="13" t="str">
        <f>LRVs!BG445</f>
        <v>Bacteria</v>
      </c>
      <c r="F486" s="13" t="str">
        <f>IF(LRVs!BH445="","",LRVs!BH445)</f>
        <v>Enterococci</v>
      </c>
      <c r="G486">
        <f>IF(LRVs!BL445="","",LRVs!BL445)</f>
        <v>6.2552725051033065</v>
      </c>
    </row>
    <row r="487" spans="2:7" x14ac:dyDescent="0.3">
      <c r="B487">
        <v>559</v>
      </c>
      <c r="C487" s="13" t="str">
        <f>_xlfn.XLOOKUP(B487,LRV[id],LRV[source])</f>
        <v>Francy et al. (2012)</v>
      </c>
      <c r="D487" s="13" t="str">
        <f>LRVs!C446</f>
        <v>Membrane bioreactor</v>
      </c>
      <c r="E487" s="13" t="str">
        <f>LRVs!BG446</f>
        <v>Bacteria</v>
      </c>
      <c r="F487" s="13" t="str">
        <f>IF(LRVs!BH446="","",LRVs!BH446)</f>
        <v>Enterococci</v>
      </c>
      <c r="G487">
        <f>IF(LRVs!BL446="","",LRVs!BL446)</f>
        <v>6.3010299956639813</v>
      </c>
    </row>
    <row r="488" spans="2:7" x14ac:dyDescent="0.3">
      <c r="B488">
        <v>560</v>
      </c>
      <c r="C488" s="13" t="str">
        <f>_xlfn.XLOOKUP(B488,LRV[id],LRV[source])</f>
        <v>Francy et al. (2012)</v>
      </c>
      <c r="D488" s="13" t="str">
        <f>LRVs!C447</f>
        <v>UV</v>
      </c>
      <c r="E488" s="13" t="str">
        <f>LRVs!BG447</f>
        <v>Bacteria</v>
      </c>
      <c r="F488" s="13" t="str">
        <f>IF(LRVs!BH447="","",LRVs!BH447)</f>
        <v>Enterococci</v>
      </c>
      <c r="G488">
        <f>IF(LRVs!BL447="","",LRVs!BL447)</f>
        <v>2.2041199826559246</v>
      </c>
    </row>
    <row r="489" spans="2:7" x14ac:dyDescent="0.3">
      <c r="B489">
        <v>561</v>
      </c>
      <c r="C489" s="13" t="str">
        <f>_xlfn.XLOOKUP(B489,LRV[id],LRV[source])</f>
        <v>Francy et al. (2012)</v>
      </c>
      <c r="D489" s="13" t="str">
        <f>LRVs!C448</f>
        <v>UV</v>
      </c>
      <c r="E489" s="13" t="str">
        <f>LRVs!BG448</f>
        <v>Bacteria</v>
      </c>
      <c r="F489" s="13" t="str">
        <f>IF(LRVs!BH448="","",LRVs!BH448)</f>
        <v>Enterococci</v>
      </c>
      <c r="G489">
        <f>IF(LRVs!BL448="","",LRVs!BL448)</f>
        <v>-0.30102999566398125</v>
      </c>
    </row>
    <row r="490" spans="2:7" x14ac:dyDescent="0.3">
      <c r="B490">
        <v>562</v>
      </c>
      <c r="C490" s="13" t="str">
        <f>_xlfn.XLOOKUP(B490,LRV[id],LRV[source])</f>
        <v>Francy et al. (2012)</v>
      </c>
      <c r="D490" s="13" t="str">
        <f>LRVs!C449</f>
        <v>UV</v>
      </c>
      <c r="E490" s="13" t="str">
        <f>LRVs!BG449</f>
        <v>Bacteria</v>
      </c>
      <c r="F490" s="13" t="str">
        <f>IF(LRVs!BH449="","",LRVs!BH449)</f>
        <v>Enterococci</v>
      </c>
      <c r="G490">
        <f>IF(LRVs!BL449="","",LRVs!BL449)</f>
        <v>0.47712125471966238</v>
      </c>
    </row>
    <row r="491" spans="2:7" x14ac:dyDescent="0.3">
      <c r="B491">
        <v>563</v>
      </c>
      <c r="C491" s="13" t="str">
        <f>_xlfn.XLOOKUP(B491,LRV[id],LRV[source])</f>
        <v>Francy et al. (2012)</v>
      </c>
      <c r="D491" s="13" t="str">
        <f>LRVs!C450</f>
        <v>UV</v>
      </c>
      <c r="E491" s="13" t="str">
        <f>LRVs!BG450</f>
        <v>Bacteria</v>
      </c>
      <c r="F491" s="13" t="str">
        <f>IF(LRVs!BH450="","",LRVs!BH450)</f>
        <v>Enterococci</v>
      </c>
      <c r="G491">
        <f>IF(LRVs!BL450="","",LRVs!BL450)</f>
        <v>0.77815125038364363</v>
      </c>
    </row>
    <row r="492" spans="2:7" x14ac:dyDescent="0.3">
      <c r="B492">
        <v>564</v>
      </c>
      <c r="C492" s="13" t="str">
        <f>_xlfn.XLOOKUP(B492,LRV[id],LRV[source])</f>
        <v>Francy et al. (2012)</v>
      </c>
      <c r="D492" s="13" t="str">
        <f>LRVs!C451</f>
        <v>UV</v>
      </c>
      <c r="E492" s="13" t="str">
        <f>LRVs!BG451</f>
        <v>Bacteria</v>
      </c>
      <c r="F492" s="13" t="str">
        <f>IF(LRVs!BH451="","",LRVs!BH451)</f>
        <v>Enterococci</v>
      </c>
      <c r="G492">
        <f>IF(LRVs!BL451="","",LRVs!BL451)</f>
        <v>0.60205999132796229</v>
      </c>
    </row>
    <row r="493" spans="2:7" x14ac:dyDescent="0.3">
      <c r="B493">
        <v>565</v>
      </c>
      <c r="C493" s="13" t="str">
        <f>_xlfn.XLOOKUP(B493,LRV[id],LRV[source])</f>
        <v>Francy et al. (2012)</v>
      </c>
      <c r="D493" s="13" t="str">
        <f>LRVs!C452</f>
        <v>UV</v>
      </c>
      <c r="E493" s="13" t="str">
        <f>LRVs!BG452</f>
        <v>Bacteria</v>
      </c>
      <c r="F493" s="13" t="str">
        <f>IF(LRVs!BH452="","",LRVs!BH452)</f>
        <v>Enterococci</v>
      </c>
      <c r="G493">
        <f>IF(LRVs!BL452="","",LRVs!BL452)</f>
        <v>0.60205999132796229</v>
      </c>
    </row>
    <row r="494" spans="2:7" x14ac:dyDescent="0.3">
      <c r="B494">
        <v>566</v>
      </c>
      <c r="C494" s="13" t="str">
        <f>_xlfn.XLOOKUP(B494,LRV[id],LRV[source])</f>
        <v>Francy et al. (2012)</v>
      </c>
      <c r="D494" s="13" t="e">
        <f>LRVs!#REF!</f>
        <v>#REF!</v>
      </c>
      <c r="E494" s="13" t="e">
        <f>LRVs!#REF!</f>
        <v>#REF!</v>
      </c>
      <c r="F494" s="13" t="e">
        <f>IF(LRVs!#REF!="","",LRVs!#REF!)</f>
        <v>#REF!</v>
      </c>
      <c r="G494" t="e">
        <f>IF(LRVs!#REF!="","",LRVs!#REF!)</f>
        <v>#REF!</v>
      </c>
    </row>
    <row r="495" spans="2:7" x14ac:dyDescent="0.3">
      <c r="B495">
        <v>567</v>
      </c>
      <c r="C495" s="13" t="str">
        <f>_xlfn.XLOOKUP(B495,LRV[id],LRV[source])</f>
        <v>Francy et al. (2012)</v>
      </c>
      <c r="D495" s="13" t="e">
        <f>LRVs!#REF!</f>
        <v>#REF!</v>
      </c>
      <c r="E495" s="13" t="e">
        <f>LRVs!#REF!</f>
        <v>#REF!</v>
      </c>
      <c r="F495" s="13" t="e">
        <f>IF(LRVs!#REF!="","",LRVs!#REF!)</f>
        <v>#REF!</v>
      </c>
      <c r="G495" t="e">
        <f>IF(LRVs!#REF!="","",LRVs!#REF!)</f>
        <v>#REF!</v>
      </c>
    </row>
    <row r="496" spans="2:7" x14ac:dyDescent="0.3">
      <c r="B496">
        <v>568</v>
      </c>
      <c r="C496" s="13" t="str">
        <f>_xlfn.XLOOKUP(B496,LRV[id],LRV[source])</f>
        <v>Francy et al. (2012)</v>
      </c>
      <c r="D496" s="13" t="e">
        <f>LRVs!#REF!</f>
        <v>#REF!</v>
      </c>
      <c r="E496" s="13" t="e">
        <f>LRVs!#REF!</f>
        <v>#REF!</v>
      </c>
      <c r="F496" s="13" t="e">
        <f>IF(LRVs!#REF!="","",LRVs!#REF!)</f>
        <v>#REF!</v>
      </c>
      <c r="G496" t="e">
        <f>IF(LRVs!#REF!="","",LRVs!#REF!)</f>
        <v>#REF!</v>
      </c>
    </row>
    <row r="497" spans="2:7" x14ac:dyDescent="0.3">
      <c r="B497">
        <v>569</v>
      </c>
      <c r="C497" s="13" t="str">
        <f>_xlfn.XLOOKUP(B497,LRV[id],LRV[source])</f>
        <v>Francy et al. (2012)</v>
      </c>
      <c r="D497" s="13" t="str">
        <f>LRVs!C453</f>
        <v>UV</v>
      </c>
      <c r="E497" s="13" t="str">
        <f>LRVs!BG453</f>
        <v>Bacteria</v>
      </c>
      <c r="F497" s="13" t="str">
        <f>IF(LRVs!BH453="","",LRVs!BH453)</f>
        <v>Enterococci</v>
      </c>
      <c r="G497">
        <f>IF(LRVs!BL453="","",LRVs!BL453)</f>
        <v>0</v>
      </c>
    </row>
    <row r="498" spans="2:7" x14ac:dyDescent="0.3">
      <c r="B498">
        <v>570</v>
      </c>
      <c r="C498" s="13" t="str">
        <f>_xlfn.XLOOKUP(B498,LRV[id],LRV[source])</f>
        <v>Francy et al. (2012)</v>
      </c>
      <c r="D498" s="13" t="str">
        <f>LRVs!C454</f>
        <v>UV</v>
      </c>
      <c r="E498" s="13" t="str">
        <f>LRVs!BG454</f>
        <v>Bacteria</v>
      </c>
      <c r="F498" s="13" t="str">
        <f>IF(LRVs!BH454="","",LRVs!BH454)</f>
        <v>Enterococci</v>
      </c>
      <c r="G498">
        <f>IF(LRVs!BL454="","",LRVs!BL454)</f>
        <v>0</v>
      </c>
    </row>
    <row r="499" spans="2:7" x14ac:dyDescent="0.3">
      <c r="B499">
        <v>571</v>
      </c>
      <c r="C499" s="13" t="str">
        <f>_xlfn.XLOOKUP(B499,LRV[id],LRV[source])</f>
        <v>Francy et al. (2012)</v>
      </c>
      <c r="D499" s="13" t="e">
        <f>LRVs!#REF!</f>
        <v>#REF!</v>
      </c>
      <c r="E499" s="13" t="e">
        <f>LRVs!#REF!</f>
        <v>#REF!</v>
      </c>
      <c r="F499" s="13" t="e">
        <f>IF(LRVs!#REF!="","",LRVs!#REF!)</f>
        <v>#REF!</v>
      </c>
      <c r="G499" t="e">
        <f>IF(LRVs!#REF!="","",LRVs!#REF!)</f>
        <v>#REF!</v>
      </c>
    </row>
    <row r="500" spans="2:7" x14ac:dyDescent="0.3">
      <c r="B500">
        <v>572</v>
      </c>
      <c r="C500" s="13" t="str">
        <f>_xlfn.XLOOKUP(B500,LRV[id],LRV[source])</f>
        <v>Francy et al. (2012)</v>
      </c>
      <c r="D500" s="13" t="e">
        <f>LRVs!#REF!</f>
        <v>#REF!</v>
      </c>
      <c r="E500" s="13" t="e">
        <f>LRVs!#REF!</f>
        <v>#REF!</v>
      </c>
      <c r="F500" s="13" t="e">
        <f>IF(LRVs!#REF!="","",LRVs!#REF!)</f>
        <v>#REF!</v>
      </c>
      <c r="G500" t="e">
        <f>IF(LRVs!#REF!="","",LRVs!#REF!)</f>
        <v>#REF!</v>
      </c>
    </row>
    <row r="501" spans="2:7" x14ac:dyDescent="0.3">
      <c r="B501">
        <v>573</v>
      </c>
      <c r="C501" s="13" t="str">
        <f>_xlfn.XLOOKUP(B501,LRV[id],LRV[source])</f>
        <v>Francy et al. (2012)</v>
      </c>
      <c r="D501" s="13" t="e">
        <f>LRVs!#REF!</f>
        <v>#REF!</v>
      </c>
      <c r="E501" s="13" t="e">
        <f>LRVs!#REF!</f>
        <v>#REF!</v>
      </c>
      <c r="F501" s="13" t="e">
        <f>IF(LRVs!#REF!="","",LRVs!#REF!)</f>
        <v>#REF!</v>
      </c>
      <c r="G501" t="e">
        <f>IF(LRVs!#REF!="","",LRVs!#REF!)</f>
        <v>#REF!</v>
      </c>
    </row>
    <row r="502" spans="2:7" x14ac:dyDescent="0.3">
      <c r="B502">
        <v>574</v>
      </c>
      <c r="C502" s="13" t="str">
        <f>_xlfn.XLOOKUP(B502,LRV[id],LRV[source])</f>
        <v>Francy et al. (2012)</v>
      </c>
      <c r="D502" s="13" t="e">
        <f>LRVs!#REF!</f>
        <v>#REF!</v>
      </c>
      <c r="E502" s="13" t="e">
        <f>LRVs!#REF!</f>
        <v>#REF!</v>
      </c>
      <c r="F502" s="13" t="e">
        <f>IF(LRVs!#REF!="","",LRVs!#REF!)</f>
        <v>#REF!</v>
      </c>
      <c r="G502" t="e">
        <f>IF(LRVs!#REF!="","",LRVs!#REF!)</f>
        <v>#REF!</v>
      </c>
    </row>
    <row r="503" spans="2:7" x14ac:dyDescent="0.3">
      <c r="B503">
        <v>575</v>
      </c>
      <c r="C503" s="13" t="str">
        <f>_xlfn.XLOOKUP(B503,LRV[id],LRV[source])</f>
        <v>Francy et al. (2012)</v>
      </c>
      <c r="D503" s="13" t="e">
        <f>LRVs!#REF!</f>
        <v>#REF!</v>
      </c>
      <c r="E503" s="13" t="e">
        <f>LRVs!#REF!</f>
        <v>#REF!</v>
      </c>
      <c r="F503" s="13" t="e">
        <f>IF(LRVs!#REF!="","",LRVs!#REF!)</f>
        <v>#REF!</v>
      </c>
      <c r="G503" t="e">
        <f>IF(LRVs!#REF!="","",LRVs!#REF!)</f>
        <v>#REF!</v>
      </c>
    </row>
    <row r="504" spans="2:7" x14ac:dyDescent="0.3">
      <c r="B504">
        <v>576</v>
      </c>
      <c r="C504" s="13" t="str">
        <f>_xlfn.XLOOKUP(B504,LRV[id],LRV[source])</f>
        <v>Francy et al. (2012)</v>
      </c>
      <c r="D504" s="13" t="e">
        <f>LRVs!#REF!</f>
        <v>#REF!</v>
      </c>
      <c r="E504" s="13" t="e">
        <f>LRVs!#REF!</f>
        <v>#REF!</v>
      </c>
      <c r="F504" s="13" t="e">
        <f>IF(LRVs!#REF!="","",LRVs!#REF!)</f>
        <v>#REF!</v>
      </c>
      <c r="G504" t="e">
        <f>IF(LRVs!#REF!="","",LRVs!#REF!)</f>
        <v>#REF!</v>
      </c>
    </row>
    <row r="505" spans="2:7" x14ac:dyDescent="0.3">
      <c r="B505">
        <v>577</v>
      </c>
      <c r="C505" s="13" t="str">
        <f>_xlfn.XLOOKUP(B505,LRV[id],LRV[source])</f>
        <v>Francy et al. (2012)</v>
      </c>
      <c r="D505" s="13" t="e">
        <f>LRVs!#REF!</f>
        <v>#REF!</v>
      </c>
      <c r="E505" s="13" t="e">
        <f>LRVs!#REF!</f>
        <v>#REF!</v>
      </c>
      <c r="F505" s="13" t="e">
        <f>IF(LRVs!#REF!="","",LRVs!#REF!)</f>
        <v>#REF!</v>
      </c>
      <c r="G505" t="e">
        <f>IF(LRVs!#REF!="","",LRVs!#REF!)</f>
        <v>#REF!</v>
      </c>
    </row>
    <row r="506" spans="2:7" x14ac:dyDescent="0.3">
      <c r="B506">
        <v>578</v>
      </c>
      <c r="C506" s="13" t="str">
        <f>_xlfn.XLOOKUP(B506,LRV[id],LRV[source])</f>
        <v>Francy et al. (2012)</v>
      </c>
      <c r="D506" s="13" t="e">
        <f>LRVs!#REF!</f>
        <v>#REF!</v>
      </c>
      <c r="E506" s="13" t="e">
        <f>LRVs!#REF!</f>
        <v>#REF!</v>
      </c>
      <c r="F506" s="13" t="e">
        <f>IF(LRVs!#REF!="","",LRVs!#REF!)</f>
        <v>#REF!</v>
      </c>
      <c r="G506" t="e">
        <f>IF(LRVs!#REF!="","",LRVs!#REF!)</f>
        <v>#REF!</v>
      </c>
    </row>
    <row r="507" spans="2:7" x14ac:dyDescent="0.3">
      <c r="B507">
        <v>579</v>
      </c>
      <c r="C507" s="13" t="str">
        <f>_xlfn.XLOOKUP(B507,LRV[id],LRV[source])</f>
        <v>Francy et al. (2012)</v>
      </c>
      <c r="D507" s="13" t="str">
        <f>LRVs!C455</f>
        <v>UV</v>
      </c>
      <c r="E507" s="13" t="str">
        <f>LRVs!BG455</f>
        <v>Bacteria</v>
      </c>
      <c r="F507" s="13" t="str">
        <f>IF(LRVs!BH455="","",LRVs!BH455)</f>
        <v>Enterococci</v>
      </c>
      <c r="G507">
        <f>IF(LRVs!BL455="","",LRVs!BL455)</f>
        <v>3.9395192526186182</v>
      </c>
    </row>
    <row r="508" spans="2:7" x14ac:dyDescent="0.3">
      <c r="B508">
        <v>580</v>
      </c>
      <c r="C508" s="13" t="str">
        <f>_xlfn.XLOOKUP(B508,LRV[id],LRV[source])</f>
        <v>Francy et al. (2012)</v>
      </c>
      <c r="D508" s="13" t="str">
        <f>LRVs!C456</f>
        <v>UV</v>
      </c>
      <c r="E508" s="13" t="str">
        <f>LRVs!BG456</f>
        <v>Bacteria</v>
      </c>
      <c r="F508" s="13" t="str">
        <f>IF(LRVs!BH456="","",LRVs!BH456)</f>
        <v>Enterococci</v>
      </c>
      <c r="G508">
        <f>IF(LRVs!BL456="","",LRVs!BL456)</f>
        <v>3.1139433523068369</v>
      </c>
    </row>
    <row r="509" spans="2:7" x14ac:dyDescent="0.3">
      <c r="B509">
        <v>589</v>
      </c>
      <c r="C509" s="13" t="str">
        <f>_xlfn.XLOOKUP(B509,LRV[id],LRV[source])</f>
        <v>Francy et al. (2012)</v>
      </c>
      <c r="D509" s="13" t="str">
        <f>LRVs!C457</f>
        <v>UV</v>
      </c>
      <c r="E509" s="13" t="str">
        <f>LRVs!BG457</f>
        <v>Bacteria</v>
      </c>
      <c r="F509" s="13" t="str">
        <f>IF(LRVs!BH457="","",LRVs!BH457)</f>
        <v>Enterococci</v>
      </c>
      <c r="G509">
        <f>IF(LRVs!BL457="","",LRVs!BL457)</f>
        <v>3</v>
      </c>
    </row>
    <row r="510" spans="2:7" x14ac:dyDescent="0.3">
      <c r="B510">
        <v>590</v>
      </c>
      <c r="C510" s="13" t="str">
        <f>_xlfn.XLOOKUP(B510,LRV[id],LRV[source])</f>
        <v>Francy et al. (2012)</v>
      </c>
      <c r="D510" s="13" t="str">
        <f>LRVs!C458</f>
        <v>UV</v>
      </c>
      <c r="E510" s="13" t="str">
        <f>LRVs!BG458</f>
        <v>Bacteria</v>
      </c>
      <c r="F510" s="13" t="str">
        <f>IF(LRVs!BH458="","",LRVs!BH458)</f>
        <v>Enterococci</v>
      </c>
      <c r="G510">
        <f>IF(LRVs!BL458="","",LRVs!BL458)</f>
        <v>3.653212513775344</v>
      </c>
    </row>
    <row r="511" spans="2:7" x14ac:dyDescent="0.3">
      <c r="B511">
        <v>591</v>
      </c>
      <c r="C511" s="13" t="str">
        <f>_xlfn.XLOOKUP(B511,LRV[id],LRV[source])</f>
        <v>Francy et al. (2012)</v>
      </c>
      <c r="D511" s="13" t="e">
        <f>LRVs!#REF!</f>
        <v>#REF!</v>
      </c>
      <c r="E511" s="13" t="e">
        <f>LRVs!#REF!</f>
        <v>#REF!</v>
      </c>
      <c r="F511" s="13" t="e">
        <f>IF(LRVs!#REF!="","",LRVs!#REF!)</f>
        <v>#REF!</v>
      </c>
      <c r="G511" t="e">
        <f>IF(LRVs!#REF!="","",LRVs!#REF!)</f>
        <v>#REF!</v>
      </c>
    </row>
    <row r="512" spans="2:7" x14ac:dyDescent="0.3">
      <c r="B512">
        <v>592</v>
      </c>
      <c r="C512" s="13" t="str">
        <f>_xlfn.XLOOKUP(B512,LRV[id],LRV[source])</f>
        <v>Francy et al. (2012)</v>
      </c>
      <c r="D512" s="13" t="e">
        <f>LRVs!#REF!</f>
        <v>#REF!</v>
      </c>
      <c r="E512" s="13" t="e">
        <f>LRVs!#REF!</f>
        <v>#REF!</v>
      </c>
      <c r="F512" s="13" t="e">
        <f>IF(LRVs!#REF!="","",LRVs!#REF!)</f>
        <v>#REF!</v>
      </c>
      <c r="G512" t="e">
        <f>IF(LRVs!#REF!="","",LRVs!#REF!)</f>
        <v>#REF!</v>
      </c>
    </row>
    <row r="513" spans="2:7" x14ac:dyDescent="0.3">
      <c r="B513">
        <v>597</v>
      </c>
      <c r="C513" s="13" t="str">
        <f>_xlfn.XLOOKUP(B513,LRV[id],LRV[source])</f>
        <v>Francy et al. (2012)</v>
      </c>
      <c r="D513" s="13" t="e">
        <f>LRVs!#REF!</f>
        <v>#REF!</v>
      </c>
      <c r="E513" s="13" t="e">
        <f>LRVs!#REF!</f>
        <v>#REF!</v>
      </c>
      <c r="F513" s="13" t="e">
        <f>IF(LRVs!#REF!="","",LRVs!#REF!)</f>
        <v>#REF!</v>
      </c>
      <c r="G513" t="e">
        <f>IF(LRVs!#REF!="","",LRVs!#REF!)</f>
        <v>#REF!</v>
      </c>
    </row>
    <row r="514" spans="2:7" x14ac:dyDescent="0.3">
      <c r="B514">
        <v>598</v>
      </c>
      <c r="C514" s="13" t="str">
        <f>_xlfn.XLOOKUP(B514,LRV[id],LRV[source])</f>
        <v>Francy et al. (2012)</v>
      </c>
      <c r="D514" s="13" t="e">
        <f>LRVs!#REF!</f>
        <v>#REF!</v>
      </c>
      <c r="E514" s="13" t="e">
        <f>LRVs!#REF!</f>
        <v>#REF!</v>
      </c>
      <c r="F514" s="13" t="e">
        <f>IF(LRVs!#REF!="","",LRVs!#REF!)</f>
        <v>#REF!</v>
      </c>
      <c r="G514" t="e">
        <f>IF(LRVs!#REF!="","",LRVs!#REF!)</f>
        <v>#REF!</v>
      </c>
    </row>
    <row r="515" spans="2:7" x14ac:dyDescent="0.3">
      <c r="B515">
        <v>599</v>
      </c>
      <c r="C515" s="13" t="str">
        <f>_xlfn.XLOOKUP(B515,LRV[id],LRV[source])</f>
        <v>Francy et al. (2012)</v>
      </c>
      <c r="D515" s="13" t="str">
        <f>LRVs!C459</f>
        <v>Chlorine</v>
      </c>
      <c r="E515" s="13" t="str">
        <f>LRVs!BG459</f>
        <v>Bacteria</v>
      </c>
      <c r="F515" s="13" t="str">
        <f>IF(LRVs!BH459="","",LRVs!BH459)</f>
        <v>Enterococci</v>
      </c>
      <c r="G515">
        <f>IF(LRVs!BL459="","",LRVs!BL459)</f>
        <v>0.97979661391171291</v>
      </c>
    </row>
    <row r="516" spans="2:7" x14ac:dyDescent="0.3">
      <c r="B516">
        <v>600</v>
      </c>
      <c r="C516" s="13" t="str">
        <f>_xlfn.XLOOKUP(B516,LRV[id],LRV[source])</f>
        <v>Francy et al. (2012)</v>
      </c>
      <c r="D516" s="13" t="str">
        <f>LRVs!C460</f>
        <v>Chlorine</v>
      </c>
      <c r="E516" s="13" t="str">
        <f>LRVs!BG460</f>
        <v>Bacteria</v>
      </c>
      <c r="F516" s="13" t="str">
        <f>IF(LRVs!BH460="","",LRVs!BH460)</f>
        <v>Enterococci</v>
      </c>
      <c r="G516">
        <f>IF(LRVs!BL460="","",LRVs!BL460)</f>
        <v>1.2218487496163566</v>
      </c>
    </row>
    <row r="517" spans="2:7" x14ac:dyDescent="0.3">
      <c r="B517">
        <v>601</v>
      </c>
      <c r="C517" s="13" t="str">
        <f>_xlfn.XLOOKUP(B517,LRV[id],LRV[source])</f>
        <v>Francy et al. (2012)</v>
      </c>
      <c r="D517" s="13" t="str">
        <f>LRVs!C461</f>
        <v>Chlorine</v>
      </c>
      <c r="E517" s="13" t="str">
        <f>LRVs!BG461</f>
        <v>Bacteria</v>
      </c>
      <c r="F517" s="13" t="str">
        <f>IF(LRVs!BH461="","",LRVs!BH461)</f>
        <v>Enterococci</v>
      </c>
      <c r="G517">
        <f>IF(LRVs!BL461="","",LRVs!BL461)</f>
        <v>1.1383026981662816</v>
      </c>
    </row>
    <row r="518" spans="2:7" x14ac:dyDescent="0.3">
      <c r="B518">
        <v>602</v>
      </c>
      <c r="C518" s="13" t="str">
        <f>_xlfn.XLOOKUP(B518,LRV[id],LRV[source])</f>
        <v>Francy et al. (2012)</v>
      </c>
      <c r="D518" s="13" t="str">
        <f>LRVs!C462</f>
        <v>Chlorine</v>
      </c>
      <c r="E518" s="13" t="str">
        <f>LRVs!BG462</f>
        <v>Bacteria</v>
      </c>
      <c r="F518" s="13" t="str">
        <f>IF(LRVs!BH462="","",LRVs!BH462)</f>
        <v>Enterococci</v>
      </c>
      <c r="G518">
        <f>IF(LRVs!BL462="","",LRVs!BL462)</f>
        <v>1.5740312677277191</v>
      </c>
    </row>
    <row r="519" spans="2:7" x14ac:dyDescent="0.3">
      <c r="B519">
        <v>603</v>
      </c>
      <c r="C519" s="13" t="str">
        <f>_xlfn.XLOOKUP(B519,LRV[id],LRV[source])</f>
        <v>Francy et al. (2012)</v>
      </c>
      <c r="D519" s="13" t="str">
        <f>LRVs!C463</f>
        <v>Membrane bioreactor</v>
      </c>
      <c r="E519" s="13" t="str">
        <f>LRVs!BG463</f>
        <v>Virus</v>
      </c>
      <c r="F519" s="13" t="str">
        <f>IF(LRVs!BH463="","",LRVs!BH463)</f>
        <v>F-specific coliphage</v>
      </c>
      <c r="G519">
        <f>IF(LRVs!BL463="","",LRVs!BL463)</f>
        <v>5.0969100130080562</v>
      </c>
    </row>
    <row r="520" spans="2:7" x14ac:dyDescent="0.3">
      <c r="B520">
        <v>604</v>
      </c>
      <c r="C520" s="13" t="str">
        <f>_xlfn.XLOOKUP(B520,LRV[id],LRV[source])</f>
        <v>Francy et al. (2012)</v>
      </c>
      <c r="D520" s="13" t="str">
        <f>LRVs!C464</f>
        <v>Membrane bioreactor</v>
      </c>
      <c r="E520" s="13" t="str">
        <f>LRVs!BG464</f>
        <v>Virus</v>
      </c>
      <c r="F520" s="13" t="str">
        <f>IF(LRVs!BH464="","",LRVs!BH464)</f>
        <v>F-specific coliphage</v>
      </c>
      <c r="G520">
        <f>IF(LRVs!BL464="","",LRVs!BL464)</f>
        <v>5.8129133566428557</v>
      </c>
    </row>
    <row r="521" spans="2:7" x14ac:dyDescent="0.3">
      <c r="B521">
        <v>605</v>
      </c>
      <c r="C521" s="13" t="str">
        <f>_xlfn.XLOOKUP(B521,LRV[id],LRV[source])</f>
        <v>Francy et al. (2012)</v>
      </c>
      <c r="D521" s="13" t="str">
        <f>LRVs!C465</f>
        <v>Membrane bioreactor</v>
      </c>
      <c r="E521" s="13" t="str">
        <f>LRVs!BG465</f>
        <v>Virus</v>
      </c>
      <c r="F521" s="13" t="str">
        <f>IF(LRVs!BH465="","",LRVs!BH465)</f>
        <v>F-specific coliphage</v>
      </c>
      <c r="G521">
        <f>IF(LRVs!BL465="","",LRVs!BL465)</f>
        <v>4.5797835966168101</v>
      </c>
    </row>
    <row r="522" spans="2:7" x14ac:dyDescent="0.3">
      <c r="B522">
        <v>606</v>
      </c>
      <c r="C522" s="13" t="str">
        <f>_xlfn.XLOOKUP(B522,LRV[id],LRV[source])</f>
        <v>Francy et al. (2012)</v>
      </c>
      <c r="D522" s="13" t="str">
        <f>LRVs!C466</f>
        <v>Membrane bioreactor</v>
      </c>
      <c r="E522" s="13" t="str">
        <f>LRVs!BG466</f>
        <v>Virus</v>
      </c>
      <c r="F522" s="13" t="str">
        <f>IF(LRVs!BH466="","",LRVs!BH466)</f>
        <v>F-specific coliphage</v>
      </c>
      <c r="G522">
        <f>IF(LRVs!BL466="","",LRVs!BL466)</f>
        <v>6</v>
      </c>
    </row>
    <row r="523" spans="2:7" x14ac:dyDescent="0.3">
      <c r="B523">
        <v>607</v>
      </c>
      <c r="C523" s="13" t="str">
        <f>_xlfn.XLOOKUP(B523,LRV[id],LRV[source])</f>
        <v>Francy et al. (2012)</v>
      </c>
      <c r="D523" s="13" t="str">
        <f>LRVs!C467</f>
        <v>Membrane bioreactor</v>
      </c>
      <c r="E523" s="13" t="str">
        <f>LRVs!BG467</f>
        <v>Virus</v>
      </c>
      <c r="F523" s="13" t="str">
        <f>IF(LRVs!BH467="","",LRVs!BH467)</f>
        <v>F-specific coliphage</v>
      </c>
      <c r="G523">
        <f>IF(LRVs!BL467="","",LRVs!BL467)</f>
        <v>5.1326255652745907</v>
      </c>
    </row>
    <row r="524" spans="2:7" x14ac:dyDescent="0.3">
      <c r="B524">
        <v>608</v>
      </c>
      <c r="C524" s="13" t="str">
        <f>_xlfn.XLOOKUP(B524,LRV[id],LRV[source])</f>
        <v>Francy et al. (2012)</v>
      </c>
      <c r="D524" s="13" t="str">
        <f>LRVs!C468</f>
        <v>Membrane bioreactor</v>
      </c>
      <c r="E524" s="13" t="str">
        <f>LRVs!BG468</f>
        <v>Virus</v>
      </c>
      <c r="F524" s="13" t="str">
        <f>IF(LRVs!BH468="","",LRVs!BH468)</f>
        <v>F-specific coliphage</v>
      </c>
      <c r="G524">
        <f>IF(LRVs!BL468="","",LRVs!BL468)</f>
        <v>5.0791812460476251</v>
      </c>
    </row>
    <row r="525" spans="2:7" x14ac:dyDescent="0.3">
      <c r="B525">
        <v>609</v>
      </c>
      <c r="C525" s="13" t="str">
        <f>_xlfn.XLOOKUP(B525,LRV[id],LRV[source])</f>
        <v>Francy et al. (2012)</v>
      </c>
      <c r="D525" s="13" t="str">
        <f>LRVs!C469</f>
        <v>Membrane bioreactor</v>
      </c>
      <c r="E525" s="13" t="str">
        <f>LRVs!BG469</f>
        <v>Virus</v>
      </c>
      <c r="F525" s="13" t="str">
        <f>IF(LRVs!BH469="","",LRVs!BH469)</f>
        <v>F-specific coliphage</v>
      </c>
      <c r="G525">
        <f>IF(LRVs!BL469="","",LRVs!BL469)</f>
        <v>5.3979400086720375</v>
      </c>
    </row>
    <row r="526" spans="2:7" x14ac:dyDescent="0.3">
      <c r="B526">
        <v>610</v>
      </c>
      <c r="C526" s="13" t="str">
        <f>_xlfn.XLOOKUP(B526,LRV[id],LRV[source])</f>
        <v>Francy et al. (2012)</v>
      </c>
      <c r="D526" s="13" t="str">
        <f>LRVs!C470</f>
        <v>Membrane bioreactor</v>
      </c>
      <c r="E526" s="13" t="str">
        <f>LRVs!BG470</f>
        <v>Virus</v>
      </c>
      <c r="F526" s="13" t="str">
        <f>IF(LRVs!BH470="","",LRVs!BH470)</f>
        <v>F-specific coliphage</v>
      </c>
      <c r="G526">
        <f>IF(LRVs!BL470="","",LRVs!BL470)</f>
        <v>5.2787536009528289</v>
      </c>
    </row>
    <row r="527" spans="2:7" x14ac:dyDescent="0.3">
      <c r="B527">
        <v>611</v>
      </c>
      <c r="C527" s="13" t="str">
        <f>_xlfn.XLOOKUP(B527,LRV[id],LRV[source])</f>
        <v>Francy et al. (2012)</v>
      </c>
      <c r="D527" s="13" t="str">
        <f>LRVs!C471</f>
        <v>Membrane bioreactor</v>
      </c>
      <c r="E527" s="13" t="str">
        <f>LRVs!BG471</f>
        <v>Virus</v>
      </c>
      <c r="F527" s="13" t="str">
        <f>IF(LRVs!BH471="","",LRVs!BH471)</f>
        <v>F-specific coliphage</v>
      </c>
      <c r="G527">
        <f>IF(LRVs!BL471="","",LRVs!BL471)</f>
        <v>4.8293037728310244</v>
      </c>
    </row>
    <row r="528" spans="2:7" x14ac:dyDescent="0.3">
      <c r="B528">
        <v>612</v>
      </c>
      <c r="C528" s="13" t="str">
        <f>_xlfn.XLOOKUP(B528,LRV[id],LRV[source])</f>
        <v>Francy et al. (2012)</v>
      </c>
      <c r="D528" s="13" t="str">
        <f>LRVs!C472</f>
        <v>Membrane bioreactor</v>
      </c>
      <c r="E528" s="13" t="str">
        <f>LRVs!BG472</f>
        <v>Virus</v>
      </c>
      <c r="F528" s="13" t="str">
        <f>IF(LRVs!BH472="","",LRVs!BH472)</f>
        <v>F-specific coliphage</v>
      </c>
      <c r="G528">
        <f>IF(LRVs!BL472="","",LRVs!BL472)</f>
        <v>5.5797835966168101</v>
      </c>
    </row>
    <row r="529" spans="2:7" x14ac:dyDescent="0.3">
      <c r="B529">
        <v>613</v>
      </c>
      <c r="C529" s="13" t="str">
        <f>_xlfn.XLOOKUP(B529,LRV[id],LRV[source])</f>
        <v>Francy et al. (2012)</v>
      </c>
      <c r="D529" s="13" t="str">
        <f>LRVs!C473</f>
        <v>Membrane bioreactor</v>
      </c>
      <c r="E529" s="13" t="str">
        <f>LRVs!BG473</f>
        <v>Virus</v>
      </c>
      <c r="F529" s="13" t="str">
        <f>IF(LRVs!BH473="","",LRVs!BH473)</f>
        <v>F-specific coliphage</v>
      </c>
      <c r="G529">
        <f>IF(LRVs!BL473="","",LRVs!BL473)</f>
        <v>5.0170333392987807</v>
      </c>
    </row>
    <row r="530" spans="2:7" x14ac:dyDescent="0.3">
      <c r="B530">
        <v>614</v>
      </c>
      <c r="C530" s="13" t="str">
        <f>_xlfn.XLOOKUP(B530,LRV[id],LRV[source])</f>
        <v>Francy et al. (2012)</v>
      </c>
      <c r="D530" s="13" t="str">
        <f>LRVs!C474</f>
        <v>UV</v>
      </c>
      <c r="E530" s="13" t="str">
        <f>LRVs!BG474</f>
        <v>Virus</v>
      </c>
      <c r="F530" s="13" t="str">
        <f>IF(LRVs!BH474="","",LRVs!BH474)</f>
        <v>F-specific coliphage</v>
      </c>
      <c r="G530">
        <f>IF(LRVs!BL474="","",LRVs!BL474)</f>
        <v>0.30102999566398125</v>
      </c>
    </row>
    <row r="531" spans="2:7" x14ac:dyDescent="0.3">
      <c r="B531">
        <v>615</v>
      </c>
      <c r="C531" s="13" t="str">
        <f>_xlfn.XLOOKUP(B531,LRV[id],LRV[source])</f>
        <v>Francy et al. (2012)</v>
      </c>
      <c r="D531" s="13" t="str">
        <f>LRVs!C475</f>
        <v>UV</v>
      </c>
      <c r="E531" s="13" t="str">
        <f>LRVs!BG475</f>
        <v>Virus</v>
      </c>
      <c r="F531" s="13" t="str">
        <f>IF(LRVs!BH475="","",LRVs!BH475)</f>
        <v>F-specific coliphage</v>
      </c>
      <c r="G531">
        <f>IF(LRVs!BL475="","",LRVs!BL475)</f>
        <v>0.30102999566398125</v>
      </c>
    </row>
    <row r="532" spans="2:7" x14ac:dyDescent="0.3">
      <c r="B532">
        <v>617</v>
      </c>
      <c r="C532" s="13" t="str">
        <f>_xlfn.XLOOKUP(B532,LRV[id],LRV[source])</f>
        <v>Francy et al. (2012)</v>
      </c>
      <c r="D532" s="13" t="e">
        <f>LRVs!#REF!</f>
        <v>#REF!</v>
      </c>
      <c r="E532" s="13" t="e">
        <f>LRVs!#REF!</f>
        <v>#REF!</v>
      </c>
      <c r="F532" s="13" t="e">
        <f>IF(LRVs!#REF!="","",LRVs!#REF!)</f>
        <v>#REF!</v>
      </c>
      <c r="G532" t="e">
        <f>IF(LRVs!#REF!="","",LRVs!#REF!)</f>
        <v>#REF!</v>
      </c>
    </row>
    <row r="533" spans="2:7" x14ac:dyDescent="0.3">
      <c r="B533">
        <v>632</v>
      </c>
      <c r="C533" s="13" t="str">
        <f>_xlfn.XLOOKUP(B533,LRV[id],LRV[source])</f>
        <v>Francy et al. (2012)</v>
      </c>
      <c r="D533" s="13" t="e">
        <f>LRVs!#REF!</f>
        <v>#REF!</v>
      </c>
      <c r="E533" s="13" t="e">
        <f>LRVs!#REF!</f>
        <v>#REF!</v>
      </c>
      <c r="F533" s="13" t="e">
        <f>IF(LRVs!#REF!="","",LRVs!#REF!)</f>
        <v>#REF!</v>
      </c>
      <c r="G533" t="e">
        <f>IF(LRVs!#REF!="","",LRVs!#REF!)</f>
        <v>#REF!</v>
      </c>
    </row>
    <row r="534" spans="2:7" x14ac:dyDescent="0.3">
      <c r="B534">
        <v>634</v>
      </c>
      <c r="C534" s="13" t="str">
        <f>_xlfn.XLOOKUP(B534,LRV[id],LRV[source])</f>
        <v>Francy et al. (2012)</v>
      </c>
      <c r="D534" s="13" t="str">
        <f>LRVs!C476</f>
        <v>UV</v>
      </c>
      <c r="E534" s="13" t="str">
        <f>LRVs!BG476</f>
        <v>Virus</v>
      </c>
      <c r="F534" s="13" t="str">
        <f>IF(LRVs!BH476="","",LRVs!BH476)</f>
        <v>F-specific coliphage</v>
      </c>
      <c r="G534">
        <f>IF(LRVs!BL476="","",LRVs!BL476)</f>
        <v>1.1461280356782382</v>
      </c>
    </row>
    <row r="535" spans="2:7" x14ac:dyDescent="0.3">
      <c r="B535">
        <v>639</v>
      </c>
      <c r="C535" s="13" t="str">
        <f>_xlfn.XLOOKUP(B535,LRV[id],LRV[source])</f>
        <v>Francy et al. (2012)</v>
      </c>
      <c r="D535" s="13" t="e">
        <f>LRVs!#REF!</f>
        <v>#REF!</v>
      </c>
      <c r="E535" s="13" t="e">
        <f>LRVs!#REF!</f>
        <v>#REF!</v>
      </c>
      <c r="F535" s="13" t="e">
        <f>IF(LRVs!#REF!="","",LRVs!#REF!)</f>
        <v>#REF!</v>
      </c>
      <c r="G535" t="e">
        <f>IF(LRVs!#REF!="","",LRVs!#REF!)</f>
        <v>#REF!</v>
      </c>
    </row>
    <row r="536" spans="2:7" x14ac:dyDescent="0.3">
      <c r="B536">
        <v>640</v>
      </c>
      <c r="C536" s="13" t="str">
        <f>_xlfn.XLOOKUP(B536,LRV[id],LRV[source])</f>
        <v>Francy et al. (2012)</v>
      </c>
      <c r="D536" s="13" t="str">
        <f>LRVs!C477</f>
        <v>UV</v>
      </c>
      <c r="E536" s="13" t="str">
        <f>LRVs!BG477</f>
        <v>Virus</v>
      </c>
      <c r="F536" s="13" t="str">
        <f>IF(LRVs!BH477="","",LRVs!BH477)</f>
        <v>F-specific coliphage</v>
      </c>
      <c r="G536">
        <f>IF(LRVs!BL477="","",LRVs!BL477)</f>
        <v>-0.30102999566398125</v>
      </c>
    </row>
    <row r="537" spans="2:7" x14ac:dyDescent="0.3">
      <c r="B537">
        <v>641</v>
      </c>
      <c r="C537" s="13" t="str">
        <f>_xlfn.XLOOKUP(B537,LRV[id],LRV[source])</f>
        <v>Francy et al. (2012)</v>
      </c>
      <c r="D537" s="13" t="str">
        <f>LRVs!C478</f>
        <v>UV</v>
      </c>
      <c r="E537" s="13" t="str">
        <f>LRVs!BG478</f>
        <v>Virus</v>
      </c>
      <c r="F537" s="13" t="str">
        <f>IF(LRVs!BH478="","",LRVs!BH478)</f>
        <v>F-specific coliphage</v>
      </c>
      <c r="G537">
        <f>IF(LRVs!BL478="","",LRVs!BL478)</f>
        <v>0</v>
      </c>
    </row>
    <row r="538" spans="2:7" x14ac:dyDescent="0.3">
      <c r="B538">
        <v>642</v>
      </c>
      <c r="C538" s="13" t="str">
        <f>_xlfn.XLOOKUP(B538,LRV[id],LRV[source])</f>
        <v>Francy et al. (2012)</v>
      </c>
      <c r="D538" s="13" t="str">
        <f>LRVs!C479</f>
        <v>UV</v>
      </c>
      <c r="E538" s="13" t="str">
        <f>LRVs!BG479</f>
        <v>Virus</v>
      </c>
      <c r="F538" s="13" t="str">
        <f>IF(LRVs!BH479="","",LRVs!BH479)</f>
        <v>F-specific coliphage</v>
      </c>
      <c r="G538">
        <f>IF(LRVs!BL479="","",LRVs!BL479)</f>
        <v>0.60205999132796229</v>
      </c>
    </row>
    <row r="539" spans="2:7" x14ac:dyDescent="0.3">
      <c r="B539">
        <v>643</v>
      </c>
      <c r="C539" s="13" t="str">
        <f>_xlfn.XLOOKUP(B539,LRV[id],LRV[source])</f>
        <v>Francy et al. (2012)</v>
      </c>
      <c r="D539" s="13" t="e">
        <f>LRVs!#REF!</f>
        <v>#REF!</v>
      </c>
      <c r="E539" s="13" t="e">
        <f>LRVs!#REF!</f>
        <v>#REF!</v>
      </c>
      <c r="F539" s="13" t="e">
        <f>IF(LRVs!#REF!="","",LRVs!#REF!)</f>
        <v>#REF!</v>
      </c>
      <c r="G539" t="e">
        <f>IF(LRVs!#REF!="","",LRVs!#REF!)</f>
        <v>#REF!</v>
      </c>
    </row>
    <row r="540" spans="2:7" x14ac:dyDescent="0.3">
      <c r="B540">
        <v>644</v>
      </c>
      <c r="C540" s="13" t="str">
        <f>_xlfn.XLOOKUP(B540,LRV[id],LRV[source])</f>
        <v>Francy et al. (2012)</v>
      </c>
      <c r="D540" s="13" t="str">
        <f>LRVs!C480</f>
        <v>UV</v>
      </c>
      <c r="E540" s="13" t="str">
        <f>LRVs!BG480</f>
        <v>Virus</v>
      </c>
      <c r="F540" s="13" t="str">
        <f>IF(LRVs!BH480="","",LRVs!BH480)</f>
        <v>F-specific coliphage</v>
      </c>
      <c r="G540">
        <f>IF(LRVs!BL480="","",LRVs!BL480)</f>
        <v>0.69897000433601875</v>
      </c>
    </row>
    <row r="541" spans="2:7" x14ac:dyDescent="0.3">
      <c r="B541">
        <v>646</v>
      </c>
      <c r="C541" s="13" t="str">
        <f>_xlfn.XLOOKUP(B541,LRV[id],LRV[source])</f>
        <v>Francy et al. (2012)</v>
      </c>
      <c r="D541" s="13" t="e">
        <f>LRVs!#REF!</f>
        <v>#REF!</v>
      </c>
      <c r="E541" s="13" t="e">
        <f>LRVs!#REF!</f>
        <v>#REF!</v>
      </c>
      <c r="F541" s="13" t="e">
        <f>IF(LRVs!#REF!="","",LRVs!#REF!)</f>
        <v>#REF!</v>
      </c>
      <c r="G541" t="e">
        <f>IF(LRVs!#REF!="","",LRVs!#REF!)</f>
        <v>#REF!</v>
      </c>
    </row>
    <row r="542" spans="2:7" x14ac:dyDescent="0.3">
      <c r="B542">
        <v>648</v>
      </c>
      <c r="C542" s="13" t="str">
        <f>_xlfn.XLOOKUP(B542,LRV[id],LRV[source])</f>
        <v>Francy et al. (2012)</v>
      </c>
      <c r="D542" s="13" t="e">
        <f>LRVs!#REF!</f>
        <v>#REF!</v>
      </c>
      <c r="E542" s="13" t="e">
        <f>LRVs!#REF!</f>
        <v>#REF!</v>
      </c>
      <c r="F542" s="13" t="e">
        <f>IF(LRVs!#REF!="","",LRVs!#REF!)</f>
        <v>#REF!</v>
      </c>
      <c r="G542" t="e">
        <f>IF(LRVs!#REF!="","",LRVs!#REF!)</f>
        <v>#REF!</v>
      </c>
    </row>
    <row r="543" spans="2:7" x14ac:dyDescent="0.3">
      <c r="B543">
        <v>649</v>
      </c>
      <c r="C543" s="13" t="str">
        <f>_xlfn.XLOOKUP(B543,LRV[id],LRV[source])</f>
        <v>Francy et al. (2012)</v>
      </c>
      <c r="D543" s="13" t="e">
        <f>LRVs!#REF!</f>
        <v>#REF!</v>
      </c>
      <c r="E543" s="13" t="e">
        <f>LRVs!#REF!</f>
        <v>#REF!</v>
      </c>
      <c r="F543" s="13" t="e">
        <f>IF(LRVs!#REF!="","",LRVs!#REF!)</f>
        <v>#REF!</v>
      </c>
      <c r="G543" t="e">
        <f>IF(LRVs!#REF!="","",LRVs!#REF!)</f>
        <v>#REF!</v>
      </c>
    </row>
    <row r="544" spans="2:7" x14ac:dyDescent="0.3">
      <c r="B544">
        <v>650</v>
      </c>
      <c r="C544" s="13" t="str">
        <f>_xlfn.XLOOKUP(B544,LRV[id],LRV[source])</f>
        <v>Francy et al. (2012)</v>
      </c>
      <c r="D544" s="13" t="e">
        <f>LRVs!#REF!</f>
        <v>#REF!</v>
      </c>
      <c r="E544" s="13" t="e">
        <f>LRVs!#REF!</f>
        <v>#REF!</v>
      </c>
      <c r="F544" s="13" t="e">
        <f>IF(LRVs!#REF!="","",LRVs!#REF!)</f>
        <v>#REF!</v>
      </c>
      <c r="G544" t="e">
        <f>IF(LRVs!#REF!="","",LRVs!#REF!)</f>
        <v>#REF!</v>
      </c>
    </row>
    <row r="545" spans="2:7" x14ac:dyDescent="0.3">
      <c r="B545">
        <v>651</v>
      </c>
      <c r="C545" s="13" t="str">
        <f>_xlfn.XLOOKUP(B545,LRV[id],LRV[source])</f>
        <v>Francy et al. (2012)</v>
      </c>
      <c r="D545" s="13" t="e">
        <f>LRVs!#REF!</f>
        <v>#REF!</v>
      </c>
      <c r="E545" s="13" t="e">
        <f>LRVs!#REF!</f>
        <v>#REF!</v>
      </c>
      <c r="F545" s="13" t="e">
        <f>IF(LRVs!#REF!="","",LRVs!#REF!)</f>
        <v>#REF!</v>
      </c>
      <c r="G545" t="e">
        <f>IF(LRVs!#REF!="","",LRVs!#REF!)</f>
        <v>#REF!</v>
      </c>
    </row>
    <row r="546" spans="2:7" x14ac:dyDescent="0.3">
      <c r="B546">
        <v>652</v>
      </c>
      <c r="C546" s="13" t="str">
        <f>_xlfn.XLOOKUP(B546,LRV[id],LRV[source])</f>
        <v>Francy et al. (2012)</v>
      </c>
      <c r="D546" s="13" t="e">
        <f>LRVs!#REF!</f>
        <v>#REF!</v>
      </c>
      <c r="E546" s="13" t="e">
        <f>LRVs!#REF!</f>
        <v>#REF!</v>
      </c>
      <c r="F546" s="13" t="e">
        <f>IF(LRVs!#REF!="","",LRVs!#REF!)</f>
        <v>#REF!</v>
      </c>
      <c r="G546" t="e">
        <f>IF(LRVs!#REF!="","",LRVs!#REF!)</f>
        <v>#REF!</v>
      </c>
    </row>
    <row r="547" spans="2:7" x14ac:dyDescent="0.3">
      <c r="B547">
        <v>653</v>
      </c>
      <c r="C547" s="13" t="str">
        <f>_xlfn.XLOOKUP(B547,LRV[id],LRV[source])</f>
        <v>Francy et al. (2012)</v>
      </c>
      <c r="D547" s="13" t="e">
        <f>LRVs!#REF!</f>
        <v>#REF!</v>
      </c>
      <c r="E547" s="13" t="e">
        <f>LRVs!#REF!</f>
        <v>#REF!</v>
      </c>
      <c r="F547" s="13" t="e">
        <f>IF(LRVs!#REF!="","",LRVs!#REF!)</f>
        <v>#REF!</v>
      </c>
      <c r="G547" t="e">
        <f>IF(LRVs!#REF!="","",LRVs!#REF!)</f>
        <v>#REF!</v>
      </c>
    </row>
    <row r="548" spans="2:7" x14ac:dyDescent="0.3">
      <c r="B548">
        <v>659</v>
      </c>
      <c r="C548" s="13" t="str">
        <f>_xlfn.XLOOKUP(B548,LRV[id],LRV[source])</f>
        <v>Francy et al. (2012)</v>
      </c>
      <c r="D548" s="13" t="e">
        <f>LRVs!#REF!</f>
        <v>#REF!</v>
      </c>
      <c r="E548" s="13" t="e">
        <f>LRVs!#REF!</f>
        <v>#REF!</v>
      </c>
      <c r="F548" s="13" t="e">
        <f>IF(LRVs!#REF!="","",LRVs!#REF!)</f>
        <v>#REF!</v>
      </c>
      <c r="G548" t="e">
        <f>IF(LRVs!#REF!="","",LRVs!#REF!)</f>
        <v>#REF!</v>
      </c>
    </row>
    <row r="549" spans="2:7" x14ac:dyDescent="0.3">
      <c r="B549">
        <v>686</v>
      </c>
      <c r="C549" s="13" t="str">
        <f>_xlfn.XLOOKUP(B549,LRV[id],LRV[source])</f>
        <v>Francy et al. (2012)</v>
      </c>
      <c r="D549" s="13" t="str">
        <f>LRVs!C481</f>
        <v>UV</v>
      </c>
      <c r="E549" s="13" t="str">
        <f>LRVs!BG481</f>
        <v>Virus</v>
      </c>
      <c r="F549" s="13" t="str">
        <f>IF(LRVs!BH481="","",LRVs!BH481)</f>
        <v>F-specific coliphage</v>
      </c>
      <c r="G549">
        <f>IF(LRVs!BL481="","",LRVs!BL481)</f>
        <v>0.84509804001425692</v>
      </c>
    </row>
    <row r="550" spans="2:7" x14ac:dyDescent="0.3">
      <c r="B550">
        <v>687</v>
      </c>
      <c r="C550" s="13" t="str">
        <f>_xlfn.XLOOKUP(B550,LRV[id],LRV[source])</f>
        <v>Francy et al. (2012)</v>
      </c>
      <c r="D550" s="13" t="str">
        <f>LRVs!C482</f>
        <v>UV</v>
      </c>
      <c r="E550" s="13" t="str">
        <f>LRVs!BG482</f>
        <v>Virus</v>
      </c>
      <c r="F550" s="13" t="str">
        <f>IF(LRVs!BH482="","",LRVs!BH482)</f>
        <v>F-specific coliphage</v>
      </c>
      <c r="G550">
        <f>IF(LRVs!BL482="","",LRVs!BL482)</f>
        <v>0.47712125471966238</v>
      </c>
    </row>
    <row r="551" spans="2:7" x14ac:dyDescent="0.3">
      <c r="B551">
        <v>691</v>
      </c>
      <c r="C551" s="13" t="str">
        <f>_xlfn.XLOOKUP(B551,LRV[id],LRV[source])</f>
        <v>Francy et al. (2012)</v>
      </c>
      <c r="D551" s="13" t="str">
        <f>LRVs!C483</f>
        <v>UV</v>
      </c>
      <c r="E551" s="13" t="str">
        <f>LRVs!BG483</f>
        <v>Virus</v>
      </c>
      <c r="F551" s="13" t="str">
        <f>IF(LRVs!BH483="","",LRVs!BH483)</f>
        <v>F-specific coliphage</v>
      </c>
      <c r="G551">
        <f>IF(LRVs!BL483="","",LRVs!BL483)</f>
        <v>1.4913616938342726</v>
      </c>
    </row>
    <row r="552" spans="2:7" x14ac:dyDescent="0.3">
      <c r="B552">
        <v>692</v>
      </c>
      <c r="C552" s="13" t="str">
        <f>_xlfn.XLOOKUP(B552,LRV[id],LRV[source])</f>
        <v>Francy et al. (2012)</v>
      </c>
      <c r="D552" s="13" t="str">
        <f>LRVs!C484</f>
        <v>UV</v>
      </c>
      <c r="E552" s="13" t="str">
        <f>LRVs!BG484</f>
        <v>Virus</v>
      </c>
      <c r="F552" s="13" t="str">
        <f>IF(LRVs!BH484="","",LRVs!BH484)</f>
        <v>F-specific coliphage</v>
      </c>
      <c r="G552">
        <f>IF(LRVs!BL484="","",LRVs!BL484)</f>
        <v>1.716003343634799</v>
      </c>
    </row>
    <row r="553" spans="2:7" x14ac:dyDescent="0.3">
      <c r="B553">
        <v>693</v>
      </c>
      <c r="C553" s="13" t="str">
        <f>_xlfn.XLOOKUP(B553,LRV[id],LRV[source])</f>
        <v>Francy et al. (2012)</v>
      </c>
      <c r="D553" s="13" t="e">
        <f>LRVs!#REF!</f>
        <v>#REF!</v>
      </c>
      <c r="E553" s="13" t="e">
        <f>LRVs!#REF!</f>
        <v>#REF!</v>
      </c>
      <c r="F553" s="13" t="e">
        <f>IF(LRVs!#REF!="","",LRVs!#REF!)</f>
        <v>#REF!</v>
      </c>
      <c r="G553" t="e">
        <f>IF(LRVs!#REF!="","",LRVs!#REF!)</f>
        <v>#REF!</v>
      </c>
    </row>
    <row r="554" spans="2:7" x14ac:dyDescent="0.3">
      <c r="B554">
        <v>694</v>
      </c>
      <c r="C554" s="13" t="str">
        <f>_xlfn.XLOOKUP(B554,LRV[id],LRV[source])</f>
        <v>Francy et al. (2012)</v>
      </c>
      <c r="D554" s="13" t="e">
        <f>LRVs!#REF!</f>
        <v>#REF!</v>
      </c>
      <c r="E554" s="13" t="e">
        <f>LRVs!#REF!</f>
        <v>#REF!</v>
      </c>
      <c r="F554" s="13" t="e">
        <f>IF(LRVs!#REF!="","",LRVs!#REF!)</f>
        <v>#REF!</v>
      </c>
      <c r="G554" t="e">
        <f>IF(LRVs!#REF!="","",LRVs!#REF!)</f>
        <v>#REF!</v>
      </c>
    </row>
    <row r="555" spans="2:7" x14ac:dyDescent="0.3">
      <c r="B555">
        <v>695</v>
      </c>
      <c r="C555" s="13" t="str">
        <f>_xlfn.XLOOKUP(B555,LRV[id],LRV[source])</f>
        <v>Francy et al. (2012)</v>
      </c>
      <c r="D555" s="13" t="e">
        <f>LRVs!#REF!</f>
        <v>#REF!</v>
      </c>
      <c r="E555" s="13" t="e">
        <f>LRVs!#REF!</f>
        <v>#REF!</v>
      </c>
      <c r="F555" s="13" t="e">
        <f>IF(LRVs!#REF!="","",LRVs!#REF!)</f>
        <v>#REF!</v>
      </c>
      <c r="G555" t="e">
        <f>IF(LRVs!#REF!="","",LRVs!#REF!)</f>
        <v>#REF!</v>
      </c>
    </row>
    <row r="556" spans="2:7" x14ac:dyDescent="0.3">
      <c r="B556">
        <v>704</v>
      </c>
      <c r="C556" s="13" t="str">
        <f>_xlfn.XLOOKUP(B556,LRV[id],LRV[source])</f>
        <v>Francy et al. (2012)</v>
      </c>
      <c r="D556" s="13" t="e">
        <f>LRVs!#REF!</f>
        <v>#REF!</v>
      </c>
      <c r="E556" s="13" t="e">
        <f>LRVs!#REF!</f>
        <v>#REF!</v>
      </c>
      <c r="F556" s="13" t="e">
        <f>IF(LRVs!#REF!="","",LRVs!#REF!)</f>
        <v>#REF!</v>
      </c>
      <c r="G556" t="e">
        <f>IF(LRVs!#REF!="","",LRVs!#REF!)</f>
        <v>#REF!</v>
      </c>
    </row>
    <row r="557" spans="2:7" x14ac:dyDescent="0.3">
      <c r="B557">
        <v>725</v>
      </c>
      <c r="C557" s="13" t="str">
        <f>_xlfn.XLOOKUP(B557,LRV[id],LRV[source])</f>
        <v>Francy et al. (2012)</v>
      </c>
      <c r="D557" s="13" t="str">
        <f>LRVs!C485</f>
        <v>Chlorine</v>
      </c>
      <c r="E557" s="13" t="str">
        <f>LRVs!BG485</f>
        <v>Virus</v>
      </c>
      <c r="F557" s="13" t="str">
        <f>IF(LRVs!BH485="","",LRVs!BH485)</f>
        <v>F-specific coliphage</v>
      </c>
      <c r="G557">
        <f>IF(LRVs!BL485="","",LRVs!BL485)</f>
        <v>0.60205999132796229</v>
      </c>
    </row>
    <row r="558" spans="2:7" x14ac:dyDescent="0.3">
      <c r="B558">
        <v>727</v>
      </c>
      <c r="C558" s="13" t="str">
        <f>_xlfn.XLOOKUP(B558,LRV[id],LRV[source])</f>
        <v>Koivunen &amp; Heinonen-Tanksi (2005)</v>
      </c>
      <c r="D558" s="13" t="str">
        <f>LRVs!C486</f>
        <v>Chlorine</v>
      </c>
      <c r="E558" s="13" t="str">
        <f>LRVs!BG486</f>
        <v>Virus</v>
      </c>
      <c r="F558" s="13" t="str">
        <f>IF(LRVs!BH486="","",LRVs!BH486)</f>
        <v>F-specific coliphage</v>
      </c>
      <c r="G558">
        <f>IF(LRVs!BL486="","",LRVs!BL486)</f>
        <v>0.81291335664285569</v>
      </c>
    </row>
    <row r="559" spans="2:7" x14ac:dyDescent="0.3">
      <c r="B559">
        <v>728</v>
      </c>
      <c r="C559" s="13" t="str">
        <f>_xlfn.XLOOKUP(B559,LRV[id],LRV[source])</f>
        <v>Koivunen &amp; Heinonen-Tanksi (2005)</v>
      </c>
      <c r="D559" s="13" t="str">
        <f>LRVs!C487</f>
        <v>Chlorine</v>
      </c>
      <c r="E559" s="13" t="str">
        <f>LRVs!BG487</f>
        <v>Virus</v>
      </c>
      <c r="F559" s="13" t="str">
        <f>IF(LRVs!BH487="","",LRVs!BH487)</f>
        <v>F-specific coliphage</v>
      </c>
      <c r="G559">
        <f>IF(LRVs!BL487="","",LRVs!BL487)</f>
        <v>1.5185139398778875</v>
      </c>
    </row>
    <row r="560" spans="2:7" x14ac:dyDescent="0.3">
      <c r="B560">
        <v>729</v>
      </c>
      <c r="C560" s="13" t="str">
        <f>_xlfn.XLOOKUP(B560,LRV[id],LRV[source])</f>
        <v>Koivunen &amp; Heinonen-Tanksi (2005)</v>
      </c>
      <c r="D560" s="13" t="str">
        <f>LRVs!C488</f>
        <v>Chlorine</v>
      </c>
      <c r="E560" s="13" t="str">
        <f>LRVs!BG488</f>
        <v>Virus</v>
      </c>
      <c r="F560" s="13" t="str">
        <f>IF(LRVs!BH488="","",LRVs!BH488)</f>
        <v>F-specific coliphage</v>
      </c>
      <c r="G560">
        <f>IF(LRVs!BL488="","",LRVs!BL488)</f>
        <v>0.51097952198062968</v>
      </c>
    </row>
    <row r="561" spans="2:7" x14ac:dyDescent="0.3">
      <c r="B561">
        <v>730</v>
      </c>
      <c r="C561" s="13" t="str">
        <f>_xlfn.XLOOKUP(B561,LRV[id],LRV[source])</f>
        <v>Koivunen &amp; Heinonen-Tanksi (2005)</v>
      </c>
      <c r="D561" s="13" t="str">
        <f>LRVs!C489</f>
        <v>Membrane bioreactor</v>
      </c>
      <c r="E561" s="13" t="str">
        <f>LRVs!BG489</f>
        <v>Virus</v>
      </c>
      <c r="F561" s="13" t="str">
        <f>IF(LRVs!BH489="","",LRVs!BH489)</f>
        <v>Somatic coliphage</v>
      </c>
      <c r="G561">
        <f>IF(LRVs!BL489="","",LRVs!BL489)</f>
        <v>3.3781630506253575</v>
      </c>
    </row>
    <row r="562" spans="2:7" x14ac:dyDescent="0.3">
      <c r="B562">
        <v>731</v>
      </c>
      <c r="C562" s="13" t="str">
        <f>_xlfn.XLOOKUP(B562,LRV[id],LRV[source])</f>
        <v>Koivunen &amp; Heinonen-Tanksi (2005)</v>
      </c>
      <c r="D562" s="13" t="str">
        <f>LRVs!C490</f>
        <v>Membrane bioreactor</v>
      </c>
      <c r="E562" s="13" t="str">
        <f>LRVs!BG490</f>
        <v>Virus</v>
      </c>
      <c r="F562" s="13" t="str">
        <f>IF(LRVs!BH490="","",LRVs!BH490)</f>
        <v>Somatic coliphage</v>
      </c>
      <c r="G562">
        <f>IF(LRVs!BL490="","",LRVs!BL490)</f>
        <v>3.7829501332654125</v>
      </c>
    </row>
    <row r="563" spans="2:7" x14ac:dyDescent="0.3">
      <c r="B563">
        <v>732</v>
      </c>
      <c r="C563" s="13" t="str">
        <f>_xlfn.XLOOKUP(B563,LRV[id],LRV[source])</f>
        <v>Koivunen &amp; Heinonen-Tanksi (2005)</v>
      </c>
      <c r="D563" s="13" t="str">
        <f>LRVs!C491</f>
        <v>Membrane bioreactor</v>
      </c>
      <c r="E563" s="13" t="str">
        <f>LRVs!BG491</f>
        <v>Virus</v>
      </c>
      <c r="F563" s="13" t="str">
        <f>IF(LRVs!BH491="","",LRVs!BH491)</f>
        <v>Somatic coliphage</v>
      </c>
      <c r="G563">
        <f>IF(LRVs!BL491="","",LRVs!BL491)</f>
        <v>3.2388820889151368</v>
      </c>
    </row>
    <row r="564" spans="2:7" x14ac:dyDescent="0.3">
      <c r="B564">
        <v>733</v>
      </c>
      <c r="C564" s="13" t="str">
        <f>_xlfn.XLOOKUP(B564,LRV[id],LRV[source])</f>
        <v>Koivunen &amp; Heinonen-Tanksi (2005)</v>
      </c>
      <c r="D564" s="13" t="str">
        <f>LRVs!C492</f>
        <v>Membrane bioreactor</v>
      </c>
      <c r="E564" s="13" t="str">
        <f>LRVs!BG492</f>
        <v>Virus</v>
      </c>
      <c r="F564" s="13" t="str">
        <f>IF(LRVs!BH492="","",LRVs!BH492)</f>
        <v>Somatic coliphage</v>
      </c>
      <c r="G564">
        <f>IF(LRVs!BL492="","",LRVs!BL492)</f>
        <v>3.7403626894942441</v>
      </c>
    </row>
    <row r="565" spans="2:7" x14ac:dyDescent="0.3">
      <c r="B565">
        <v>734</v>
      </c>
      <c r="C565" s="13" t="str">
        <f>_xlfn.XLOOKUP(B565,LRV[id],LRV[source])</f>
        <v>Koivunen &amp; Heinonen-Tanksi (2005)</v>
      </c>
      <c r="D565" s="13" t="str">
        <f>LRVs!C493</f>
        <v>Membrane bioreactor</v>
      </c>
      <c r="E565" s="13" t="str">
        <f>LRVs!BG493</f>
        <v>Virus</v>
      </c>
      <c r="F565" s="13" t="str">
        <f>IF(LRVs!BH493="","",LRVs!BH493)</f>
        <v>Somatic coliphage</v>
      </c>
      <c r="G565">
        <f>IF(LRVs!BL493="","",LRVs!BL493)</f>
        <v>3.0669467896306135</v>
      </c>
    </row>
    <row r="566" spans="2:7" x14ac:dyDescent="0.3">
      <c r="B566">
        <v>735</v>
      </c>
      <c r="C566" s="13" t="str">
        <f>_xlfn.XLOOKUP(B566,LRV[id],LRV[source])</f>
        <v>Koivunen &amp; Heinonen-Tanksi (2005)</v>
      </c>
      <c r="D566" s="13" t="str">
        <f>LRVs!C494</f>
        <v>Membrane bioreactor</v>
      </c>
      <c r="E566" s="13" t="str">
        <f>LRVs!BG494</f>
        <v>Virus</v>
      </c>
      <c r="F566" s="13" t="str">
        <f>IF(LRVs!BH494="","",LRVs!BH494)</f>
        <v>Somatic coliphage</v>
      </c>
      <c r="G566">
        <f>IF(LRVs!BL494="","",LRVs!BL494)</f>
        <v>2.6709412807357755</v>
      </c>
    </row>
    <row r="567" spans="2:7" x14ac:dyDescent="0.3">
      <c r="B567">
        <v>736</v>
      </c>
      <c r="C567" s="13" t="str">
        <f>_xlfn.XLOOKUP(B567,LRV[id],LRV[source])</f>
        <v>Koivunen &amp; Heinonen-Tanksi (2005)</v>
      </c>
      <c r="D567" s="13" t="str">
        <f>LRVs!C495</f>
        <v>Membrane bioreactor</v>
      </c>
      <c r="E567" s="13" t="str">
        <f>LRVs!BG495</f>
        <v>Virus</v>
      </c>
      <c r="F567" s="13" t="str">
        <f>IF(LRVs!BH495="","",LRVs!BH495)</f>
        <v>Somatic coliphage</v>
      </c>
      <c r="G567">
        <f>IF(LRVs!BL495="","",LRVs!BL495)</f>
        <v>3.7639108112690329</v>
      </c>
    </row>
    <row r="568" spans="2:7" x14ac:dyDescent="0.3">
      <c r="B568">
        <v>737</v>
      </c>
      <c r="C568" s="13" t="str">
        <f>_xlfn.XLOOKUP(B568,LRV[id],LRV[source])</f>
        <v>Koivunen &amp; Heinonen-Tanksi (2005)</v>
      </c>
      <c r="D568" s="13" t="str">
        <f>LRVs!C496</f>
        <v>Membrane bioreactor</v>
      </c>
      <c r="E568" s="13" t="str">
        <f>LRVs!BG496</f>
        <v>Virus</v>
      </c>
      <c r="F568" s="13" t="str">
        <f>IF(LRVs!BH496="","",LRVs!BH496)</f>
        <v>Somatic coliphage</v>
      </c>
      <c r="G568">
        <f>IF(LRVs!BL496="","",LRVs!BL496)</f>
        <v>4.0413926851582254</v>
      </c>
    </row>
    <row r="569" spans="2:7" x14ac:dyDescent="0.3">
      <c r="B569">
        <v>738</v>
      </c>
      <c r="C569" s="13" t="str">
        <f>_xlfn.XLOOKUP(B569,LRV[id],LRV[source])</f>
        <v>Koivunen &amp; Heinonen-Tanksi (2005)</v>
      </c>
      <c r="D569" s="13" t="str">
        <f>LRVs!C497</f>
        <v>Membrane bioreactor</v>
      </c>
      <c r="E569" s="13" t="str">
        <f>LRVs!BG497</f>
        <v>Virus</v>
      </c>
      <c r="F569" s="13" t="str">
        <f>IF(LRVs!BH497="","",LRVs!BH497)</f>
        <v>Somatic coliphage</v>
      </c>
      <c r="G569">
        <f>IF(LRVs!BL497="","",LRVs!BL497)</f>
        <v>3.0483046795745552</v>
      </c>
    </row>
    <row r="570" spans="2:7" x14ac:dyDescent="0.3">
      <c r="B570">
        <v>739</v>
      </c>
      <c r="C570" s="13" t="str">
        <f>_xlfn.XLOOKUP(B570,LRV[id],LRV[source])</f>
        <v>Koivunen &amp; Heinonen-Tanksi (2005)</v>
      </c>
      <c r="D570" s="13" t="str">
        <f>LRVs!C498</f>
        <v>Membrane bioreactor</v>
      </c>
      <c r="E570" s="13" t="str">
        <f>LRVs!BG498</f>
        <v>Virus</v>
      </c>
      <c r="F570" s="13" t="str">
        <f>IF(LRVs!BH498="","",LRVs!BH498)</f>
        <v>Somatic coliphage</v>
      </c>
      <c r="G570">
        <f>IF(LRVs!BL498="","",LRVs!BL498)</f>
        <v>3.208275942427083</v>
      </c>
    </row>
    <row r="571" spans="2:7" x14ac:dyDescent="0.3">
      <c r="B571">
        <v>740</v>
      </c>
      <c r="C571" s="13" t="str">
        <f>_xlfn.XLOOKUP(B571,LRV[id],LRV[source])</f>
        <v>Koivunen &amp; Heinonen-Tanksi (2005)</v>
      </c>
      <c r="D571" s="13" t="str">
        <f>LRVs!C499</f>
        <v>Membrane bioreactor</v>
      </c>
      <c r="E571" s="13" t="str">
        <f>LRVs!BG499</f>
        <v>Virus</v>
      </c>
      <c r="F571" s="13" t="str">
        <f>IF(LRVs!BH499="","",LRVs!BH499)</f>
        <v>Somatic coliphage</v>
      </c>
      <c r="G571">
        <f>IF(LRVs!BL499="","",LRVs!BL499)</f>
        <v>2.9829666607012197</v>
      </c>
    </row>
    <row r="572" spans="2:7" x14ac:dyDescent="0.3">
      <c r="B572">
        <v>741</v>
      </c>
      <c r="C572" s="13" t="str">
        <f>_xlfn.XLOOKUP(B572,LRV[id],LRV[source])</f>
        <v>Koivunen &amp; Heinonen-Tanksi (2005)</v>
      </c>
      <c r="D572" s="13" t="str">
        <f>LRVs!C500</f>
        <v>UV</v>
      </c>
      <c r="E572" s="13" t="str">
        <f>LRVs!BG500</f>
        <v>Virus</v>
      </c>
      <c r="F572" s="13" t="str">
        <f>IF(LRVs!BH500="","",LRVs!BH500)</f>
        <v>Somatic coliphage</v>
      </c>
      <c r="G572">
        <f>IF(LRVs!BL500="","",LRVs!BL500)</f>
        <v>2.9642596301968491</v>
      </c>
    </row>
    <row r="573" spans="2:7" x14ac:dyDescent="0.3">
      <c r="B573">
        <v>742</v>
      </c>
      <c r="C573" s="13" t="str">
        <f>_xlfn.XLOOKUP(B573,LRV[id],LRV[source])</f>
        <v>Koivunen &amp; Heinonen-Tanksi (2005)</v>
      </c>
      <c r="D573" s="13" t="str">
        <f>LRVs!C501</f>
        <v>UV</v>
      </c>
      <c r="E573" s="13" t="str">
        <f>LRVs!BG501</f>
        <v>Virus</v>
      </c>
      <c r="F573" s="13" t="str">
        <f>IF(LRVs!BH501="","",LRVs!BH501)</f>
        <v>Somatic coliphage</v>
      </c>
      <c r="G573">
        <f>IF(LRVs!BL501="","",LRVs!BL501)</f>
        <v>2.1760912590556813</v>
      </c>
    </row>
    <row r="574" spans="2:7" x14ac:dyDescent="0.3">
      <c r="B574">
        <v>743</v>
      </c>
      <c r="C574" s="13" t="str">
        <f>_xlfn.XLOOKUP(B574,LRV[id],LRV[source])</f>
        <v>Koivunen &amp; Heinonen-Tanksi (2005)</v>
      </c>
      <c r="D574" s="13" t="str">
        <f>LRVs!C502</f>
        <v>UV</v>
      </c>
      <c r="E574" s="13" t="str">
        <f>LRVs!BG502</f>
        <v>Virus</v>
      </c>
      <c r="F574" s="13" t="str">
        <f>IF(LRVs!BH502="","",LRVs!BH502)</f>
        <v>Somatic coliphage</v>
      </c>
      <c r="G574">
        <f>IF(LRVs!BL502="","",LRVs!BL502)</f>
        <v>1.1760912590556813</v>
      </c>
    </row>
    <row r="575" spans="2:7" x14ac:dyDescent="0.3">
      <c r="B575">
        <v>744</v>
      </c>
      <c r="C575" s="13" t="str">
        <f>_xlfn.XLOOKUP(B575,LRV[id],LRV[source])</f>
        <v>Koivunen &amp; Heinonen-Tanksi (2005)</v>
      </c>
      <c r="D575" s="13" t="str">
        <f>LRVs!C503</f>
        <v>UV</v>
      </c>
      <c r="E575" s="13" t="str">
        <f>LRVs!BG503</f>
        <v>Virus</v>
      </c>
      <c r="F575" s="13" t="str">
        <f>IF(LRVs!BH503="","",LRVs!BH503)</f>
        <v>Somatic coliphage</v>
      </c>
      <c r="G575">
        <f>IF(LRVs!BL503="","",LRVs!BL503)</f>
        <v>0.90308998699194354</v>
      </c>
    </row>
    <row r="576" spans="2:7" x14ac:dyDescent="0.3">
      <c r="B576">
        <v>745</v>
      </c>
      <c r="C576" s="13" t="str">
        <f>_xlfn.XLOOKUP(B576,LRV[id],LRV[source])</f>
        <v>Koivunen &amp; Heinonen-Tanksi (2005)</v>
      </c>
      <c r="D576" s="13" t="str">
        <f>LRVs!C504</f>
        <v>UV</v>
      </c>
      <c r="E576" s="13" t="str">
        <f>LRVs!BG504</f>
        <v>Virus</v>
      </c>
      <c r="F576" s="13" t="str">
        <f>IF(LRVs!BH504="","",LRVs!BH504)</f>
        <v>Somatic coliphage</v>
      </c>
      <c r="G576">
        <f>IF(LRVs!BL504="","",LRVs!BL504)</f>
        <v>2.255272505103306</v>
      </c>
    </row>
    <row r="577" spans="2:7" x14ac:dyDescent="0.3">
      <c r="B577">
        <v>746</v>
      </c>
      <c r="C577" s="13" t="str">
        <f>_xlfn.XLOOKUP(B577,LRV[id],LRV[source])</f>
        <v>Koivunen &amp; Heinonen-Tanksi (2005)</v>
      </c>
      <c r="D577" s="13" t="str">
        <f>LRVs!C505</f>
        <v>UV</v>
      </c>
      <c r="E577" s="13" t="str">
        <f>LRVs!BG505</f>
        <v>Virus</v>
      </c>
      <c r="F577" s="13" t="str">
        <f>IF(LRVs!BH505="","",LRVs!BH505)</f>
        <v>Somatic coliphage</v>
      </c>
      <c r="G577">
        <f>IF(LRVs!BL505="","",LRVs!BL505)</f>
        <v>2.5051499783199058</v>
      </c>
    </row>
    <row r="578" spans="2:7" x14ac:dyDescent="0.3">
      <c r="B578">
        <v>747</v>
      </c>
      <c r="C578" s="13" t="str">
        <f>_xlfn.XLOOKUP(B578,LRV[id],LRV[source])</f>
        <v>Koivunen &amp; Heinonen-Tanksi (2005)</v>
      </c>
      <c r="D578" s="13" t="str">
        <f>LRVs!C506</f>
        <v>UV</v>
      </c>
      <c r="E578" s="13" t="str">
        <f>LRVs!BG506</f>
        <v>Virus</v>
      </c>
      <c r="F578" s="13" t="str">
        <f>IF(LRVs!BH506="","",LRVs!BH506)</f>
        <v>Somatic coliphage</v>
      </c>
      <c r="G578">
        <f>IF(LRVs!BL506="","",LRVs!BL506)</f>
        <v>1.7923916894982539</v>
      </c>
    </row>
    <row r="579" spans="2:7" x14ac:dyDescent="0.3">
      <c r="B579">
        <v>748</v>
      </c>
      <c r="C579" s="13" t="str">
        <f>_xlfn.XLOOKUP(B579,LRV[id],LRV[source])</f>
        <v>Koivunen &amp; Heinonen-Tanksi (2005)</v>
      </c>
      <c r="D579" s="13" t="str">
        <f>LRVs!C507</f>
        <v>UV</v>
      </c>
      <c r="E579" s="13" t="str">
        <f>LRVs!BG507</f>
        <v>Virus</v>
      </c>
      <c r="F579" s="13" t="str">
        <f>IF(LRVs!BH507="","",LRVs!BH507)</f>
        <v>Somatic coliphage</v>
      </c>
      <c r="G579">
        <f>IF(LRVs!BL507="","",LRVs!BL507)</f>
        <v>2</v>
      </c>
    </row>
    <row r="580" spans="2:7" x14ac:dyDescent="0.3">
      <c r="B580">
        <v>749</v>
      </c>
      <c r="C580" s="13" t="str">
        <f>_xlfn.XLOOKUP(B580,LRV[id],LRV[source])</f>
        <v>Koivunen &amp; Heinonen-Tanksi (2005)</v>
      </c>
      <c r="D580" s="13" t="str">
        <f>LRVs!C508</f>
        <v>UV</v>
      </c>
      <c r="E580" s="13" t="str">
        <f>LRVs!BG508</f>
        <v>Virus</v>
      </c>
      <c r="F580" s="13" t="str">
        <f>IF(LRVs!BH508="","",LRVs!BH508)</f>
        <v>Somatic coliphage</v>
      </c>
      <c r="G580">
        <f>IF(LRVs!BL508="","",LRVs!BL508)</f>
        <v>2.7075701760979363</v>
      </c>
    </row>
    <row r="581" spans="2:7" x14ac:dyDescent="0.3">
      <c r="B581">
        <v>750</v>
      </c>
      <c r="C581" s="13" t="str">
        <f>_xlfn.XLOOKUP(B581,LRV[id],LRV[source])</f>
        <v>Koivunen &amp; Heinonen-Tanksi (2005)</v>
      </c>
      <c r="D581" s="13" t="str">
        <f>LRVs!C509</f>
        <v>UV</v>
      </c>
      <c r="E581" s="13" t="str">
        <f>LRVs!BG509</f>
        <v>Virus</v>
      </c>
      <c r="F581" s="13" t="str">
        <f>IF(LRVs!BH509="","",LRVs!BH509)</f>
        <v>Somatic coliphage</v>
      </c>
      <c r="G581">
        <f>IF(LRVs!BL509="","",LRVs!BL509)</f>
        <v>1.6879746200345556</v>
      </c>
    </row>
    <row r="582" spans="2:7" x14ac:dyDescent="0.3">
      <c r="B582">
        <v>751</v>
      </c>
      <c r="C582" s="13" t="str">
        <f>_xlfn.XLOOKUP(B582,LRV[id],LRV[source])</f>
        <v>Koivunen &amp; Heinonen-Tanksi (2005)</v>
      </c>
      <c r="D582" s="13" t="str">
        <f>LRVs!C510</f>
        <v>UV</v>
      </c>
      <c r="E582" s="13" t="str">
        <f>LRVs!BG510</f>
        <v>Virus</v>
      </c>
      <c r="F582" s="13" t="str">
        <f>IF(LRVs!BH510="","",LRVs!BH510)</f>
        <v>Somatic coliphage</v>
      </c>
      <c r="G582">
        <f>IF(LRVs!BL510="","",LRVs!BL510)</f>
        <v>2.2388820889151368</v>
      </c>
    </row>
    <row r="583" spans="2:7" x14ac:dyDescent="0.3">
      <c r="B583">
        <v>752</v>
      </c>
      <c r="C583" s="13" t="str">
        <f>_xlfn.XLOOKUP(B583,LRV[id],LRV[source])</f>
        <v>Koivunen &amp; Heinonen-Tanksi (2005)</v>
      </c>
      <c r="D583" s="13" t="e">
        <f>LRVs!#REF!</f>
        <v>#REF!</v>
      </c>
      <c r="E583" s="13" t="e">
        <f>LRVs!#REF!</f>
        <v>#REF!</v>
      </c>
      <c r="F583" s="13" t="e">
        <f>IF(LRVs!#REF!="","",LRVs!#REF!)</f>
        <v>#REF!</v>
      </c>
      <c r="G583" t="e">
        <f>IF(LRVs!#REF!="","",LRVs!#REF!)</f>
        <v>#REF!</v>
      </c>
    </row>
    <row r="584" spans="2:7" x14ac:dyDescent="0.3">
      <c r="B584">
        <v>753</v>
      </c>
      <c r="C584" s="13" t="str">
        <f>_xlfn.XLOOKUP(B584,LRV[id],LRV[source])</f>
        <v>Koivunen &amp; Heinonen-Tanksi (2005)</v>
      </c>
      <c r="D584" s="13" t="e">
        <f>LRVs!#REF!</f>
        <v>#REF!</v>
      </c>
      <c r="E584" s="13" t="e">
        <f>LRVs!#REF!</f>
        <v>#REF!</v>
      </c>
      <c r="F584" s="13" t="e">
        <f>IF(LRVs!#REF!="","",LRVs!#REF!)</f>
        <v>#REF!</v>
      </c>
      <c r="G584" t="e">
        <f>IF(LRVs!#REF!="","",LRVs!#REF!)</f>
        <v>#REF!</v>
      </c>
    </row>
    <row r="585" spans="2:7" x14ac:dyDescent="0.3">
      <c r="B585">
        <v>754</v>
      </c>
      <c r="C585" s="13" t="str">
        <f>_xlfn.XLOOKUP(B585,LRV[id],LRV[source])</f>
        <v>Koivunen &amp; Heinonen-Tanksi (2005)</v>
      </c>
      <c r="D585" s="13" t="e">
        <f>LRVs!#REF!</f>
        <v>#REF!</v>
      </c>
      <c r="E585" s="13" t="e">
        <f>LRVs!#REF!</f>
        <v>#REF!</v>
      </c>
      <c r="F585" s="13" t="e">
        <f>IF(LRVs!#REF!="","",LRVs!#REF!)</f>
        <v>#REF!</v>
      </c>
      <c r="G585" t="e">
        <f>IF(LRVs!#REF!="","",LRVs!#REF!)</f>
        <v>#REF!</v>
      </c>
    </row>
    <row r="586" spans="2:7" x14ac:dyDescent="0.3">
      <c r="B586">
        <v>755</v>
      </c>
      <c r="C586" s="13" t="str">
        <f>_xlfn.XLOOKUP(B586,LRV[id],LRV[source])</f>
        <v>Koivunen &amp; Heinonen-Tanksi (2005)</v>
      </c>
      <c r="D586" s="13" t="e">
        <f>LRVs!#REF!</f>
        <v>#REF!</v>
      </c>
      <c r="E586" s="13" t="e">
        <f>LRVs!#REF!</f>
        <v>#REF!</v>
      </c>
      <c r="F586" s="13" t="e">
        <f>IF(LRVs!#REF!="","",LRVs!#REF!)</f>
        <v>#REF!</v>
      </c>
      <c r="G586" t="e">
        <f>IF(LRVs!#REF!="","",LRVs!#REF!)</f>
        <v>#REF!</v>
      </c>
    </row>
    <row r="587" spans="2:7" x14ac:dyDescent="0.3">
      <c r="B587">
        <v>756</v>
      </c>
      <c r="C587" s="13" t="str">
        <f>_xlfn.XLOOKUP(B587,LRV[id],LRV[source])</f>
        <v>Koivunen &amp; Heinonen-Tanksi (2005)</v>
      </c>
      <c r="D587" s="13" t="e">
        <f>LRVs!#REF!</f>
        <v>#REF!</v>
      </c>
      <c r="E587" s="13" t="e">
        <f>LRVs!#REF!</f>
        <v>#REF!</v>
      </c>
      <c r="F587" s="13" t="e">
        <f>IF(LRVs!#REF!="","",LRVs!#REF!)</f>
        <v>#REF!</v>
      </c>
      <c r="G587" t="e">
        <f>IF(LRVs!#REF!="","",LRVs!#REF!)</f>
        <v>#REF!</v>
      </c>
    </row>
    <row r="588" spans="2:7" x14ac:dyDescent="0.3">
      <c r="B588">
        <v>757</v>
      </c>
      <c r="C588" s="13" t="str">
        <f>_xlfn.XLOOKUP(B588,LRV[id],LRV[source])</f>
        <v>Koivunen &amp; Heinonen-Tanksi (2005)</v>
      </c>
      <c r="D588" s="13" t="e">
        <f>LRVs!#REF!</f>
        <v>#REF!</v>
      </c>
      <c r="E588" s="13" t="e">
        <f>LRVs!#REF!</f>
        <v>#REF!</v>
      </c>
      <c r="F588" s="13" t="e">
        <f>IF(LRVs!#REF!="","",LRVs!#REF!)</f>
        <v>#REF!</v>
      </c>
      <c r="G588" t="e">
        <f>IF(LRVs!#REF!="","",LRVs!#REF!)</f>
        <v>#REF!</v>
      </c>
    </row>
    <row r="589" spans="2:7" x14ac:dyDescent="0.3">
      <c r="B589">
        <v>758</v>
      </c>
      <c r="C589" s="13" t="str">
        <f>_xlfn.XLOOKUP(B589,LRV[id],LRV[source])</f>
        <v>Koivunen &amp; Heinonen-Tanksi (2005)</v>
      </c>
      <c r="D589" s="13" t="e">
        <f>LRVs!#REF!</f>
        <v>#REF!</v>
      </c>
      <c r="E589" s="13" t="e">
        <f>LRVs!#REF!</f>
        <v>#REF!</v>
      </c>
      <c r="F589" s="13" t="e">
        <f>IF(LRVs!#REF!="","",LRVs!#REF!)</f>
        <v>#REF!</v>
      </c>
      <c r="G589" t="e">
        <f>IF(LRVs!#REF!="","",LRVs!#REF!)</f>
        <v>#REF!</v>
      </c>
    </row>
    <row r="590" spans="2:7" x14ac:dyDescent="0.3">
      <c r="B590">
        <v>759</v>
      </c>
      <c r="C590" s="13" t="str">
        <f>_xlfn.XLOOKUP(B590,LRV[id],LRV[source])</f>
        <v>Koivunen &amp; Heinonen-Tanksi (2005)</v>
      </c>
      <c r="D590" s="13" t="e">
        <f>LRVs!#REF!</f>
        <v>#REF!</v>
      </c>
      <c r="E590" s="13" t="e">
        <f>LRVs!#REF!</f>
        <v>#REF!</v>
      </c>
      <c r="F590" s="13" t="e">
        <f>IF(LRVs!#REF!="","",LRVs!#REF!)</f>
        <v>#REF!</v>
      </c>
      <c r="G590" t="e">
        <f>IF(LRVs!#REF!="","",LRVs!#REF!)</f>
        <v>#REF!</v>
      </c>
    </row>
    <row r="591" spans="2:7" x14ac:dyDescent="0.3">
      <c r="B591">
        <v>760</v>
      </c>
      <c r="C591" s="13" t="str">
        <f>_xlfn.XLOOKUP(B591,LRV[id],LRV[source])</f>
        <v>Koivunen &amp; Heinonen-Tanksi (2005)</v>
      </c>
      <c r="D591" s="13" t="str">
        <f>LRVs!C511</f>
        <v>UV</v>
      </c>
      <c r="E591" s="13" t="str">
        <f>LRVs!BG511</f>
        <v>Virus</v>
      </c>
      <c r="F591" s="13" t="str">
        <f>IF(LRVs!BH511="","",LRVs!BH511)</f>
        <v>Somatic coliphage</v>
      </c>
      <c r="G591">
        <f>IF(LRVs!BL511="","",LRVs!BL511)</f>
        <v>3.204119982655925</v>
      </c>
    </row>
    <row r="592" spans="2:7" x14ac:dyDescent="0.3">
      <c r="B592">
        <v>761</v>
      </c>
      <c r="C592" s="13" t="str">
        <f>_xlfn.XLOOKUP(B592,LRV[id],LRV[source])</f>
        <v>Koivunen &amp; Heinonen-Tanksi (2005)</v>
      </c>
      <c r="D592" s="13" t="str">
        <f>LRVs!C512</f>
        <v>UV</v>
      </c>
      <c r="E592" s="13" t="str">
        <f>LRVs!BG512</f>
        <v>Virus</v>
      </c>
      <c r="F592" s="13" t="str">
        <f>IF(LRVs!BH512="","",LRVs!BH512)</f>
        <v>Somatic coliphage</v>
      </c>
      <c r="G592">
        <f>IF(LRVs!BL512="","",LRVs!BL512)</f>
        <v>0.95424250943932498</v>
      </c>
    </row>
    <row r="593" spans="2:7" x14ac:dyDescent="0.3">
      <c r="B593">
        <v>762</v>
      </c>
      <c r="C593" s="13" t="str">
        <f>_xlfn.XLOOKUP(B593,LRV[id],LRV[source])</f>
        <v>Koivunen &amp; Heinonen-Tanksi (2005)</v>
      </c>
      <c r="D593" s="13" t="str">
        <f>LRVs!C513</f>
        <v>UV</v>
      </c>
      <c r="E593" s="13" t="str">
        <f>LRVs!BG513</f>
        <v>Virus</v>
      </c>
      <c r="F593" s="13" t="str">
        <f>IF(LRVs!BH513="","",LRVs!BH513)</f>
        <v>Somatic coliphage</v>
      </c>
      <c r="G593">
        <f>IF(LRVs!BL513="","",LRVs!BL513)</f>
        <v>2.9867717342662448</v>
      </c>
    </row>
    <row r="594" spans="2:7" x14ac:dyDescent="0.3">
      <c r="B594">
        <v>763</v>
      </c>
      <c r="C594" s="13" t="str">
        <f>_xlfn.XLOOKUP(B594,LRV[id],LRV[source])</f>
        <v>Koivunen &amp; Heinonen-Tanksi (2005)</v>
      </c>
      <c r="D594" s="13" t="str">
        <f>LRVs!C514</f>
        <v>UV</v>
      </c>
      <c r="E594" s="13" t="str">
        <f>LRVs!BG514</f>
        <v>Virus</v>
      </c>
      <c r="F594" s="13" t="str">
        <f>IF(LRVs!BH514="","",LRVs!BH514)</f>
        <v>Somatic coliphage</v>
      </c>
      <c r="G594">
        <f>IF(LRVs!BL514="","",LRVs!BL514)</f>
        <v>2.9731278535996988</v>
      </c>
    </row>
    <row r="595" spans="2:7" x14ac:dyDescent="0.3">
      <c r="B595">
        <v>764</v>
      </c>
      <c r="C595" s="13" t="str">
        <f>_xlfn.XLOOKUP(B595,LRV[id],LRV[source])</f>
        <v>Koivunen &amp; Heinonen-Tanksi (2005)</v>
      </c>
      <c r="D595" s="13" t="e">
        <f>LRVs!#REF!</f>
        <v>#REF!</v>
      </c>
      <c r="E595" s="13" t="e">
        <f>LRVs!#REF!</f>
        <v>#REF!</v>
      </c>
      <c r="F595" s="13" t="e">
        <f>IF(LRVs!#REF!="","",LRVs!#REF!)</f>
        <v>#REF!</v>
      </c>
      <c r="G595" t="e">
        <f>IF(LRVs!#REF!="","",LRVs!#REF!)</f>
        <v>#REF!</v>
      </c>
    </row>
    <row r="596" spans="2:7" x14ac:dyDescent="0.3">
      <c r="B596">
        <v>765</v>
      </c>
      <c r="C596" s="13" t="str">
        <f>_xlfn.XLOOKUP(B596,LRV[id],LRV[source])</f>
        <v>Koivunen &amp; Heinonen-Tanksi (2005)</v>
      </c>
      <c r="D596" s="13" t="e">
        <f>LRVs!#REF!</f>
        <v>#REF!</v>
      </c>
      <c r="E596" s="13" t="e">
        <f>LRVs!#REF!</f>
        <v>#REF!</v>
      </c>
      <c r="F596" s="13" t="e">
        <f>IF(LRVs!#REF!="","",LRVs!#REF!)</f>
        <v>#REF!</v>
      </c>
      <c r="G596" t="e">
        <f>IF(LRVs!#REF!="","",LRVs!#REF!)</f>
        <v>#REF!</v>
      </c>
    </row>
    <row r="597" spans="2:7" x14ac:dyDescent="0.3">
      <c r="B597">
        <v>766</v>
      </c>
      <c r="C597" s="13" t="str">
        <f>_xlfn.XLOOKUP(B597,LRV[id],LRV[source])</f>
        <v>Koivunen &amp; Heinonen-Tanksi (2005)</v>
      </c>
      <c r="D597" s="13" t="e">
        <f>LRVs!#REF!</f>
        <v>#REF!</v>
      </c>
      <c r="E597" s="13" t="e">
        <f>LRVs!#REF!</f>
        <v>#REF!</v>
      </c>
      <c r="F597" s="13" t="e">
        <f>IF(LRVs!#REF!="","",LRVs!#REF!)</f>
        <v>#REF!</v>
      </c>
      <c r="G597" t="e">
        <f>IF(LRVs!#REF!="","",LRVs!#REF!)</f>
        <v>#REF!</v>
      </c>
    </row>
    <row r="598" spans="2:7" x14ac:dyDescent="0.3">
      <c r="B598">
        <v>767</v>
      </c>
      <c r="C598" s="13" t="str">
        <f>_xlfn.XLOOKUP(B598,LRV[id],LRV[source])</f>
        <v>Koivunen &amp; Heinonen-Tanksi (2005)</v>
      </c>
      <c r="D598" s="13" t="e">
        <f>LRVs!#REF!</f>
        <v>#REF!</v>
      </c>
      <c r="E598" s="13" t="e">
        <f>LRVs!#REF!</f>
        <v>#REF!</v>
      </c>
      <c r="F598" s="13" t="e">
        <f>IF(LRVs!#REF!="","",LRVs!#REF!)</f>
        <v>#REF!</v>
      </c>
      <c r="G598" t="e">
        <f>IF(LRVs!#REF!="","",LRVs!#REF!)</f>
        <v>#REF!</v>
      </c>
    </row>
    <row r="599" spans="2:7" x14ac:dyDescent="0.3">
      <c r="B599">
        <v>768</v>
      </c>
      <c r="C599" s="13" t="str">
        <f>_xlfn.XLOOKUP(B599,LRV[id],LRV[source])</f>
        <v>Koivunen &amp; Heinonen-Tanksi (2005)</v>
      </c>
      <c r="D599" s="13" t="str">
        <f>LRVs!C515</f>
        <v>Chlorine</v>
      </c>
      <c r="E599" s="13" t="str">
        <f>LRVs!BG515</f>
        <v>Virus</v>
      </c>
      <c r="F599" s="13" t="str">
        <f>IF(LRVs!BH515="","",LRVs!BH515)</f>
        <v>Somatic coliphage</v>
      </c>
      <c r="G599">
        <f>IF(LRVs!BL515="","",LRVs!BL515)</f>
        <v>1.9208187539523753</v>
      </c>
    </row>
    <row r="600" spans="2:7" x14ac:dyDescent="0.3">
      <c r="B600">
        <v>769</v>
      </c>
      <c r="C600" s="13" t="str">
        <f>_xlfn.XLOOKUP(B600,LRV[id],LRV[source])</f>
        <v>Koivunen &amp; Heinonen-Tanksi (2005)</v>
      </c>
      <c r="D600" s="13" t="str">
        <f>LRVs!C516</f>
        <v>Chlorine</v>
      </c>
      <c r="E600" s="13" t="str">
        <f>LRVs!BG516</f>
        <v>Virus</v>
      </c>
      <c r="F600" s="13" t="str">
        <f>IF(LRVs!BH516="","",LRVs!BH516)</f>
        <v>Somatic coliphage</v>
      </c>
      <c r="G600">
        <f>IF(LRVs!BL516="","",LRVs!BL516)</f>
        <v>1.2180557605992171</v>
      </c>
    </row>
    <row r="601" spans="2:7" x14ac:dyDescent="0.3">
      <c r="B601">
        <v>770</v>
      </c>
      <c r="C601" s="13" t="str">
        <f>_xlfn.XLOOKUP(B601,LRV[id],LRV[source])</f>
        <v>Koivunen &amp; Heinonen-Tanksi (2005)</v>
      </c>
      <c r="D601" s="13" t="str">
        <f>LRVs!C517</f>
        <v>Chlorine</v>
      </c>
      <c r="E601" s="13" t="str">
        <f>LRVs!BG517</f>
        <v>Virus</v>
      </c>
      <c r="F601" s="13" t="str">
        <f>IF(LRVs!BH517="","",LRVs!BH517)</f>
        <v>Somatic coliphage</v>
      </c>
      <c r="G601">
        <f>IF(LRVs!BL517="","",LRVs!BL517)</f>
        <v>2.0791812460476251</v>
      </c>
    </row>
    <row r="602" spans="2:7" x14ac:dyDescent="0.3">
      <c r="B602">
        <v>771</v>
      </c>
      <c r="C602" s="13" t="str">
        <f>_xlfn.XLOOKUP(B602,LRV[id],LRV[source])</f>
        <v>Koivunen &amp; Heinonen-Tanksi (2005)</v>
      </c>
      <c r="D602" s="13" t="str">
        <f>LRVs!C518</f>
        <v>Chlorine</v>
      </c>
      <c r="E602" s="13" t="str">
        <f>LRVs!BG518</f>
        <v>Virus</v>
      </c>
      <c r="F602" s="13" t="str">
        <f>IF(LRVs!BH518="","",LRVs!BH518)</f>
        <v>Somatic coliphage</v>
      </c>
      <c r="G602">
        <f>IF(LRVs!BL518="","",LRVs!BL518)</f>
        <v>1.4311083719246924</v>
      </c>
    </row>
    <row r="603" spans="2:7" x14ac:dyDescent="0.3">
      <c r="B603">
        <v>772</v>
      </c>
      <c r="C603" s="13" t="str">
        <f>_xlfn.XLOOKUP(B603,LRV[id],LRV[source])</f>
        <v>Koivunen &amp; Heinonen-Tanksi (2005)</v>
      </c>
      <c r="D603" s="13" t="str">
        <f>LRVs!C519</f>
        <v>Membrane bioreactor</v>
      </c>
      <c r="E603" s="13" t="str">
        <f>LRVs!BG519</f>
        <v>Virus</v>
      </c>
      <c r="F603" s="13" t="str">
        <f>IF(LRVs!BH519="","",LRVs!BH519)</f>
        <v>Adenovirus</v>
      </c>
      <c r="G603">
        <f>IF(LRVs!BL519="","",LRVs!BL519)</f>
        <v>2.4313637641589874</v>
      </c>
    </row>
    <row r="604" spans="2:7" x14ac:dyDescent="0.3">
      <c r="B604">
        <v>773</v>
      </c>
      <c r="C604" s="13" t="str">
        <f>_xlfn.XLOOKUP(B604,LRV[id],LRV[source])</f>
        <v>Koivunen &amp; Heinonen-Tanksi (2005)</v>
      </c>
      <c r="D604" s="13" t="str">
        <f>LRVs!C520</f>
        <v>Membrane bioreactor</v>
      </c>
      <c r="E604" s="13" t="str">
        <f>LRVs!BG520</f>
        <v>Virus</v>
      </c>
      <c r="F604" s="13" t="str">
        <f>IF(LRVs!BH520="","",LRVs!BH520)</f>
        <v>Adenovirus</v>
      </c>
      <c r="G604">
        <f>IF(LRVs!BL520="","",LRVs!BL520)</f>
        <v>2.8372727025023003</v>
      </c>
    </row>
    <row r="605" spans="2:7" x14ac:dyDescent="0.3">
      <c r="B605">
        <v>774</v>
      </c>
      <c r="C605" s="13" t="str">
        <f>_xlfn.XLOOKUP(B605,LRV[id],LRV[source])</f>
        <v>Koivunen &amp; Heinonen-Tanksi (2005)</v>
      </c>
      <c r="D605" s="13" t="str">
        <f>LRVs!C521</f>
        <v>Membrane bioreactor</v>
      </c>
      <c r="E605" s="13" t="str">
        <f>LRVs!BG521</f>
        <v>Virus</v>
      </c>
      <c r="F605" s="13" t="str">
        <f>IF(LRVs!BH521="","",LRVs!BH521)</f>
        <v>Adenovirus</v>
      </c>
      <c r="G605">
        <f>IF(LRVs!BL521="","",LRVs!BL521)</f>
        <v>2.384004230728745</v>
      </c>
    </row>
    <row r="606" spans="2:7" x14ac:dyDescent="0.3">
      <c r="B606">
        <v>775</v>
      </c>
      <c r="C606" s="13" t="str">
        <f>_xlfn.XLOOKUP(B606,LRV[id],LRV[source])</f>
        <v>Koivunen &amp; Heinonen-Tanksi (2005)</v>
      </c>
      <c r="D606" s="13" t="str">
        <f>LRVs!C522</f>
        <v>Membrane bioreactor</v>
      </c>
      <c r="E606" s="13" t="str">
        <f>LRVs!BG522</f>
        <v>Virus</v>
      </c>
      <c r="F606" s="13" t="str">
        <f>IF(LRVs!BH522="","",LRVs!BH522)</f>
        <v>Adenovirus</v>
      </c>
      <c r="G606">
        <f>IF(LRVs!BL522="","",LRVs!BL522)</f>
        <v>4.4771212547196626</v>
      </c>
    </row>
    <row r="607" spans="2:7" x14ac:dyDescent="0.3">
      <c r="B607">
        <v>776</v>
      </c>
      <c r="C607" s="13" t="str">
        <f>_xlfn.XLOOKUP(B607,LRV[id],LRV[source])</f>
        <v>Koivunen &amp; Heinonen-Tanksi (2005)</v>
      </c>
      <c r="D607" s="13" t="str">
        <f>LRVs!C523</f>
        <v>Membrane bioreactor</v>
      </c>
      <c r="E607" s="13" t="str">
        <f>LRVs!BG523</f>
        <v>Virus</v>
      </c>
      <c r="F607" s="13" t="str">
        <f>IF(LRVs!BH523="","",LRVs!BH523)</f>
        <v>Adenovirus</v>
      </c>
      <c r="G607">
        <f>IF(LRVs!BL523="","",LRVs!BL523)</f>
        <v>4.8557561081963128</v>
      </c>
    </row>
    <row r="608" spans="2:7" x14ac:dyDescent="0.3">
      <c r="B608">
        <v>777</v>
      </c>
      <c r="C608" s="13" t="str">
        <f>_xlfn.XLOOKUP(B608,LRV[id],LRV[source])</f>
        <v>Koivunen &amp; Heinonen-Tanksi (2005)</v>
      </c>
      <c r="D608" s="13" t="str">
        <f>LRVs!C524</f>
        <v>Membrane bioreactor</v>
      </c>
      <c r="E608" s="13" t="str">
        <f>LRVs!BG524</f>
        <v>Virus</v>
      </c>
      <c r="F608" s="13" t="str">
        <f>IF(LRVs!BH524="","",LRVs!BH524)</f>
        <v>Adenovirus</v>
      </c>
      <c r="G608">
        <f>IF(LRVs!BL524="","",LRVs!BL524)</f>
        <v>4.2486419262042929</v>
      </c>
    </row>
    <row r="609" spans="2:7" x14ac:dyDescent="0.3">
      <c r="B609">
        <v>778</v>
      </c>
      <c r="C609" s="13" t="str">
        <f>_xlfn.XLOOKUP(B609,LRV[id],LRV[source])</f>
        <v>Koivunen &amp; Heinonen-Tanksi (2005)</v>
      </c>
      <c r="D609" s="13" t="str">
        <f>LRVs!C525</f>
        <v>Membrane bioreactor</v>
      </c>
      <c r="E609" s="13" t="str">
        <f>LRVs!BG525</f>
        <v>Virus</v>
      </c>
      <c r="F609" s="13" t="str">
        <f>IF(LRVs!BH525="","",LRVs!BH525)</f>
        <v>Adenovirus</v>
      </c>
      <c r="G609">
        <f>IF(LRVs!BL525="","",LRVs!BL525)</f>
        <v>3.6703248228864886</v>
      </c>
    </row>
    <row r="610" spans="2:7" x14ac:dyDescent="0.3">
      <c r="B610">
        <v>779</v>
      </c>
      <c r="C610" s="13" t="str">
        <f>_xlfn.XLOOKUP(B610,LRV[id],LRV[source])</f>
        <v>Koivunen &amp; Heinonen-Tanksi (2005)</v>
      </c>
      <c r="D610" s="13" t="str">
        <f>LRVs!C526</f>
        <v>Membrane bioreactor</v>
      </c>
      <c r="E610" s="13" t="str">
        <f>LRVs!BG526</f>
        <v>Virus</v>
      </c>
      <c r="F610" s="13" t="str">
        <f>IF(LRVs!BH526="","",LRVs!BH526)</f>
        <v>Adenovirus</v>
      </c>
      <c r="G610">
        <f>IF(LRVs!BL526="","",LRVs!BL526)</f>
        <v>3.445712790468038</v>
      </c>
    </row>
    <row r="611" spans="2:7" x14ac:dyDescent="0.3">
      <c r="B611">
        <v>780</v>
      </c>
      <c r="C611" s="13" t="str">
        <f>_xlfn.XLOOKUP(B611,LRV[id],LRV[source])</f>
        <v>Koivunen &amp; Heinonen-Tanksi (2005)</v>
      </c>
      <c r="D611" s="13" t="str">
        <f>LRVs!C527</f>
        <v>Membrane bioreactor</v>
      </c>
      <c r="E611" s="13" t="str">
        <f>LRVs!BG527</f>
        <v>Virus</v>
      </c>
      <c r="F611" s="13" t="str">
        <f>IF(LRVs!BH527="","",LRVs!BH527)</f>
        <v>Adenovirus</v>
      </c>
      <c r="G611">
        <f>IF(LRVs!BL527="","",LRVs!BL527)</f>
        <v>4.6594614630523452</v>
      </c>
    </row>
    <row r="612" spans="2:7" x14ac:dyDescent="0.3">
      <c r="B612">
        <v>781</v>
      </c>
      <c r="C612" s="13" t="str">
        <f>_xlfn.XLOOKUP(B612,LRV[id],LRV[source])</f>
        <v>Koivunen &amp; Heinonen-Tanksi (2005)</v>
      </c>
      <c r="D612" s="13" t="str">
        <f>LRVs!C528</f>
        <v>Membrane bioreactor</v>
      </c>
      <c r="E612" s="13" t="str">
        <f>LRVs!BG528</f>
        <v>Virus</v>
      </c>
      <c r="F612" s="13" t="str">
        <f>IF(LRVs!BH528="","",LRVs!BH528)</f>
        <v>Adenovirus</v>
      </c>
      <c r="G612">
        <f>IF(LRVs!BL528="","",LRVs!BL528)</f>
        <v>3.6989700043360187</v>
      </c>
    </row>
    <row r="613" spans="2:7" x14ac:dyDescent="0.3">
      <c r="B613">
        <v>782</v>
      </c>
      <c r="C613" s="13" t="str">
        <f>_xlfn.XLOOKUP(B613,LRV[id],LRV[source])</f>
        <v>Koivunen &amp; Heinonen-Tanksi (2005)</v>
      </c>
      <c r="D613" s="13" t="str">
        <f>LRVs!C529</f>
        <v>Membrane bioreactor</v>
      </c>
      <c r="E613" s="13" t="str">
        <f>LRVs!BG529</f>
        <v>Virus</v>
      </c>
      <c r="F613" s="13" t="str">
        <f>IF(LRVs!BH529="","",LRVs!BH529)</f>
        <v>Adenovirus</v>
      </c>
      <c r="G613">
        <f>IF(LRVs!BL529="","",LRVs!BL529)</f>
        <v>3.6703248228864886</v>
      </c>
    </row>
    <row r="614" spans="2:7" x14ac:dyDescent="0.3">
      <c r="B614">
        <v>783</v>
      </c>
      <c r="C614" s="13" t="str">
        <f>_xlfn.XLOOKUP(B614,LRV[id],LRV[source])</f>
        <v>Koivunen &amp; Heinonen-Tanksi (2005)</v>
      </c>
      <c r="D614" s="13" t="str">
        <f>LRVs!C530</f>
        <v>UV</v>
      </c>
      <c r="E614" s="13" t="str">
        <f>LRVs!BG530</f>
        <v>Virus</v>
      </c>
      <c r="F614" s="13" t="str">
        <f>IF(LRVs!BH530="","",LRVs!BH530)</f>
        <v>Adenovirus</v>
      </c>
      <c r="G614">
        <f>IF(LRVs!BL530="","",LRVs!BL530)</f>
        <v>9.6910013008056406E-2</v>
      </c>
    </row>
    <row r="615" spans="2:7" x14ac:dyDescent="0.3">
      <c r="B615">
        <v>784</v>
      </c>
      <c r="C615" s="13" t="str">
        <f>_xlfn.XLOOKUP(B615,LRV[id],LRV[source])</f>
        <v>Koivunen &amp; Heinonen-Tanksi (2005)</v>
      </c>
      <c r="D615" s="13" t="str">
        <f>LRVs!C531</f>
        <v>UV</v>
      </c>
      <c r="E615" s="13" t="str">
        <f>LRVs!BG531</f>
        <v>Virus</v>
      </c>
      <c r="F615" s="13" t="str">
        <f>IF(LRVs!BH531="","",LRVs!BH531)</f>
        <v>Adenovirus</v>
      </c>
      <c r="G615">
        <f>IF(LRVs!BL531="","",LRVs!BL531)</f>
        <v>-0.36991128507179405</v>
      </c>
    </row>
    <row r="616" spans="2:7" x14ac:dyDescent="0.3">
      <c r="B616">
        <v>785</v>
      </c>
      <c r="C616" s="13" t="str">
        <f>_xlfn.XLOOKUP(B616,LRV[id],LRV[source])</f>
        <v>Koivunen &amp; Heinonen-Tanksi (2005)</v>
      </c>
      <c r="D616" s="13" t="str">
        <f>LRVs!C532</f>
        <v>UV</v>
      </c>
      <c r="E616" s="13" t="str">
        <f>LRVs!BG532</f>
        <v>Virus</v>
      </c>
      <c r="F616" s="13" t="str">
        <f>IF(LRVs!BH532="","",LRVs!BH532)</f>
        <v>Adenovirus</v>
      </c>
      <c r="G616">
        <f>IF(LRVs!BL532="","",LRVs!BL532)</f>
        <v>1.5975123635772417</v>
      </c>
    </row>
    <row r="617" spans="2:7" x14ac:dyDescent="0.3">
      <c r="B617">
        <v>786</v>
      </c>
      <c r="C617" s="13" t="str">
        <f>_xlfn.XLOOKUP(B617,LRV[id],LRV[source])</f>
        <v>Koivunen &amp; Heinonen-Tanksi (2005)</v>
      </c>
      <c r="D617" s="13" t="str">
        <f>LRVs!C533</f>
        <v>UV</v>
      </c>
      <c r="E617" s="13" t="str">
        <f>LRVs!BG533</f>
        <v>Virus</v>
      </c>
      <c r="F617" s="13" t="str">
        <f>IF(LRVs!BH533="","",LRVs!BH533)</f>
        <v>Adenovirus</v>
      </c>
      <c r="G617">
        <f>IF(LRVs!BL533="","",LRVs!BL533)</f>
        <v>1.1346985738974562</v>
      </c>
    </row>
    <row r="618" spans="2:7" x14ac:dyDescent="0.3">
      <c r="B618">
        <v>787</v>
      </c>
      <c r="C618" s="13" t="str">
        <f>_xlfn.XLOOKUP(B618,LRV[id],LRV[source])</f>
        <v>Koivunen &amp; Heinonen-Tanksi (2005)</v>
      </c>
      <c r="D618" s="13" t="e">
        <f>LRVs!#REF!</f>
        <v>#REF!</v>
      </c>
      <c r="E618" s="13" t="e">
        <f>LRVs!#REF!</f>
        <v>#REF!</v>
      </c>
      <c r="F618" s="13" t="e">
        <f>IF(LRVs!#REF!="","",LRVs!#REF!)</f>
        <v>#REF!</v>
      </c>
      <c r="G618" t="e">
        <f>IF(LRVs!#REF!="","",LRVs!#REF!)</f>
        <v>#REF!</v>
      </c>
    </row>
    <row r="619" spans="2:7" x14ac:dyDescent="0.3">
      <c r="B619">
        <v>788</v>
      </c>
      <c r="C619" s="13" t="str">
        <f>_xlfn.XLOOKUP(B619,LRV[id],LRV[source])</f>
        <v>Kuo et al. (2010)</v>
      </c>
      <c r="D619" s="13" t="str">
        <f>LRVs!C534</f>
        <v>UV</v>
      </c>
      <c r="E619" s="13" t="str">
        <f>LRVs!BG534</f>
        <v>Virus</v>
      </c>
      <c r="F619" s="13" t="str">
        <f>IF(LRVs!BH534="","",LRVs!BH534)</f>
        <v>Adenovirus</v>
      </c>
      <c r="G619">
        <f>IF(LRVs!BL534="","",LRVs!BL534)</f>
        <v>0.11197375944393237</v>
      </c>
    </row>
    <row r="620" spans="2:7" x14ac:dyDescent="0.3">
      <c r="B620">
        <v>789</v>
      </c>
      <c r="C620" s="13" t="str">
        <f>_xlfn.XLOOKUP(B620,LRV[id],LRV[source])</f>
        <v>Kuo et al. (2010)</v>
      </c>
      <c r="D620" s="13" t="e">
        <f>LRVs!#REF!</f>
        <v>#REF!</v>
      </c>
      <c r="E620" s="13" t="e">
        <f>LRVs!#REF!</f>
        <v>#REF!</v>
      </c>
      <c r="F620" s="13" t="e">
        <f>IF(LRVs!#REF!="","",LRVs!#REF!)</f>
        <v>#REF!</v>
      </c>
      <c r="G620" t="e">
        <f>IF(LRVs!#REF!="","",LRVs!#REF!)</f>
        <v>#REF!</v>
      </c>
    </row>
    <row r="621" spans="2:7" x14ac:dyDescent="0.3">
      <c r="B621">
        <v>790</v>
      </c>
      <c r="C621" s="13" t="str">
        <f>_xlfn.XLOOKUP(B621,LRV[id],LRV[source])</f>
        <v>Kuo et al. (2010)</v>
      </c>
      <c r="D621" s="13" t="e">
        <f>LRVs!#REF!</f>
        <v>#REF!</v>
      </c>
      <c r="E621" s="13" t="e">
        <f>LRVs!#REF!</f>
        <v>#REF!</v>
      </c>
      <c r="F621" s="13" t="e">
        <f>IF(LRVs!#REF!="","",LRVs!#REF!)</f>
        <v>#REF!</v>
      </c>
      <c r="G621" t="e">
        <f>IF(LRVs!#REF!="","",LRVs!#REF!)</f>
        <v>#REF!</v>
      </c>
    </row>
    <row r="622" spans="2:7" x14ac:dyDescent="0.3">
      <c r="B622">
        <v>791</v>
      </c>
      <c r="C622" s="13" t="str">
        <f>_xlfn.XLOOKUP(B622,LRV[id],LRV[source])</f>
        <v>Kuo et al. (2010)</v>
      </c>
      <c r="D622" s="13" t="e">
        <f>LRVs!#REF!</f>
        <v>#REF!</v>
      </c>
      <c r="E622" s="13" t="e">
        <f>LRVs!#REF!</f>
        <v>#REF!</v>
      </c>
      <c r="F622" s="13" t="e">
        <f>IF(LRVs!#REF!="","",LRVs!#REF!)</f>
        <v>#REF!</v>
      </c>
      <c r="G622" t="e">
        <f>IF(LRVs!#REF!="","",LRVs!#REF!)</f>
        <v>#REF!</v>
      </c>
    </row>
    <row r="623" spans="2:7" x14ac:dyDescent="0.3">
      <c r="B623">
        <v>792</v>
      </c>
      <c r="C623" s="13" t="str">
        <f>_xlfn.XLOOKUP(B623,LRV[id],LRV[source])</f>
        <v>Kuo et al. (2010)</v>
      </c>
      <c r="D623" s="13" t="e">
        <f>LRVs!#REF!</f>
        <v>#REF!</v>
      </c>
      <c r="E623" s="13" t="e">
        <f>LRVs!#REF!</f>
        <v>#REF!</v>
      </c>
      <c r="F623" s="13" t="e">
        <f>IF(LRVs!#REF!="","",LRVs!#REF!)</f>
        <v>#REF!</v>
      </c>
      <c r="G623" t="e">
        <f>IF(LRVs!#REF!="","",LRVs!#REF!)</f>
        <v>#REF!</v>
      </c>
    </row>
    <row r="624" spans="2:7" x14ac:dyDescent="0.3">
      <c r="B624">
        <v>793</v>
      </c>
      <c r="C624" s="13" t="str">
        <f>_xlfn.XLOOKUP(B624,LRV[id],LRV[source])</f>
        <v>Kuo et al. (2010)</v>
      </c>
      <c r="D624" s="13" t="e">
        <f>LRVs!#REF!</f>
        <v>#REF!</v>
      </c>
      <c r="E624" s="13" t="e">
        <f>LRVs!#REF!</f>
        <v>#REF!</v>
      </c>
      <c r="F624" s="13" t="e">
        <f>IF(LRVs!#REF!="","",LRVs!#REF!)</f>
        <v>#REF!</v>
      </c>
      <c r="G624" t="e">
        <f>IF(LRVs!#REF!="","",LRVs!#REF!)</f>
        <v>#REF!</v>
      </c>
    </row>
    <row r="625" spans="2:7" x14ac:dyDescent="0.3">
      <c r="B625">
        <v>794</v>
      </c>
      <c r="C625" s="13" t="str">
        <f>_xlfn.XLOOKUP(B625,LRV[id],LRV[source])</f>
        <v>Kuo et al. (2010)</v>
      </c>
      <c r="D625" s="13" t="e">
        <f>LRVs!#REF!</f>
        <v>#REF!</v>
      </c>
      <c r="E625" s="13" t="e">
        <f>LRVs!#REF!</f>
        <v>#REF!</v>
      </c>
      <c r="F625" s="13" t="e">
        <f>IF(LRVs!#REF!="","",LRVs!#REF!)</f>
        <v>#REF!</v>
      </c>
      <c r="G625" t="e">
        <f>IF(LRVs!#REF!="","",LRVs!#REF!)</f>
        <v>#REF!</v>
      </c>
    </row>
    <row r="626" spans="2:7" x14ac:dyDescent="0.3">
      <c r="B626">
        <v>795</v>
      </c>
      <c r="C626" s="13" t="str">
        <f>_xlfn.XLOOKUP(B626,LRV[id],LRV[source])</f>
        <v>Kuo et al. (2010)</v>
      </c>
      <c r="D626" s="13" t="e">
        <f>LRVs!#REF!</f>
        <v>#REF!</v>
      </c>
      <c r="E626" s="13" t="e">
        <f>LRVs!#REF!</f>
        <v>#REF!</v>
      </c>
      <c r="F626" s="13" t="e">
        <f>IF(LRVs!#REF!="","",LRVs!#REF!)</f>
        <v>#REF!</v>
      </c>
      <c r="G626" t="e">
        <f>IF(LRVs!#REF!="","",LRVs!#REF!)</f>
        <v>#REF!</v>
      </c>
    </row>
    <row r="627" spans="2:7" x14ac:dyDescent="0.3">
      <c r="B627">
        <v>796</v>
      </c>
      <c r="C627" s="13" t="str">
        <f>_xlfn.XLOOKUP(B627,LRV[id],LRV[source])</f>
        <v>Kuo et al. (2010)</v>
      </c>
      <c r="D627" s="13" t="e">
        <f>LRVs!#REF!</f>
        <v>#REF!</v>
      </c>
      <c r="E627" s="13" t="e">
        <f>LRVs!#REF!</f>
        <v>#REF!</v>
      </c>
      <c r="F627" s="13" t="e">
        <f>IF(LRVs!#REF!="","",LRVs!#REF!)</f>
        <v>#REF!</v>
      </c>
      <c r="G627" t="e">
        <f>IF(LRVs!#REF!="","",LRVs!#REF!)</f>
        <v>#REF!</v>
      </c>
    </row>
    <row r="628" spans="2:7" x14ac:dyDescent="0.3">
      <c r="B628">
        <v>797</v>
      </c>
      <c r="C628" s="13" t="str">
        <f>_xlfn.XLOOKUP(B628,LRV[id],LRV[source])</f>
        <v>Kuo et al. (2010)</v>
      </c>
      <c r="D628" s="13" t="e">
        <f>LRVs!#REF!</f>
        <v>#REF!</v>
      </c>
      <c r="E628" s="13" t="e">
        <f>LRVs!#REF!</f>
        <v>#REF!</v>
      </c>
      <c r="F628" s="13" t="e">
        <f>IF(LRVs!#REF!="","",LRVs!#REF!)</f>
        <v>#REF!</v>
      </c>
      <c r="G628" t="e">
        <f>IF(LRVs!#REF!="","",LRVs!#REF!)</f>
        <v>#REF!</v>
      </c>
    </row>
    <row r="629" spans="2:7" x14ac:dyDescent="0.3">
      <c r="B629">
        <v>798</v>
      </c>
      <c r="C629" s="13" t="str">
        <f>_xlfn.XLOOKUP(B629,LRV[id],LRV[source])</f>
        <v>Kuo et al. (2010)</v>
      </c>
      <c r="D629" s="13" t="e">
        <f>LRVs!#REF!</f>
        <v>#REF!</v>
      </c>
      <c r="E629" s="13" t="e">
        <f>LRVs!#REF!</f>
        <v>#REF!</v>
      </c>
      <c r="F629" s="13" t="e">
        <f>IF(LRVs!#REF!="","",LRVs!#REF!)</f>
        <v>#REF!</v>
      </c>
      <c r="G629" t="e">
        <f>IF(LRVs!#REF!="","",LRVs!#REF!)</f>
        <v>#REF!</v>
      </c>
    </row>
    <row r="630" spans="2:7" x14ac:dyDescent="0.3">
      <c r="B630">
        <v>799</v>
      </c>
      <c r="C630" s="13" t="str">
        <f>_xlfn.XLOOKUP(B630,LRV[id],LRV[source])</f>
        <v>Kuo et al. (2010)</v>
      </c>
      <c r="D630" s="13" t="e">
        <f>LRVs!#REF!</f>
        <v>#REF!</v>
      </c>
      <c r="E630" s="13" t="e">
        <f>LRVs!#REF!</f>
        <v>#REF!</v>
      </c>
      <c r="F630" s="13" t="e">
        <f>IF(LRVs!#REF!="","",LRVs!#REF!)</f>
        <v>#REF!</v>
      </c>
      <c r="G630" t="e">
        <f>IF(LRVs!#REF!="","",LRVs!#REF!)</f>
        <v>#REF!</v>
      </c>
    </row>
    <row r="631" spans="2:7" x14ac:dyDescent="0.3">
      <c r="B631">
        <v>800</v>
      </c>
      <c r="C631" s="13" t="str">
        <f>_xlfn.XLOOKUP(B631,LRV[id],LRV[source])</f>
        <v>Kuo et al. (2010)</v>
      </c>
      <c r="D631" s="13" t="e">
        <f>LRVs!#REF!</f>
        <v>#REF!</v>
      </c>
      <c r="E631" s="13" t="e">
        <f>LRVs!#REF!</f>
        <v>#REF!</v>
      </c>
      <c r="F631" s="13" t="e">
        <f>IF(LRVs!#REF!="","",LRVs!#REF!)</f>
        <v>#REF!</v>
      </c>
      <c r="G631" t="e">
        <f>IF(LRVs!#REF!="","",LRVs!#REF!)</f>
        <v>#REF!</v>
      </c>
    </row>
    <row r="632" spans="2:7" x14ac:dyDescent="0.3">
      <c r="B632">
        <v>801</v>
      </c>
      <c r="C632" s="13" t="str">
        <f>_xlfn.XLOOKUP(B632,LRV[id],LRV[source])</f>
        <v>Kuo et al. (2010)</v>
      </c>
      <c r="D632" s="13" t="e">
        <f>LRVs!#REF!</f>
        <v>#REF!</v>
      </c>
      <c r="E632" s="13" t="e">
        <f>LRVs!#REF!</f>
        <v>#REF!</v>
      </c>
      <c r="F632" s="13" t="e">
        <f>IF(LRVs!#REF!="","",LRVs!#REF!)</f>
        <v>#REF!</v>
      </c>
      <c r="G632" t="e">
        <f>IF(LRVs!#REF!="","",LRVs!#REF!)</f>
        <v>#REF!</v>
      </c>
    </row>
    <row r="633" spans="2:7" x14ac:dyDescent="0.3">
      <c r="B633">
        <v>802</v>
      </c>
      <c r="C633" s="13" t="str">
        <f>_xlfn.XLOOKUP(B633,LRV[id],LRV[source])</f>
        <v>Kuo et al. (2010)</v>
      </c>
      <c r="D633" s="13" t="e">
        <f>LRVs!#REF!</f>
        <v>#REF!</v>
      </c>
      <c r="E633" s="13" t="e">
        <f>LRVs!#REF!</f>
        <v>#REF!</v>
      </c>
      <c r="F633" s="13" t="e">
        <f>IF(LRVs!#REF!="","",LRVs!#REF!)</f>
        <v>#REF!</v>
      </c>
      <c r="G633" t="e">
        <f>IF(LRVs!#REF!="","",LRVs!#REF!)</f>
        <v>#REF!</v>
      </c>
    </row>
    <row r="634" spans="2:7" x14ac:dyDescent="0.3">
      <c r="B634">
        <v>803</v>
      </c>
      <c r="C634" s="13" t="str">
        <f>_xlfn.XLOOKUP(B634,LRV[id],LRV[source])</f>
        <v>Kuo et al. (2010)</v>
      </c>
      <c r="D634" s="13" t="str">
        <f>LRVs!C535</f>
        <v>UV</v>
      </c>
      <c r="E634" s="13" t="str">
        <f>LRVs!BG535</f>
        <v>Virus</v>
      </c>
      <c r="F634" s="13" t="str">
        <f>IF(LRVs!BH535="","",LRVs!BH535)</f>
        <v>Adenovirus</v>
      </c>
      <c r="G634">
        <f>IF(LRVs!BL535="","",LRVs!BL535)</f>
        <v>1.1106982974936894</v>
      </c>
    </row>
    <row r="635" spans="2:7" x14ac:dyDescent="0.3">
      <c r="B635">
        <v>804</v>
      </c>
      <c r="C635" s="13" t="str">
        <f>_xlfn.XLOOKUP(B635,LRV[id],LRV[source])</f>
        <v>Kuo et al. (2010)</v>
      </c>
      <c r="D635" s="13" t="e">
        <f>LRVs!#REF!</f>
        <v>#REF!</v>
      </c>
      <c r="E635" s="13" t="e">
        <f>LRVs!#REF!</f>
        <v>#REF!</v>
      </c>
      <c r="F635" s="13" t="e">
        <f>IF(LRVs!#REF!="","",LRVs!#REF!)</f>
        <v>#REF!</v>
      </c>
      <c r="G635" t="e">
        <f>IF(LRVs!#REF!="","",LRVs!#REF!)</f>
        <v>#REF!</v>
      </c>
    </row>
    <row r="636" spans="2:7" x14ac:dyDescent="0.3">
      <c r="B636">
        <v>805</v>
      </c>
      <c r="C636" s="13" t="str">
        <f>_xlfn.XLOOKUP(B636,LRV[id],LRV[source])</f>
        <v>Kuo et al. (2010)</v>
      </c>
      <c r="D636" s="13" t="str">
        <f>LRVs!C536</f>
        <v>UV</v>
      </c>
      <c r="E636" s="13" t="str">
        <f>LRVs!BG536</f>
        <v>Virus</v>
      </c>
      <c r="F636" s="13" t="str">
        <f>IF(LRVs!BH536="","",LRVs!BH536)</f>
        <v>Adenovirus</v>
      </c>
      <c r="G636">
        <f>IF(LRVs!BL536="","",LRVs!BL536)</f>
        <v>0.24144430567973729</v>
      </c>
    </row>
    <row r="637" spans="2:7" x14ac:dyDescent="0.3">
      <c r="B637">
        <v>807</v>
      </c>
      <c r="C637" s="13" t="str">
        <f>_xlfn.XLOOKUP(B637,LRV[id],LRV[source])</f>
        <v>Kuo et al. (2010)</v>
      </c>
      <c r="D637" s="13" t="e">
        <f>LRVs!#REF!</f>
        <v>#REF!</v>
      </c>
      <c r="E637" s="13" t="e">
        <f>LRVs!#REF!</f>
        <v>#REF!</v>
      </c>
      <c r="F637" s="13" t="e">
        <f>IF(LRVs!#REF!="","",LRVs!#REF!)</f>
        <v>#REF!</v>
      </c>
      <c r="G637" t="e">
        <f>IF(LRVs!#REF!="","",LRVs!#REF!)</f>
        <v>#REF!</v>
      </c>
    </row>
    <row r="638" spans="2:7" x14ac:dyDescent="0.3">
      <c r="B638">
        <v>808</v>
      </c>
      <c r="C638" s="13" t="str">
        <f>_xlfn.XLOOKUP(B638,LRV[id],LRV[source])</f>
        <v>Kuo et al. (2010)</v>
      </c>
      <c r="D638" s="13" t="e">
        <f>LRVs!#REF!</f>
        <v>#REF!</v>
      </c>
      <c r="E638" s="13" t="e">
        <f>LRVs!#REF!</f>
        <v>#REF!</v>
      </c>
      <c r="F638" s="13" t="e">
        <f>IF(LRVs!#REF!="","",LRVs!#REF!)</f>
        <v>#REF!</v>
      </c>
      <c r="G638" t="e">
        <f>IF(LRVs!#REF!="","",LRVs!#REF!)</f>
        <v>#REF!</v>
      </c>
    </row>
    <row r="639" spans="2:7" x14ac:dyDescent="0.3">
      <c r="B639">
        <v>809</v>
      </c>
      <c r="C639" s="13" t="str">
        <f>_xlfn.XLOOKUP(B639,LRV[id],LRV[source])</f>
        <v>Kuo et al. (2010)</v>
      </c>
      <c r="D639" s="13" t="e">
        <f>LRVs!#REF!</f>
        <v>#REF!</v>
      </c>
      <c r="E639" s="13" t="e">
        <f>LRVs!#REF!</f>
        <v>#REF!</v>
      </c>
      <c r="F639" s="13" t="e">
        <f>IF(LRVs!#REF!="","",LRVs!#REF!)</f>
        <v>#REF!</v>
      </c>
      <c r="G639" t="e">
        <f>IF(LRVs!#REF!="","",LRVs!#REF!)</f>
        <v>#REF!</v>
      </c>
    </row>
    <row r="640" spans="2:7" x14ac:dyDescent="0.3">
      <c r="B640">
        <v>810</v>
      </c>
      <c r="C640" s="13" t="str">
        <f>_xlfn.XLOOKUP(B640,LRV[id],LRV[source])</f>
        <v>Kuo et al. (2010)</v>
      </c>
      <c r="D640" s="13" t="e">
        <f>LRVs!#REF!</f>
        <v>#REF!</v>
      </c>
      <c r="E640" s="13" t="e">
        <f>LRVs!#REF!</f>
        <v>#REF!</v>
      </c>
      <c r="F640" s="13" t="e">
        <f>IF(LRVs!#REF!="","",LRVs!#REF!)</f>
        <v>#REF!</v>
      </c>
      <c r="G640" t="e">
        <f>IF(LRVs!#REF!="","",LRVs!#REF!)</f>
        <v>#REF!</v>
      </c>
    </row>
    <row r="641" spans="2:7" x14ac:dyDescent="0.3">
      <c r="B641">
        <v>811</v>
      </c>
      <c r="C641" s="13" t="str">
        <f>_xlfn.XLOOKUP(B641,LRV[id],LRV[source])</f>
        <v>Kuo et al. (2010)</v>
      </c>
      <c r="D641" s="13" t="str">
        <f>LRVs!C537</f>
        <v>Chlorine</v>
      </c>
      <c r="E641" s="13" t="str">
        <f>LRVs!BG537</f>
        <v>Virus</v>
      </c>
      <c r="F641" s="13" t="str">
        <f>IF(LRVs!BH537="","",LRVs!BH537)</f>
        <v>Adenovirus</v>
      </c>
      <c r="G641">
        <f>IF(LRVs!BL537="","",LRVs!BL537)</f>
        <v>0.89354466908571317</v>
      </c>
    </row>
    <row r="642" spans="2:7" x14ac:dyDescent="0.3">
      <c r="B642">
        <v>812</v>
      </c>
      <c r="C642" s="13" t="str">
        <f>_xlfn.XLOOKUP(B642,LRV[id],LRV[source])</f>
        <v>Ueda &amp; Horan (2000)</v>
      </c>
      <c r="D642" s="13" t="str">
        <f>LRVs!C538</f>
        <v>Chlorine</v>
      </c>
      <c r="E642" s="13" t="str">
        <f>LRVs!BG538</f>
        <v>Virus</v>
      </c>
      <c r="F642" s="13" t="str">
        <f>IF(LRVs!BH538="","",LRVs!BH538)</f>
        <v>Adenovirus</v>
      </c>
      <c r="G642">
        <f>IF(LRVs!BL538="","",LRVs!BL538)</f>
        <v>-0.4242689473943867</v>
      </c>
    </row>
    <row r="643" spans="2:7" x14ac:dyDescent="0.3">
      <c r="B643">
        <v>813</v>
      </c>
      <c r="C643" s="13" t="str">
        <f>_xlfn.XLOOKUP(B643,LRV[id],LRV[source])</f>
        <v>Ueda &amp; Horan (2000)</v>
      </c>
      <c r="D643" s="13" t="str">
        <f>LRVs!C539</f>
        <v>Chlorine</v>
      </c>
      <c r="E643" s="13" t="str">
        <f>LRVs!BG539</f>
        <v>Virus</v>
      </c>
      <c r="F643" s="13" t="str">
        <f>IF(LRVs!BH539="","",LRVs!BH539)</f>
        <v>Adenovirus</v>
      </c>
      <c r="G643">
        <f>IF(LRVs!BL539="","",LRVs!BL539)</f>
        <v>0.92941892571429263</v>
      </c>
    </row>
    <row r="644" spans="2:7" x14ac:dyDescent="0.3">
      <c r="B644">
        <v>814</v>
      </c>
      <c r="C644" s="13" t="str">
        <f>_xlfn.XLOOKUP(B644,LRV[id],LRV[source])</f>
        <v>Ueda &amp; Horan (2000)</v>
      </c>
      <c r="D644" s="13" t="str">
        <f>LRVs!C540</f>
        <v>Chlorine</v>
      </c>
      <c r="E644" s="13" t="str">
        <f>LRVs!BG540</f>
        <v>Virus</v>
      </c>
      <c r="F644" s="13" t="str">
        <f>IF(LRVs!BH540="","",LRVs!BH540)</f>
        <v>Adenovirus</v>
      </c>
      <c r="G644">
        <f>IF(LRVs!BL540="","",LRVs!BL540)</f>
        <v>0.72699872793626241</v>
      </c>
    </row>
    <row r="645" spans="2:7" x14ac:dyDescent="0.3">
      <c r="B645">
        <v>815</v>
      </c>
      <c r="C645" s="13" t="str">
        <f>_xlfn.XLOOKUP(B645,LRV[id],LRV[source])</f>
        <v>Ueda &amp; Horan (2000)</v>
      </c>
      <c r="D645" s="13" t="str">
        <f>LRVs!C541</f>
        <v>Membrane bioreactor</v>
      </c>
      <c r="E645" s="13" t="str">
        <f>LRVs!BG541</f>
        <v>Virus</v>
      </c>
      <c r="F645" s="13" t="str">
        <f>IF(LRVs!BH541="","",LRVs!BH541)</f>
        <v>Enterovirus</v>
      </c>
      <c r="G645">
        <f>IF(LRVs!BL541="","",LRVs!BL541)</f>
        <v>3.0543576623225928</v>
      </c>
    </row>
    <row r="646" spans="2:7" x14ac:dyDescent="0.3">
      <c r="B646">
        <v>816</v>
      </c>
      <c r="C646" s="13" t="str">
        <f>_xlfn.XLOOKUP(B646,LRV[id],LRV[source])</f>
        <v>Ueda &amp; Horan (2000)</v>
      </c>
      <c r="D646" s="13" t="str">
        <f>LRVs!C542</f>
        <v>Membrane bioreactor</v>
      </c>
      <c r="E646" s="13" t="str">
        <f>LRVs!BG542</f>
        <v>Virus</v>
      </c>
      <c r="F646" s="13" t="str">
        <f>IF(LRVs!BH542="","",LRVs!BH542)</f>
        <v>Enterovirus</v>
      </c>
      <c r="G646">
        <f>IF(LRVs!BL542="","",LRVs!BL542)</f>
        <v>2.2041199826559246</v>
      </c>
    </row>
    <row r="647" spans="2:7" x14ac:dyDescent="0.3">
      <c r="B647">
        <v>817</v>
      </c>
      <c r="C647" s="13" t="str">
        <f>_xlfn.XLOOKUP(B647,LRV[id],LRV[source])</f>
        <v>Ueda &amp; Horan (2000)</v>
      </c>
      <c r="D647" s="13" t="e">
        <f>LRVs!#REF!</f>
        <v>#REF!</v>
      </c>
      <c r="E647" s="13" t="e">
        <f>LRVs!#REF!</f>
        <v>#REF!</v>
      </c>
      <c r="F647" s="13" t="e">
        <f>IF(LRVs!#REF!="","",LRVs!#REF!)</f>
        <v>#REF!</v>
      </c>
      <c r="G647" t="e">
        <f>IF(LRVs!#REF!="","",LRVs!#REF!)</f>
        <v>#REF!</v>
      </c>
    </row>
    <row r="648" spans="2:7" x14ac:dyDescent="0.3">
      <c r="B648">
        <v>818</v>
      </c>
      <c r="C648" s="13" t="str">
        <f>_xlfn.XLOOKUP(B648,LRV[id],LRV[source])</f>
        <v>Ueda &amp; Horan (2000)</v>
      </c>
      <c r="D648" s="13" t="str">
        <f>LRVs!C543</f>
        <v>Membrane bioreactor</v>
      </c>
      <c r="E648" s="13" t="str">
        <f>LRVs!BG543</f>
        <v>Virus</v>
      </c>
      <c r="F648" s="13" t="str">
        <f>IF(LRVs!BH543="","",LRVs!BH543)</f>
        <v>Enterovirus</v>
      </c>
      <c r="G648">
        <f>IF(LRVs!BL543="","",LRVs!BL543)</f>
        <v>4.3253893415234259</v>
      </c>
    </row>
    <row r="649" spans="2:7" x14ac:dyDescent="0.3">
      <c r="B649">
        <v>819</v>
      </c>
      <c r="C649" s="13" t="str">
        <f>_xlfn.XLOOKUP(B649,LRV[id],LRV[source])</f>
        <v>Ueda &amp; Horan (2000)</v>
      </c>
      <c r="D649" s="13" t="e">
        <f>LRVs!#REF!</f>
        <v>#REF!</v>
      </c>
      <c r="E649" s="13" t="e">
        <f>LRVs!#REF!</f>
        <v>#REF!</v>
      </c>
      <c r="F649" s="13" t="e">
        <f>IF(LRVs!#REF!="","",LRVs!#REF!)</f>
        <v>#REF!</v>
      </c>
      <c r="G649" t="e">
        <f>IF(LRVs!#REF!="","",LRVs!#REF!)</f>
        <v>#REF!</v>
      </c>
    </row>
    <row r="650" spans="2:7" x14ac:dyDescent="0.3">
      <c r="B650">
        <v>820</v>
      </c>
      <c r="C650" s="13" t="str">
        <f>_xlfn.XLOOKUP(B650,LRV[id],LRV[source])</f>
        <v>Ueda &amp; Horan (2000)</v>
      </c>
      <c r="D650" s="13" t="str">
        <f>LRVs!C544</f>
        <v>Membrane bioreactor</v>
      </c>
      <c r="E650" s="13" t="str">
        <f>LRVs!BG544</f>
        <v>Virus</v>
      </c>
      <c r="F650" s="13" t="str">
        <f>IF(LRVs!BH544="","",LRVs!BH544)</f>
        <v>Enterovirus</v>
      </c>
      <c r="G650">
        <f>IF(LRVs!BL544="","",LRVs!BL544)</f>
        <v>4.7381221282981674</v>
      </c>
    </row>
    <row r="651" spans="2:7" x14ac:dyDescent="0.3">
      <c r="B651">
        <v>821</v>
      </c>
      <c r="C651" s="13" t="str">
        <f>_xlfn.XLOOKUP(B651,LRV[id],LRV[source])</f>
        <v>Ueda &amp; Horan (2000)</v>
      </c>
      <c r="D651" s="13" t="str">
        <f>LRVs!C545</f>
        <v>Membrane bioreactor</v>
      </c>
      <c r="E651" s="13" t="str">
        <f>LRVs!BG545</f>
        <v>Virus</v>
      </c>
      <c r="F651" s="13" t="str">
        <f>IF(LRVs!BH545="","",LRVs!BH545)</f>
        <v>Enterovirus</v>
      </c>
      <c r="G651">
        <f>IF(LRVs!BL545="","",LRVs!BL545)</f>
        <v>2.5463598411298602</v>
      </c>
    </row>
    <row r="652" spans="2:7" x14ac:dyDescent="0.3">
      <c r="B652">
        <v>822</v>
      </c>
      <c r="C652" s="13" t="str">
        <f>_xlfn.XLOOKUP(B652,LRV[id],LRV[source])</f>
        <v>Hu et al. (2003)</v>
      </c>
      <c r="D652" s="13" t="str">
        <f>LRVs!C546</f>
        <v>Membrane bioreactor</v>
      </c>
      <c r="E652" s="13" t="str">
        <f>LRVs!BG546</f>
        <v>Virus</v>
      </c>
      <c r="F652" s="13" t="str">
        <f>IF(LRVs!BH546="","",LRVs!BH546)</f>
        <v>Enterovirus</v>
      </c>
      <c r="G652">
        <f>IF(LRVs!BL546="","",LRVs!BL546)</f>
        <v>2.9637878273455556</v>
      </c>
    </row>
    <row r="653" spans="2:7" x14ac:dyDescent="0.3">
      <c r="B653">
        <v>823</v>
      </c>
      <c r="C653" s="13" t="str">
        <f>_xlfn.XLOOKUP(B653,LRV[id],LRV[source])</f>
        <v>Hu et al. (2003)</v>
      </c>
      <c r="D653" s="13" t="str">
        <f>LRVs!C547</f>
        <v>Membrane bioreactor</v>
      </c>
      <c r="E653" s="13" t="str">
        <f>LRVs!BG547</f>
        <v>Virus</v>
      </c>
      <c r="F653" s="13" t="str">
        <f>IF(LRVs!BH547="","",LRVs!BH547)</f>
        <v>Enterovirus</v>
      </c>
      <c r="G653">
        <f>IF(LRVs!BL547="","",LRVs!BL547)</f>
        <v>3.9999999999999996</v>
      </c>
    </row>
    <row r="654" spans="2:7" x14ac:dyDescent="0.3">
      <c r="B654">
        <v>824</v>
      </c>
      <c r="C654" s="13" t="str">
        <f>_xlfn.XLOOKUP(B654,LRV[id],LRV[source])</f>
        <v>Hu et al. (2003)</v>
      </c>
      <c r="D654" s="13" t="str">
        <f>LRVs!C548</f>
        <v>Membrane bioreactor</v>
      </c>
      <c r="E654" s="13" t="str">
        <f>LRVs!BG548</f>
        <v>Virus</v>
      </c>
      <c r="F654" s="13" t="str">
        <f>IF(LRVs!BH548="","",LRVs!BH548)</f>
        <v>Enterovirus</v>
      </c>
      <c r="G654">
        <f>IF(LRVs!BL548="","",LRVs!BL548)</f>
        <v>3.8239087409443191</v>
      </c>
    </row>
    <row r="655" spans="2:7" x14ac:dyDescent="0.3">
      <c r="B655">
        <v>825</v>
      </c>
      <c r="C655" s="13" t="str">
        <f>_xlfn.XLOOKUP(B655,LRV[id],LRV[source])</f>
        <v>Ottoson et al. (2006)a</v>
      </c>
      <c r="D655" s="13" t="str">
        <f>LRVs!C549</f>
        <v>Membrane bioreactor</v>
      </c>
      <c r="E655" s="13" t="str">
        <f>LRVs!BG549</f>
        <v>Virus</v>
      </c>
      <c r="F655" s="13" t="str">
        <f>IF(LRVs!BH549="","",LRVs!BH549)</f>
        <v>Enterovirus</v>
      </c>
      <c r="G655">
        <f>IF(LRVs!BL549="","",LRVs!BL549)</f>
        <v>3.4011451485472488</v>
      </c>
    </row>
    <row r="656" spans="2:7" x14ac:dyDescent="0.3">
      <c r="B656">
        <v>826</v>
      </c>
      <c r="C656" s="13" t="str">
        <f>_xlfn.XLOOKUP(B656,LRV[id],LRV[source])</f>
        <v>Ottoson et al. (2006)a</v>
      </c>
      <c r="D656" s="13" t="e">
        <f>LRVs!#REF!</f>
        <v>#REF!</v>
      </c>
      <c r="E656" s="13" t="e">
        <f>LRVs!#REF!</f>
        <v>#REF!</v>
      </c>
      <c r="F656" s="13" t="e">
        <f>IF(LRVs!#REF!="","",LRVs!#REF!)</f>
        <v>#REF!</v>
      </c>
      <c r="G656" t="e">
        <f>IF(LRVs!#REF!="","",LRVs!#REF!)</f>
        <v>#REF!</v>
      </c>
    </row>
    <row r="657" spans="2:7" x14ac:dyDescent="0.3">
      <c r="B657">
        <v>827</v>
      </c>
      <c r="C657" s="13" t="str">
        <f>_xlfn.XLOOKUP(B657,LRV[id],LRV[source])</f>
        <v>Ottoson et al. (2006)a</v>
      </c>
      <c r="D657" s="13" t="e">
        <f>LRVs!#REF!</f>
        <v>#REF!</v>
      </c>
      <c r="E657" s="13" t="e">
        <f>LRVs!#REF!</f>
        <v>#REF!</v>
      </c>
      <c r="F657" s="13" t="e">
        <f>IF(LRVs!#REF!="","",LRVs!#REF!)</f>
        <v>#REF!</v>
      </c>
      <c r="G657" t="e">
        <f>IF(LRVs!#REF!="","",LRVs!#REF!)</f>
        <v>#REF!</v>
      </c>
    </row>
    <row r="658" spans="2:7" x14ac:dyDescent="0.3">
      <c r="B658">
        <v>828</v>
      </c>
      <c r="C658" s="13" t="str">
        <f>_xlfn.XLOOKUP(B658,LRV[id],LRV[source])</f>
        <v>Ottoson et al. (2006)a</v>
      </c>
      <c r="D658" s="13" t="e">
        <f>LRVs!#REF!</f>
        <v>#REF!</v>
      </c>
      <c r="E658" s="13" t="e">
        <f>LRVs!#REF!</f>
        <v>#REF!</v>
      </c>
      <c r="F658" s="13" t="e">
        <f>IF(LRVs!#REF!="","",LRVs!#REF!)</f>
        <v>#REF!</v>
      </c>
      <c r="G658" t="e">
        <f>IF(LRVs!#REF!="","",LRVs!#REF!)</f>
        <v>#REF!</v>
      </c>
    </row>
    <row r="659" spans="2:7" x14ac:dyDescent="0.3">
      <c r="B659">
        <v>829</v>
      </c>
      <c r="C659" s="13" t="str">
        <f>_xlfn.XLOOKUP(B659,LRV[id],LRV[source])</f>
        <v>Ottoson et al. (2006)a</v>
      </c>
      <c r="D659" s="13" t="e">
        <f>LRVs!#REF!</f>
        <v>#REF!</v>
      </c>
      <c r="E659" s="13" t="e">
        <f>LRVs!#REF!</f>
        <v>#REF!</v>
      </c>
      <c r="F659" s="13" t="e">
        <f>IF(LRVs!#REF!="","",LRVs!#REF!)</f>
        <v>#REF!</v>
      </c>
      <c r="G659" t="e">
        <f>IF(LRVs!#REF!="","",LRVs!#REF!)</f>
        <v>#REF!</v>
      </c>
    </row>
    <row r="660" spans="2:7" x14ac:dyDescent="0.3">
      <c r="B660">
        <v>830</v>
      </c>
      <c r="C660" s="13" t="str">
        <f>_xlfn.XLOOKUP(B660,LRV[id],LRV[source])</f>
        <v>Ottoson et al. (2006)a</v>
      </c>
      <c r="D660" s="13" t="e">
        <f>LRVs!#REF!</f>
        <v>#REF!</v>
      </c>
      <c r="E660" s="13" t="e">
        <f>LRVs!#REF!</f>
        <v>#REF!</v>
      </c>
      <c r="F660" s="13" t="e">
        <f>IF(LRVs!#REF!="","",LRVs!#REF!)</f>
        <v>#REF!</v>
      </c>
      <c r="G660" t="e">
        <f>IF(LRVs!#REF!="","",LRVs!#REF!)</f>
        <v>#REF!</v>
      </c>
    </row>
    <row r="661" spans="2:7" x14ac:dyDescent="0.3">
      <c r="B661">
        <v>831</v>
      </c>
      <c r="C661" s="13" t="str">
        <f>_xlfn.XLOOKUP(B661,LRV[id],LRV[source])</f>
        <v>Ottoson et al. (2006)a</v>
      </c>
      <c r="D661" s="13" t="str">
        <f>LRVs!C550</f>
        <v>UV</v>
      </c>
      <c r="E661" s="13" t="str">
        <f>LRVs!BG550</f>
        <v>Virus</v>
      </c>
      <c r="F661" s="13" t="str">
        <f>IF(LRVs!BH550="","",LRVs!BH550)</f>
        <v>Enterovirus</v>
      </c>
      <c r="G661">
        <f>IF(LRVs!BL550="","",LRVs!BL550)</f>
        <v>0.26187787170183296</v>
      </c>
    </row>
    <row r="662" spans="2:7" x14ac:dyDescent="0.3">
      <c r="B662">
        <v>832</v>
      </c>
      <c r="C662" s="13" t="str">
        <f>_xlfn.XLOOKUP(B662,LRV[id],LRV[source])</f>
        <v>Ottoson et al. (2006)a</v>
      </c>
      <c r="D662" s="13" t="e">
        <f>LRVs!#REF!</f>
        <v>#REF!</v>
      </c>
      <c r="E662" s="13" t="e">
        <f>LRVs!#REF!</f>
        <v>#REF!</v>
      </c>
      <c r="F662" s="13" t="e">
        <f>IF(LRVs!#REF!="","",LRVs!#REF!)</f>
        <v>#REF!</v>
      </c>
      <c r="G662" t="e">
        <f>IF(LRVs!#REF!="","",LRVs!#REF!)</f>
        <v>#REF!</v>
      </c>
    </row>
    <row r="663" spans="2:7" x14ac:dyDescent="0.3">
      <c r="B663">
        <v>834</v>
      </c>
      <c r="C663" s="13" t="str">
        <f>_xlfn.XLOOKUP(B663,LRV[id],LRV[source])</f>
        <v>Ottoson et al. (2006)a</v>
      </c>
      <c r="D663" s="13" t="e">
        <f>LRVs!#REF!</f>
        <v>#REF!</v>
      </c>
      <c r="E663" s="13" t="e">
        <f>LRVs!#REF!</f>
        <v>#REF!</v>
      </c>
      <c r="F663" s="13" t="e">
        <f>IF(LRVs!#REF!="","",LRVs!#REF!)</f>
        <v>#REF!</v>
      </c>
      <c r="G663" t="e">
        <f>IF(LRVs!#REF!="","",LRVs!#REF!)</f>
        <v>#REF!</v>
      </c>
    </row>
    <row r="664" spans="2:7" x14ac:dyDescent="0.3">
      <c r="B664">
        <v>835</v>
      </c>
      <c r="C664" s="13" t="str">
        <f>_xlfn.XLOOKUP(B664,LRV[id],LRV[source])</f>
        <v>Ottoson et al. (2006)a</v>
      </c>
      <c r="D664" s="13" t="e">
        <f>LRVs!#REF!</f>
        <v>#REF!</v>
      </c>
      <c r="E664" s="13" t="e">
        <f>LRVs!#REF!</f>
        <v>#REF!</v>
      </c>
      <c r="F664" s="13" t="e">
        <f>IF(LRVs!#REF!="","",LRVs!#REF!)</f>
        <v>#REF!</v>
      </c>
      <c r="G664" t="e">
        <f>IF(LRVs!#REF!="","",LRVs!#REF!)</f>
        <v>#REF!</v>
      </c>
    </row>
    <row r="665" spans="2:7" x14ac:dyDescent="0.3">
      <c r="B665">
        <v>837</v>
      </c>
      <c r="C665" s="13" t="str">
        <f>_xlfn.XLOOKUP(B665,LRV[id],LRV[source])</f>
        <v>Ottoson et al. (2006)a</v>
      </c>
      <c r="D665" s="13" t="e">
        <f>LRVs!#REF!</f>
        <v>#REF!</v>
      </c>
      <c r="E665" s="13" t="e">
        <f>LRVs!#REF!</f>
        <v>#REF!</v>
      </c>
      <c r="F665" s="13" t="e">
        <f>IF(LRVs!#REF!="","",LRVs!#REF!)</f>
        <v>#REF!</v>
      </c>
      <c r="G665" t="e">
        <f>IF(LRVs!#REF!="","",LRVs!#REF!)</f>
        <v>#REF!</v>
      </c>
    </row>
    <row r="666" spans="2:7" x14ac:dyDescent="0.3">
      <c r="B666">
        <v>838</v>
      </c>
      <c r="C666" s="13" t="str">
        <f>_xlfn.XLOOKUP(B666,LRV[id],LRV[source])</f>
        <v>Ottoson et al. (2006)a</v>
      </c>
      <c r="D666" s="13" t="e">
        <f>LRVs!#REF!</f>
        <v>#REF!</v>
      </c>
      <c r="E666" s="13" t="e">
        <f>LRVs!#REF!</f>
        <v>#REF!</v>
      </c>
      <c r="F666" s="13" t="e">
        <f>IF(LRVs!#REF!="","",LRVs!#REF!)</f>
        <v>#REF!</v>
      </c>
      <c r="G666" t="e">
        <f>IF(LRVs!#REF!="","",LRVs!#REF!)</f>
        <v>#REF!</v>
      </c>
    </row>
    <row r="667" spans="2:7" x14ac:dyDescent="0.3">
      <c r="B667">
        <v>839</v>
      </c>
      <c r="C667" s="13" t="str">
        <f>_xlfn.XLOOKUP(B667,LRV[id],LRV[source])</f>
        <v>Ottoson et al. (2006)a</v>
      </c>
      <c r="D667" s="13" t="e">
        <f>LRVs!#REF!</f>
        <v>#REF!</v>
      </c>
      <c r="E667" s="13" t="e">
        <f>LRVs!#REF!</f>
        <v>#REF!</v>
      </c>
      <c r="F667" s="13" t="e">
        <f>IF(LRVs!#REF!="","",LRVs!#REF!)</f>
        <v>#REF!</v>
      </c>
      <c r="G667" t="e">
        <f>IF(LRVs!#REF!="","",LRVs!#REF!)</f>
        <v>#REF!</v>
      </c>
    </row>
    <row r="668" spans="2:7" x14ac:dyDescent="0.3">
      <c r="B668">
        <v>840</v>
      </c>
      <c r="C668" s="13" t="str">
        <f>_xlfn.XLOOKUP(B668,LRV[id],LRV[source])</f>
        <v>Ottoson et al. (2006)a</v>
      </c>
      <c r="D668" s="13" t="e">
        <f>LRVs!#REF!</f>
        <v>#REF!</v>
      </c>
      <c r="E668" s="13" t="e">
        <f>LRVs!#REF!</f>
        <v>#REF!</v>
      </c>
      <c r="F668" s="13" t="e">
        <f>IF(LRVs!#REF!="","",LRVs!#REF!)</f>
        <v>#REF!</v>
      </c>
      <c r="G668" t="e">
        <f>IF(LRVs!#REF!="","",LRVs!#REF!)</f>
        <v>#REF!</v>
      </c>
    </row>
    <row r="669" spans="2:7" x14ac:dyDescent="0.3">
      <c r="B669">
        <v>841</v>
      </c>
      <c r="C669" s="13" t="str">
        <f>_xlfn.XLOOKUP(B669,LRV[id],LRV[source])</f>
        <v>Ottoson et al. (2006)a</v>
      </c>
      <c r="D669" s="13" t="e">
        <f>LRVs!#REF!</f>
        <v>#REF!</v>
      </c>
      <c r="E669" s="13" t="e">
        <f>LRVs!#REF!</f>
        <v>#REF!</v>
      </c>
      <c r="F669" s="13" t="e">
        <f>IF(LRVs!#REF!="","",LRVs!#REF!)</f>
        <v>#REF!</v>
      </c>
      <c r="G669" t="e">
        <f>IF(LRVs!#REF!="","",LRVs!#REF!)</f>
        <v>#REF!</v>
      </c>
    </row>
    <row r="670" spans="2:7" x14ac:dyDescent="0.3">
      <c r="B670">
        <v>842</v>
      </c>
      <c r="C670" s="13" t="str">
        <f>_xlfn.XLOOKUP(B670,LRV[id],LRV[source])</f>
        <v>Ottoson et al. (2006)a</v>
      </c>
      <c r="D670" s="13" t="e">
        <f>LRVs!#REF!</f>
        <v>#REF!</v>
      </c>
      <c r="E670" s="13" t="e">
        <f>LRVs!#REF!</f>
        <v>#REF!</v>
      </c>
      <c r="F670" s="13" t="e">
        <f>IF(LRVs!#REF!="","",LRVs!#REF!)</f>
        <v>#REF!</v>
      </c>
      <c r="G670" t="e">
        <f>IF(LRVs!#REF!="","",LRVs!#REF!)</f>
        <v>#REF!</v>
      </c>
    </row>
    <row r="671" spans="2:7" x14ac:dyDescent="0.3">
      <c r="B671">
        <v>843</v>
      </c>
      <c r="C671" s="13" t="str">
        <f>_xlfn.XLOOKUP(B671,LRV[id],LRV[source])</f>
        <v>Ottoson et al. (2006)a</v>
      </c>
      <c r="D671" s="13" t="e">
        <f>LRVs!#REF!</f>
        <v>#REF!</v>
      </c>
      <c r="E671" s="13" t="e">
        <f>LRVs!#REF!</f>
        <v>#REF!</v>
      </c>
      <c r="F671" s="13" t="e">
        <f>IF(LRVs!#REF!="","",LRVs!#REF!)</f>
        <v>#REF!</v>
      </c>
      <c r="G671" t="e">
        <f>IF(LRVs!#REF!="","",LRVs!#REF!)</f>
        <v>#REF!</v>
      </c>
    </row>
    <row r="672" spans="2:7" x14ac:dyDescent="0.3">
      <c r="B672">
        <v>844</v>
      </c>
      <c r="C672" s="13" t="str">
        <f>_xlfn.XLOOKUP(B672,LRV[id],LRV[source])</f>
        <v>Ottoson et al. (2006)a</v>
      </c>
      <c r="D672" s="13" t="e">
        <f>LRVs!#REF!</f>
        <v>#REF!</v>
      </c>
      <c r="E672" s="13" t="e">
        <f>LRVs!#REF!</f>
        <v>#REF!</v>
      </c>
      <c r="F672" s="13" t="e">
        <f>IF(LRVs!#REF!="","",LRVs!#REF!)</f>
        <v>#REF!</v>
      </c>
      <c r="G672" t="e">
        <f>IF(LRVs!#REF!="","",LRVs!#REF!)</f>
        <v>#REF!</v>
      </c>
    </row>
    <row r="673" spans="2:7" x14ac:dyDescent="0.3">
      <c r="B673">
        <v>845</v>
      </c>
      <c r="C673" s="13" t="str">
        <f>_xlfn.XLOOKUP(B673,LRV[id],LRV[source])</f>
        <v>Ottoson et al. (2006)a</v>
      </c>
      <c r="D673" s="13" t="e">
        <f>LRVs!#REF!</f>
        <v>#REF!</v>
      </c>
      <c r="E673" s="13" t="e">
        <f>LRVs!#REF!</f>
        <v>#REF!</v>
      </c>
      <c r="F673" s="13" t="e">
        <f>IF(LRVs!#REF!="","",LRVs!#REF!)</f>
        <v>#REF!</v>
      </c>
      <c r="G673" t="e">
        <f>IF(LRVs!#REF!="","",LRVs!#REF!)</f>
        <v>#REF!</v>
      </c>
    </row>
    <row r="674" spans="2:7" x14ac:dyDescent="0.3">
      <c r="B674">
        <v>846</v>
      </c>
      <c r="C674" s="13" t="str">
        <f>_xlfn.XLOOKUP(B674,LRV[id],LRV[source])</f>
        <v>Ottoson et al. (2006)a</v>
      </c>
      <c r="D674" s="13" t="e">
        <f>LRVs!#REF!</f>
        <v>#REF!</v>
      </c>
      <c r="E674" s="13" t="e">
        <f>LRVs!#REF!</f>
        <v>#REF!</v>
      </c>
      <c r="F674" s="13" t="e">
        <f>IF(LRVs!#REF!="","",LRVs!#REF!)</f>
        <v>#REF!</v>
      </c>
      <c r="G674" t="e">
        <f>IF(LRVs!#REF!="","",LRVs!#REF!)</f>
        <v>#REF!</v>
      </c>
    </row>
    <row r="675" spans="2:7" x14ac:dyDescent="0.3">
      <c r="B675">
        <v>847</v>
      </c>
      <c r="C675" s="13" t="str">
        <f>_xlfn.XLOOKUP(B675,LRV[id],LRV[source])</f>
        <v>Ottoson et al. (2006)a</v>
      </c>
      <c r="D675" s="13" t="e">
        <f>LRVs!#REF!</f>
        <v>#REF!</v>
      </c>
      <c r="E675" s="13" t="e">
        <f>LRVs!#REF!</f>
        <v>#REF!</v>
      </c>
      <c r="F675" s="13" t="e">
        <f>IF(LRVs!#REF!="","",LRVs!#REF!)</f>
        <v>#REF!</v>
      </c>
      <c r="G675" t="e">
        <f>IF(LRVs!#REF!="","",LRVs!#REF!)</f>
        <v>#REF!</v>
      </c>
    </row>
    <row r="676" spans="2:7" x14ac:dyDescent="0.3">
      <c r="B676">
        <v>848</v>
      </c>
      <c r="C676" s="13" t="str">
        <f>_xlfn.XLOOKUP(B676,LRV[id],LRV[source])</f>
        <v>Ottoson et al. (2006)a</v>
      </c>
      <c r="D676" s="13" t="e">
        <f>LRVs!#REF!</f>
        <v>#REF!</v>
      </c>
      <c r="E676" s="13" t="e">
        <f>LRVs!#REF!</f>
        <v>#REF!</v>
      </c>
      <c r="F676" s="13" t="e">
        <f>IF(LRVs!#REF!="","",LRVs!#REF!)</f>
        <v>#REF!</v>
      </c>
      <c r="G676" t="e">
        <f>IF(LRVs!#REF!="","",LRVs!#REF!)</f>
        <v>#REF!</v>
      </c>
    </row>
    <row r="677" spans="2:7" x14ac:dyDescent="0.3">
      <c r="B677">
        <v>849</v>
      </c>
      <c r="C677" s="13" t="str">
        <f>_xlfn.XLOOKUP(B677,LRV[id],LRV[source])</f>
        <v>Ottoson et al. (2006)a</v>
      </c>
      <c r="D677" s="13" t="e">
        <f>LRVs!#REF!</f>
        <v>#REF!</v>
      </c>
      <c r="E677" s="13" t="e">
        <f>LRVs!#REF!</f>
        <v>#REF!</v>
      </c>
      <c r="F677" s="13" t="e">
        <f>IF(LRVs!#REF!="","",LRVs!#REF!)</f>
        <v>#REF!</v>
      </c>
      <c r="G677" t="e">
        <f>IF(LRVs!#REF!="","",LRVs!#REF!)</f>
        <v>#REF!</v>
      </c>
    </row>
    <row r="678" spans="2:7" x14ac:dyDescent="0.3">
      <c r="B678">
        <v>850</v>
      </c>
      <c r="C678" s="13" t="str">
        <f>_xlfn.XLOOKUP(B678,LRV[id],LRV[source])</f>
        <v>Ottoson et al. (2006)a</v>
      </c>
      <c r="D678" s="13" t="e">
        <f>LRVs!#REF!</f>
        <v>#REF!</v>
      </c>
      <c r="E678" s="13" t="e">
        <f>LRVs!#REF!</f>
        <v>#REF!</v>
      </c>
      <c r="F678" s="13" t="e">
        <f>IF(LRVs!#REF!="","",LRVs!#REF!)</f>
        <v>#REF!</v>
      </c>
      <c r="G678" t="e">
        <f>IF(LRVs!#REF!="","",LRVs!#REF!)</f>
        <v>#REF!</v>
      </c>
    </row>
    <row r="679" spans="2:7" x14ac:dyDescent="0.3">
      <c r="B679">
        <v>851</v>
      </c>
      <c r="C679" s="13" t="str">
        <f>_xlfn.XLOOKUP(B679,LRV[id],LRV[source])</f>
        <v>Ottoson et al. (2006)a</v>
      </c>
      <c r="D679" s="13" t="e">
        <f>LRVs!#REF!</f>
        <v>#REF!</v>
      </c>
      <c r="E679" s="13" t="e">
        <f>LRVs!#REF!</f>
        <v>#REF!</v>
      </c>
      <c r="F679" s="13" t="e">
        <f>IF(LRVs!#REF!="","",LRVs!#REF!)</f>
        <v>#REF!</v>
      </c>
      <c r="G679" t="e">
        <f>IF(LRVs!#REF!="","",LRVs!#REF!)</f>
        <v>#REF!</v>
      </c>
    </row>
    <row r="680" spans="2:7" x14ac:dyDescent="0.3">
      <c r="B680">
        <v>852</v>
      </c>
      <c r="C680" s="13" t="str">
        <f>_xlfn.XLOOKUP(B680,LRV[id],LRV[source])</f>
        <v>Ottoson et al. (2006)b</v>
      </c>
      <c r="D680" s="13" t="e">
        <f>LRVs!#REF!</f>
        <v>#REF!</v>
      </c>
      <c r="E680" s="13" t="e">
        <f>LRVs!#REF!</f>
        <v>#REF!</v>
      </c>
      <c r="F680" s="13" t="e">
        <f>IF(LRVs!#REF!="","",LRVs!#REF!)</f>
        <v>#REF!</v>
      </c>
      <c r="G680" t="e">
        <f>IF(LRVs!#REF!="","",LRVs!#REF!)</f>
        <v>#REF!</v>
      </c>
    </row>
    <row r="681" spans="2:7" x14ac:dyDescent="0.3">
      <c r="B681">
        <v>853</v>
      </c>
      <c r="C681" s="13" t="str">
        <f>_xlfn.XLOOKUP(B681,LRV[id],LRV[source])</f>
        <v>Ottoson et al. (2006)b</v>
      </c>
      <c r="D681" s="13" t="e">
        <f>LRVs!#REF!</f>
        <v>#REF!</v>
      </c>
      <c r="E681" s="13" t="e">
        <f>LRVs!#REF!</f>
        <v>#REF!</v>
      </c>
      <c r="F681" s="13" t="e">
        <f>IF(LRVs!#REF!="","",LRVs!#REF!)</f>
        <v>#REF!</v>
      </c>
      <c r="G681" t="e">
        <f>IF(LRVs!#REF!="","",LRVs!#REF!)</f>
        <v>#REF!</v>
      </c>
    </row>
    <row r="682" spans="2:7" x14ac:dyDescent="0.3">
      <c r="B682">
        <v>854</v>
      </c>
      <c r="C682" s="13" t="str">
        <f>_xlfn.XLOOKUP(B682,LRV[id],LRV[source])</f>
        <v>Ottoson et al. (2006)b</v>
      </c>
      <c r="D682" s="13" t="e">
        <f>LRVs!#REF!</f>
        <v>#REF!</v>
      </c>
      <c r="E682" s="13" t="e">
        <f>LRVs!#REF!</f>
        <v>#REF!</v>
      </c>
      <c r="F682" s="13" t="e">
        <f>IF(LRVs!#REF!="","",LRVs!#REF!)</f>
        <v>#REF!</v>
      </c>
      <c r="G682" t="e">
        <f>IF(LRVs!#REF!="","",LRVs!#REF!)</f>
        <v>#REF!</v>
      </c>
    </row>
    <row r="683" spans="2:7" x14ac:dyDescent="0.3">
      <c r="B683">
        <v>855</v>
      </c>
      <c r="C683" s="13" t="str">
        <f>_xlfn.XLOOKUP(B683,LRV[id],LRV[source])</f>
        <v>Ottoson et al. (2006)b</v>
      </c>
      <c r="D683" s="13" t="e">
        <f>LRVs!#REF!</f>
        <v>#REF!</v>
      </c>
      <c r="E683" s="13" t="e">
        <f>LRVs!#REF!</f>
        <v>#REF!</v>
      </c>
      <c r="F683" s="13" t="e">
        <f>IF(LRVs!#REF!="","",LRVs!#REF!)</f>
        <v>#REF!</v>
      </c>
      <c r="G683" t="e">
        <f>IF(LRVs!#REF!="","",LRVs!#REF!)</f>
        <v>#REF!</v>
      </c>
    </row>
    <row r="684" spans="2:7" x14ac:dyDescent="0.3">
      <c r="B684">
        <v>856</v>
      </c>
      <c r="C684" s="13" t="str">
        <f>_xlfn.XLOOKUP(B684,LRV[id],LRV[source])</f>
        <v>Ottoson et al. (2006)b</v>
      </c>
      <c r="D684" s="13" t="e">
        <f>LRVs!#REF!</f>
        <v>#REF!</v>
      </c>
      <c r="E684" s="13" t="e">
        <f>LRVs!#REF!</f>
        <v>#REF!</v>
      </c>
      <c r="F684" s="13" t="e">
        <f>IF(LRVs!#REF!="","",LRVs!#REF!)</f>
        <v>#REF!</v>
      </c>
      <c r="G684" t="e">
        <f>IF(LRVs!#REF!="","",LRVs!#REF!)</f>
        <v>#REF!</v>
      </c>
    </row>
    <row r="685" spans="2:7" x14ac:dyDescent="0.3">
      <c r="B685">
        <v>857</v>
      </c>
      <c r="C685" s="13" t="str">
        <f>_xlfn.XLOOKUP(B685,LRV[id],LRV[source])</f>
        <v>Ottoson et al. (2006)b</v>
      </c>
      <c r="D685" s="13" t="e">
        <f>LRVs!#REF!</f>
        <v>#REF!</v>
      </c>
      <c r="E685" s="13" t="e">
        <f>LRVs!#REF!</f>
        <v>#REF!</v>
      </c>
      <c r="F685" s="13" t="e">
        <f>IF(LRVs!#REF!="","",LRVs!#REF!)</f>
        <v>#REF!</v>
      </c>
      <c r="G685" t="e">
        <f>IF(LRVs!#REF!="","",LRVs!#REF!)</f>
        <v>#REF!</v>
      </c>
    </row>
    <row r="686" spans="2:7" x14ac:dyDescent="0.3">
      <c r="B686">
        <v>858</v>
      </c>
      <c r="C686" s="13" t="str">
        <f>_xlfn.XLOOKUP(B686,LRV[id],LRV[source])</f>
        <v>Ottoson et al. (2006)b</v>
      </c>
      <c r="D686" s="13" t="e">
        <f>LRVs!#REF!</f>
        <v>#REF!</v>
      </c>
      <c r="E686" s="13" t="e">
        <f>LRVs!#REF!</f>
        <v>#REF!</v>
      </c>
      <c r="F686" s="13" t="e">
        <f>IF(LRVs!#REF!="","",LRVs!#REF!)</f>
        <v>#REF!</v>
      </c>
      <c r="G686" t="e">
        <f>IF(LRVs!#REF!="","",LRVs!#REF!)</f>
        <v>#REF!</v>
      </c>
    </row>
    <row r="687" spans="2:7" x14ac:dyDescent="0.3">
      <c r="B687">
        <v>859</v>
      </c>
      <c r="C687" s="13" t="str">
        <f>_xlfn.XLOOKUP(B687,LRV[id],LRV[source])</f>
        <v>Ottoson et al. (2006)b</v>
      </c>
      <c r="D687" s="13" t="e">
        <f>LRVs!#REF!</f>
        <v>#REF!</v>
      </c>
      <c r="E687" s="13" t="e">
        <f>LRVs!#REF!</f>
        <v>#REF!</v>
      </c>
      <c r="F687" s="13" t="e">
        <f>IF(LRVs!#REF!="","",LRVs!#REF!)</f>
        <v>#REF!</v>
      </c>
      <c r="G687" t="e">
        <f>IF(LRVs!#REF!="","",LRVs!#REF!)</f>
        <v>#REF!</v>
      </c>
    </row>
    <row r="688" spans="2:7" x14ac:dyDescent="0.3">
      <c r="B688">
        <v>860</v>
      </c>
      <c r="C688" s="13" t="str">
        <f>_xlfn.XLOOKUP(B688,LRV[id],LRV[source])</f>
        <v>Ottoson et al. (2006)b</v>
      </c>
      <c r="D688" s="13" t="str">
        <f>LRVs!C551</f>
        <v>Membrane bioreactor</v>
      </c>
      <c r="E688" s="13" t="str">
        <f>LRVs!BG551</f>
        <v>Virus</v>
      </c>
      <c r="F688" s="13" t="str">
        <f>IF(LRVs!BH551="","",LRVs!BH551)</f>
        <v>Norovirus</v>
      </c>
      <c r="G688">
        <f>IF(LRVs!BL551="","",LRVs!BL551)</f>
        <v>1.5141048209728325</v>
      </c>
    </row>
    <row r="689" spans="2:7" x14ac:dyDescent="0.3">
      <c r="B689">
        <v>861</v>
      </c>
      <c r="C689" s="13" t="str">
        <f>_xlfn.XLOOKUP(B689,LRV[id],LRV[source])</f>
        <v>Ottoson et al. (2006)b</v>
      </c>
      <c r="D689" s="13" t="str">
        <f>LRVs!C552</f>
        <v>Membrane bioreactor</v>
      </c>
      <c r="E689" s="13" t="str">
        <f>LRVs!BG552</f>
        <v>Virus</v>
      </c>
      <c r="F689" s="13" t="str">
        <f>IF(LRVs!BH552="","",LRVs!BH552)</f>
        <v>Norovirus</v>
      </c>
      <c r="G689">
        <f>IF(LRVs!BL552="","",LRVs!BL552)</f>
        <v>3.3222192947339191</v>
      </c>
    </row>
    <row r="690" spans="2:7" x14ac:dyDescent="0.3">
      <c r="B690">
        <v>862</v>
      </c>
      <c r="C690" s="13" t="str">
        <f>_xlfn.XLOOKUP(B690,LRV[id],LRV[source])</f>
        <v>Ottoson et al. (2006)b</v>
      </c>
      <c r="D690" s="13" t="e">
        <f>LRVs!#REF!</f>
        <v>#REF!</v>
      </c>
      <c r="E690" s="13" t="e">
        <f>LRVs!#REF!</f>
        <v>#REF!</v>
      </c>
      <c r="F690" s="13" t="e">
        <f>IF(LRVs!#REF!="","",LRVs!#REF!)</f>
        <v>#REF!</v>
      </c>
      <c r="G690" t="e">
        <f>IF(LRVs!#REF!="","",LRVs!#REF!)</f>
        <v>#REF!</v>
      </c>
    </row>
    <row r="691" spans="2:7" x14ac:dyDescent="0.3">
      <c r="B691">
        <v>863</v>
      </c>
      <c r="C691" s="13" t="str">
        <f>_xlfn.XLOOKUP(B691,LRV[id],LRV[source])</f>
        <v>Ottoson et al. (2006)b</v>
      </c>
      <c r="D691" s="13" t="e">
        <f>LRVs!#REF!</f>
        <v>#REF!</v>
      </c>
      <c r="E691" s="13" t="e">
        <f>LRVs!#REF!</f>
        <v>#REF!</v>
      </c>
      <c r="F691" s="13" t="e">
        <f>IF(LRVs!#REF!="","",LRVs!#REF!)</f>
        <v>#REF!</v>
      </c>
      <c r="G691" t="e">
        <f>IF(LRVs!#REF!="","",LRVs!#REF!)</f>
        <v>#REF!</v>
      </c>
    </row>
    <row r="692" spans="2:7" x14ac:dyDescent="0.3">
      <c r="B692">
        <v>864</v>
      </c>
      <c r="C692" s="13" t="str">
        <f>_xlfn.XLOOKUP(B692,LRV[id],LRV[source])</f>
        <v>Ottoson et al. (2006)b</v>
      </c>
      <c r="D692" s="13" t="e">
        <f>LRVs!#REF!</f>
        <v>#REF!</v>
      </c>
      <c r="E692" s="13" t="e">
        <f>LRVs!#REF!</f>
        <v>#REF!</v>
      </c>
      <c r="F692" s="13" t="e">
        <f>IF(LRVs!#REF!="","",LRVs!#REF!)</f>
        <v>#REF!</v>
      </c>
      <c r="G692" t="e">
        <f>IF(LRVs!#REF!="","",LRVs!#REF!)</f>
        <v>#REF!</v>
      </c>
    </row>
    <row r="693" spans="2:7" x14ac:dyDescent="0.3">
      <c r="B693">
        <v>865</v>
      </c>
      <c r="C693" s="13" t="str">
        <f>_xlfn.XLOOKUP(B693,LRV[id],LRV[source])</f>
        <v>Ottoson et al. (2006)b</v>
      </c>
      <c r="D693" s="13" t="str">
        <f>LRVs!C553</f>
        <v>Membrane bioreactor</v>
      </c>
      <c r="E693" s="13" t="str">
        <f>LRVs!BG553</f>
        <v>Virus</v>
      </c>
      <c r="F693" s="13" t="str">
        <f>IF(LRVs!BH553="","",LRVs!BH553)</f>
        <v>Norovirus</v>
      </c>
      <c r="G693">
        <f>IF(LRVs!BL553="","",LRVs!BL553)</f>
        <v>2.1597008428675117</v>
      </c>
    </row>
    <row r="694" spans="2:7" x14ac:dyDescent="0.3">
      <c r="B694">
        <v>866</v>
      </c>
      <c r="C694" s="13" t="str">
        <f>_xlfn.XLOOKUP(B694,LRV[id],LRV[source])</f>
        <v>Ottoson et al. (2006)b</v>
      </c>
      <c r="D694" s="13" t="str">
        <f>LRVs!C554</f>
        <v>Membrane bioreactor</v>
      </c>
      <c r="E694" s="13" t="str">
        <f>LRVs!BG554</f>
        <v>Virus</v>
      </c>
      <c r="F694" s="13" t="str">
        <f>IF(LRVs!BH554="","",LRVs!BH554)</f>
        <v>Norovirus</v>
      </c>
      <c r="G694">
        <f>IF(LRVs!BL554="","",LRVs!BL554)</f>
        <v>3.0170333392987803</v>
      </c>
    </row>
    <row r="695" spans="2:7" x14ac:dyDescent="0.3">
      <c r="B695">
        <v>867</v>
      </c>
      <c r="C695" s="13" t="str">
        <f>_xlfn.XLOOKUP(B695,LRV[id],LRV[source])</f>
        <v>Ottoson et al. (2006)b</v>
      </c>
      <c r="D695" s="13" t="str">
        <f>LRVs!C555</f>
        <v>Membrane bioreactor</v>
      </c>
      <c r="E695" s="13" t="str">
        <f>LRVs!BG555</f>
        <v>Virus</v>
      </c>
      <c r="F695" s="13" t="str">
        <f>IF(LRVs!BH555="","",LRVs!BH555)</f>
        <v>Norovirus</v>
      </c>
      <c r="G695">
        <f>IF(LRVs!BL555="","",LRVs!BL555)</f>
        <v>3.0248235837250323</v>
      </c>
    </row>
    <row r="696" spans="2:7" x14ac:dyDescent="0.3">
      <c r="B696">
        <v>868</v>
      </c>
      <c r="C696" s="13" t="str">
        <f>_xlfn.XLOOKUP(B696,LRV[id],LRV[source])</f>
        <v>Ottoson et al. (2006)b</v>
      </c>
      <c r="D696" s="13" t="str">
        <f>LRVs!C556</f>
        <v>Membrane bioreactor</v>
      </c>
      <c r="E696" s="13" t="str">
        <f>LRVs!BG556</f>
        <v>Virus</v>
      </c>
      <c r="F696" s="13" t="str">
        <f>IF(LRVs!BH556="","",LRVs!BH556)</f>
        <v>Norovirus</v>
      </c>
      <c r="G696">
        <f>IF(LRVs!BL556="","",LRVs!BL556)</f>
        <v>3.1706962271689751</v>
      </c>
    </row>
    <row r="697" spans="2:7" x14ac:dyDescent="0.3">
      <c r="B697">
        <v>869</v>
      </c>
      <c r="C697" s="13" t="str">
        <f>_xlfn.XLOOKUP(B697,LRV[id],LRV[source])</f>
        <v>Ottoson et al. (2006)b</v>
      </c>
      <c r="D697" s="13" t="str">
        <f>LRVs!C557</f>
        <v>Membrane bioreactor</v>
      </c>
      <c r="E697" s="13" t="str">
        <f>LRVs!BG557</f>
        <v>Virus</v>
      </c>
      <c r="F697" s="13" t="str">
        <f>IF(LRVs!BH557="","",LRVs!BH557)</f>
        <v>Norovirus</v>
      </c>
      <c r="G697">
        <f>IF(LRVs!BL557="","",LRVs!BL557)</f>
        <v>2.9110589166632188</v>
      </c>
    </row>
    <row r="698" spans="2:7" x14ac:dyDescent="0.3">
      <c r="B698">
        <v>870</v>
      </c>
      <c r="C698" s="13" t="str">
        <f>_xlfn.XLOOKUP(B698,LRV[id],LRV[source])</f>
        <v>Ottoson et al. (2006)b</v>
      </c>
      <c r="D698" s="13" t="e">
        <f>LRVs!#REF!</f>
        <v>#REF!</v>
      </c>
      <c r="E698" s="13" t="e">
        <f>LRVs!#REF!</f>
        <v>#REF!</v>
      </c>
      <c r="F698" s="13" t="e">
        <f>IF(LRVs!#REF!="","",LRVs!#REF!)</f>
        <v>#REF!</v>
      </c>
      <c r="G698" t="e">
        <f>IF(LRVs!#REF!="","",LRVs!#REF!)</f>
        <v>#REF!</v>
      </c>
    </row>
    <row r="699" spans="2:7" x14ac:dyDescent="0.3">
      <c r="B699">
        <v>871</v>
      </c>
      <c r="C699" s="13" t="str">
        <f>_xlfn.XLOOKUP(B699,LRV[id],LRV[source])</f>
        <v>Ottoson et al. (2006)b</v>
      </c>
      <c r="D699" s="13" t="e">
        <f>LRVs!#REF!</f>
        <v>#REF!</v>
      </c>
      <c r="E699" s="13" t="e">
        <f>LRVs!#REF!</f>
        <v>#REF!</v>
      </c>
      <c r="F699" s="13" t="e">
        <f>IF(LRVs!#REF!="","",LRVs!#REF!)</f>
        <v>#REF!</v>
      </c>
      <c r="G699" t="e">
        <f>IF(LRVs!#REF!="","",LRVs!#REF!)</f>
        <v>#REF!</v>
      </c>
    </row>
    <row r="700" spans="2:7" x14ac:dyDescent="0.3">
      <c r="B700">
        <v>872</v>
      </c>
      <c r="C700" s="13" t="str">
        <f>_xlfn.XLOOKUP(B700,LRV[id],LRV[source])</f>
        <v>Ottoson et al. (2006)b</v>
      </c>
      <c r="D700" s="13" t="e">
        <f>LRVs!#REF!</f>
        <v>#REF!</v>
      </c>
      <c r="E700" s="13" t="e">
        <f>LRVs!#REF!</f>
        <v>#REF!</v>
      </c>
      <c r="F700" s="13" t="e">
        <f>IF(LRVs!#REF!="","",LRVs!#REF!)</f>
        <v>#REF!</v>
      </c>
      <c r="G700" t="e">
        <f>IF(LRVs!#REF!="","",LRVs!#REF!)</f>
        <v>#REF!</v>
      </c>
    </row>
    <row r="701" spans="2:7" x14ac:dyDescent="0.3">
      <c r="B701">
        <v>873</v>
      </c>
      <c r="C701" s="13" t="str">
        <f>_xlfn.XLOOKUP(B701,LRV[id],LRV[source])</f>
        <v>Ottoson et al. (2006)b</v>
      </c>
      <c r="D701" s="13" t="e">
        <f>LRVs!#REF!</f>
        <v>#REF!</v>
      </c>
      <c r="E701" s="13" t="e">
        <f>LRVs!#REF!</f>
        <v>#REF!</v>
      </c>
      <c r="F701" s="13" t="e">
        <f>IF(LRVs!#REF!="","",LRVs!#REF!)</f>
        <v>#REF!</v>
      </c>
      <c r="G701" t="e">
        <f>IF(LRVs!#REF!="","",LRVs!#REF!)</f>
        <v>#REF!</v>
      </c>
    </row>
    <row r="702" spans="2:7" x14ac:dyDescent="0.3">
      <c r="B702">
        <v>874</v>
      </c>
      <c r="C702" s="13" t="str">
        <f>_xlfn.XLOOKUP(B702,LRV[id],LRV[source])</f>
        <v>Ottoson et al. (2006)b</v>
      </c>
      <c r="D702" s="13" t="e">
        <f>LRVs!#REF!</f>
        <v>#REF!</v>
      </c>
      <c r="E702" s="13" t="e">
        <f>LRVs!#REF!</f>
        <v>#REF!</v>
      </c>
      <c r="F702" s="13" t="e">
        <f>IF(LRVs!#REF!="","",LRVs!#REF!)</f>
        <v>#REF!</v>
      </c>
      <c r="G702" t="e">
        <f>IF(LRVs!#REF!="","",LRVs!#REF!)</f>
        <v>#REF!</v>
      </c>
    </row>
    <row r="703" spans="2:7" x14ac:dyDescent="0.3">
      <c r="B703">
        <v>875</v>
      </c>
      <c r="C703" s="13" t="str">
        <f>_xlfn.XLOOKUP(B703,LRV[id],LRV[source])</f>
        <v>Ottoson et al. (2006)b</v>
      </c>
      <c r="D703" s="13" t="e">
        <f>LRVs!#REF!</f>
        <v>#REF!</v>
      </c>
      <c r="E703" s="13" t="e">
        <f>LRVs!#REF!</f>
        <v>#REF!</v>
      </c>
      <c r="F703" s="13" t="e">
        <f>IF(LRVs!#REF!="","",LRVs!#REF!)</f>
        <v>#REF!</v>
      </c>
      <c r="G703" t="e">
        <f>IF(LRVs!#REF!="","",LRVs!#REF!)</f>
        <v>#REF!</v>
      </c>
    </row>
    <row r="704" spans="2:7" x14ac:dyDescent="0.3">
      <c r="B704">
        <v>876</v>
      </c>
      <c r="C704" s="13" t="str">
        <f>_xlfn.XLOOKUP(B704,LRV[id],LRV[source])</f>
        <v>Ottoson et al. (2006)b</v>
      </c>
      <c r="D704" s="13" t="e">
        <f>LRVs!#REF!</f>
        <v>#REF!</v>
      </c>
      <c r="E704" s="13" t="e">
        <f>LRVs!#REF!</f>
        <v>#REF!</v>
      </c>
      <c r="F704" s="13" t="e">
        <f>IF(LRVs!#REF!="","",LRVs!#REF!)</f>
        <v>#REF!</v>
      </c>
      <c r="G704" t="e">
        <f>IF(LRVs!#REF!="","",LRVs!#REF!)</f>
        <v>#REF!</v>
      </c>
    </row>
    <row r="705" spans="2:7" x14ac:dyDescent="0.3">
      <c r="B705">
        <v>877</v>
      </c>
      <c r="C705" s="13" t="str">
        <f>_xlfn.XLOOKUP(B705,LRV[id],LRV[source])</f>
        <v>Ottoson et al. (2006)b</v>
      </c>
      <c r="D705" s="13" t="e">
        <f>LRVs!#REF!</f>
        <v>#REF!</v>
      </c>
      <c r="E705" s="13" t="e">
        <f>LRVs!#REF!</f>
        <v>#REF!</v>
      </c>
      <c r="F705" s="13" t="e">
        <f>IF(LRVs!#REF!="","",LRVs!#REF!)</f>
        <v>#REF!</v>
      </c>
      <c r="G705" t="e">
        <f>IF(LRVs!#REF!="","",LRVs!#REF!)</f>
        <v>#REF!</v>
      </c>
    </row>
    <row r="706" spans="2:7" x14ac:dyDescent="0.3">
      <c r="B706">
        <v>878</v>
      </c>
      <c r="C706" s="13" t="str">
        <f>_xlfn.XLOOKUP(B706,LRV[id],LRV[source])</f>
        <v>Ottoson et al. (2006)b</v>
      </c>
      <c r="D706" s="13" t="str">
        <f>LRVs!C558</f>
        <v>UV</v>
      </c>
      <c r="E706" s="13" t="str">
        <f>LRVs!BG558</f>
        <v>Virus</v>
      </c>
      <c r="F706" s="13" t="str">
        <f>IF(LRVs!BH558="","",LRVs!BH558)</f>
        <v>Norovirus</v>
      </c>
      <c r="G706">
        <f>IF(LRVs!BL558="","",LRVs!BL558)</f>
        <v>0.79908515721928652</v>
      </c>
    </row>
    <row r="707" spans="2:7" x14ac:dyDescent="0.3">
      <c r="B707">
        <v>879</v>
      </c>
      <c r="C707" s="13" t="str">
        <f>_xlfn.XLOOKUP(B707,LRV[id],LRV[source])</f>
        <v>Ottoson et al. (2006)b</v>
      </c>
      <c r="D707" s="13" t="e">
        <f>LRVs!#REF!</f>
        <v>#REF!</v>
      </c>
      <c r="E707" s="13" t="e">
        <f>LRVs!#REF!</f>
        <v>#REF!</v>
      </c>
      <c r="F707" s="13" t="e">
        <f>IF(LRVs!#REF!="","",LRVs!#REF!)</f>
        <v>#REF!</v>
      </c>
      <c r="G707" t="e">
        <f>IF(LRVs!#REF!="","",LRVs!#REF!)</f>
        <v>#REF!</v>
      </c>
    </row>
    <row r="708" spans="2:7" x14ac:dyDescent="0.3">
      <c r="B708">
        <v>880</v>
      </c>
      <c r="C708" s="13" t="str">
        <f>_xlfn.XLOOKUP(B708,LRV[id],LRV[source])</f>
        <v>Ottoson et al. (2006)b</v>
      </c>
      <c r="D708" s="13" t="e">
        <f>LRVs!#REF!</f>
        <v>#REF!</v>
      </c>
      <c r="E708" s="13" t="e">
        <f>LRVs!#REF!</f>
        <v>#REF!</v>
      </c>
      <c r="F708" s="13" t="e">
        <f>IF(LRVs!#REF!="","",LRVs!#REF!)</f>
        <v>#REF!</v>
      </c>
      <c r="G708" t="e">
        <f>IF(LRVs!#REF!="","",LRVs!#REF!)</f>
        <v>#REF!</v>
      </c>
    </row>
    <row r="709" spans="2:7" x14ac:dyDescent="0.3">
      <c r="B709">
        <v>881</v>
      </c>
      <c r="C709" s="13" t="str">
        <f>_xlfn.XLOOKUP(B709,LRV[id],LRV[source])</f>
        <v>Zheng &amp; Liu (2007)</v>
      </c>
      <c r="D709" s="13" t="e">
        <f>LRVs!#REF!</f>
        <v>#REF!</v>
      </c>
      <c r="E709" s="13" t="e">
        <f>LRVs!#REF!</f>
        <v>#REF!</v>
      </c>
      <c r="F709" s="13" t="e">
        <f>IF(LRVs!#REF!="","",LRVs!#REF!)</f>
        <v>#REF!</v>
      </c>
      <c r="G709" t="e">
        <f>IF(LRVs!#REF!="","",LRVs!#REF!)</f>
        <v>#REF!</v>
      </c>
    </row>
    <row r="710" spans="2:7" x14ac:dyDescent="0.3">
      <c r="B710">
        <v>882</v>
      </c>
      <c r="C710" s="13" t="str">
        <f>_xlfn.XLOOKUP(B710,LRV[id],LRV[source])</f>
        <v>Zheng &amp; Liu (2007)</v>
      </c>
      <c r="D710" s="13" t="e">
        <f>LRVs!#REF!</f>
        <v>#REF!</v>
      </c>
      <c r="E710" s="13" t="e">
        <f>LRVs!#REF!</f>
        <v>#REF!</v>
      </c>
      <c r="F710" s="13" t="e">
        <f>IF(LRVs!#REF!="","",LRVs!#REF!)</f>
        <v>#REF!</v>
      </c>
      <c r="G710" t="e">
        <f>IF(LRVs!#REF!="","",LRVs!#REF!)</f>
        <v>#REF!</v>
      </c>
    </row>
    <row r="711" spans="2:7" x14ac:dyDescent="0.3">
      <c r="B711">
        <v>883</v>
      </c>
      <c r="C711" s="13" t="str">
        <f>_xlfn.XLOOKUP(B711,LRV[id],LRV[source])</f>
        <v>Zheng &amp; Liu (2007)</v>
      </c>
      <c r="D711" s="13" t="e">
        <f>LRVs!#REF!</f>
        <v>#REF!</v>
      </c>
      <c r="E711" s="13" t="e">
        <f>LRVs!#REF!</f>
        <v>#REF!</v>
      </c>
      <c r="F711" s="13" t="e">
        <f>IF(LRVs!#REF!="","",LRVs!#REF!)</f>
        <v>#REF!</v>
      </c>
      <c r="G711" t="e">
        <f>IF(LRVs!#REF!="","",LRVs!#REF!)</f>
        <v>#REF!</v>
      </c>
    </row>
    <row r="712" spans="2:7" x14ac:dyDescent="0.3">
      <c r="B712">
        <v>884</v>
      </c>
      <c r="C712" s="13" t="str">
        <f>_xlfn.XLOOKUP(B712,LRV[id],LRV[source])</f>
        <v>Zheng &amp; Liu (2007)</v>
      </c>
      <c r="D712" s="13" t="e">
        <f>LRVs!#REF!</f>
        <v>#REF!</v>
      </c>
      <c r="E712" s="13" t="e">
        <f>LRVs!#REF!</f>
        <v>#REF!</v>
      </c>
      <c r="F712" s="13" t="e">
        <f>IF(LRVs!#REF!="","",LRVs!#REF!)</f>
        <v>#REF!</v>
      </c>
      <c r="G712" t="e">
        <f>IF(LRVs!#REF!="","",LRVs!#REF!)</f>
        <v>#REF!</v>
      </c>
    </row>
    <row r="713" spans="2:7" x14ac:dyDescent="0.3">
      <c r="B713">
        <v>885</v>
      </c>
      <c r="C713" s="13" t="str">
        <f>_xlfn.XLOOKUP(B713,LRV[id],LRV[source])</f>
        <v>Zheng &amp; Liu (2007)</v>
      </c>
      <c r="D713" s="13" t="e">
        <f>LRVs!#REF!</f>
        <v>#REF!</v>
      </c>
      <c r="E713" s="13" t="e">
        <f>LRVs!#REF!</f>
        <v>#REF!</v>
      </c>
      <c r="F713" s="13" t="e">
        <f>IF(LRVs!#REF!="","",LRVs!#REF!)</f>
        <v>#REF!</v>
      </c>
      <c r="G713" t="e">
        <f>IF(LRVs!#REF!="","",LRVs!#REF!)</f>
        <v>#REF!</v>
      </c>
    </row>
    <row r="714" spans="2:7" x14ac:dyDescent="0.3">
      <c r="B714">
        <v>886</v>
      </c>
      <c r="C714" s="13" t="str">
        <f>_xlfn.XLOOKUP(B714,LRV[id],LRV[source])</f>
        <v>Zheng &amp; Liu (2007)</v>
      </c>
      <c r="D714" s="13" t="e">
        <f>LRVs!#REF!</f>
        <v>#REF!</v>
      </c>
      <c r="E714" s="13" t="e">
        <f>LRVs!#REF!</f>
        <v>#REF!</v>
      </c>
      <c r="F714" s="13" t="e">
        <f>IF(LRVs!#REF!="","",LRVs!#REF!)</f>
        <v>#REF!</v>
      </c>
      <c r="G714" t="e">
        <f>IF(LRVs!#REF!="","",LRVs!#REF!)</f>
        <v>#REF!</v>
      </c>
    </row>
    <row r="715" spans="2:7" x14ac:dyDescent="0.3">
      <c r="B715">
        <v>887</v>
      </c>
      <c r="C715" s="13" t="str">
        <f>_xlfn.XLOOKUP(B715,LRV[id],LRV[source])</f>
        <v>Zheng &amp; Liu (2007)</v>
      </c>
      <c r="D715" s="13" t="e">
        <f>LRVs!#REF!</f>
        <v>#REF!</v>
      </c>
      <c r="E715" s="13" t="e">
        <f>LRVs!#REF!</f>
        <v>#REF!</v>
      </c>
      <c r="F715" s="13" t="e">
        <f>IF(LRVs!#REF!="","",LRVs!#REF!)</f>
        <v>#REF!</v>
      </c>
      <c r="G715" t="e">
        <f>IF(LRVs!#REF!="","",LRVs!#REF!)</f>
        <v>#REF!</v>
      </c>
    </row>
    <row r="716" spans="2:7" x14ac:dyDescent="0.3">
      <c r="B716">
        <v>888</v>
      </c>
      <c r="C716" s="13" t="str">
        <f>_xlfn.XLOOKUP(B716,LRV[id],LRV[source])</f>
        <v>Zheng &amp; Liu (2007)</v>
      </c>
      <c r="D716" s="13" t="e">
        <f>LRVs!#REF!</f>
        <v>#REF!</v>
      </c>
      <c r="E716" s="13" t="e">
        <f>LRVs!#REF!</f>
        <v>#REF!</v>
      </c>
      <c r="F716" s="13" t="e">
        <f>IF(LRVs!#REF!="","",LRVs!#REF!)</f>
        <v>#REF!</v>
      </c>
      <c r="G716" t="e">
        <f>IF(LRVs!#REF!="","",LRVs!#REF!)</f>
        <v>#REF!</v>
      </c>
    </row>
    <row r="717" spans="2:7" x14ac:dyDescent="0.3">
      <c r="B717">
        <v>889</v>
      </c>
      <c r="C717" s="13" t="str">
        <f>_xlfn.XLOOKUP(B717,LRV[id],LRV[source])</f>
        <v>Zheng &amp; Liu (2007)</v>
      </c>
      <c r="D717" s="13" t="e">
        <f>LRVs!#REF!</f>
        <v>#REF!</v>
      </c>
      <c r="E717" s="13" t="e">
        <f>LRVs!#REF!</f>
        <v>#REF!</v>
      </c>
      <c r="F717" s="13" t="e">
        <f>IF(LRVs!#REF!="","",LRVs!#REF!)</f>
        <v>#REF!</v>
      </c>
      <c r="G717" t="e">
        <f>IF(LRVs!#REF!="","",LRVs!#REF!)</f>
        <v>#REF!</v>
      </c>
    </row>
    <row r="718" spans="2:7" x14ac:dyDescent="0.3">
      <c r="B718">
        <v>890</v>
      </c>
      <c r="C718" s="13" t="str">
        <f>_xlfn.XLOOKUP(B718,LRV[id],LRV[source])</f>
        <v>Zheng &amp; Liu (2007)</v>
      </c>
      <c r="D718" s="13" t="e">
        <f>LRVs!#REF!</f>
        <v>#REF!</v>
      </c>
      <c r="E718" s="13" t="e">
        <f>LRVs!#REF!</f>
        <v>#REF!</v>
      </c>
      <c r="F718" s="13" t="e">
        <f>IF(LRVs!#REF!="","",LRVs!#REF!)</f>
        <v>#REF!</v>
      </c>
      <c r="G718" t="e">
        <f>IF(LRVs!#REF!="","",LRVs!#REF!)</f>
        <v>#REF!</v>
      </c>
    </row>
    <row r="719" spans="2:7" x14ac:dyDescent="0.3">
      <c r="B719">
        <v>891</v>
      </c>
      <c r="C719" s="13" t="str">
        <f>_xlfn.XLOOKUP(B719,LRV[id],LRV[source])</f>
        <v>Beck et al., 2013</v>
      </c>
      <c r="D719" s="13" t="e">
        <f>LRVs!#REF!</f>
        <v>#REF!</v>
      </c>
      <c r="E719" s="13" t="e">
        <f>LRVs!#REF!</f>
        <v>#REF!</v>
      </c>
      <c r="F719" s="13" t="e">
        <f>IF(LRVs!#REF!="","",LRVs!#REF!)</f>
        <v>#REF!</v>
      </c>
      <c r="G719" t="e">
        <f>IF(LRVs!#REF!="","",LRVs!#REF!)</f>
        <v>#REF!</v>
      </c>
    </row>
    <row r="720" spans="2:7" x14ac:dyDescent="0.3">
      <c r="B720">
        <v>892</v>
      </c>
      <c r="C720" s="13" t="str">
        <f>_xlfn.XLOOKUP(B720,LRV[id],LRV[source])</f>
        <v>Beck et al., 2013</v>
      </c>
      <c r="D720" s="13" t="e">
        <f>LRVs!#REF!</f>
        <v>#REF!</v>
      </c>
      <c r="E720" s="13" t="e">
        <f>LRVs!#REF!</f>
        <v>#REF!</v>
      </c>
      <c r="F720" s="13" t="e">
        <f>IF(LRVs!#REF!="","",LRVs!#REF!)</f>
        <v>#REF!</v>
      </c>
      <c r="G720" t="e">
        <f>IF(LRVs!#REF!="","",LRVs!#REF!)</f>
        <v>#REF!</v>
      </c>
    </row>
    <row r="721" spans="2:7" x14ac:dyDescent="0.3">
      <c r="B721">
        <v>893</v>
      </c>
      <c r="C721" s="13" t="str">
        <f>_xlfn.XLOOKUP(B721,LRV[id],LRV[source])</f>
        <v>Beck et al., 2013</v>
      </c>
      <c r="D721" s="13" t="e">
        <f>LRVs!#REF!</f>
        <v>#REF!</v>
      </c>
      <c r="E721" s="13" t="e">
        <f>LRVs!#REF!</f>
        <v>#REF!</v>
      </c>
      <c r="F721" s="13" t="e">
        <f>IF(LRVs!#REF!="","",LRVs!#REF!)</f>
        <v>#REF!</v>
      </c>
      <c r="G721" t="e">
        <f>IF(LRVs!#REF!="","",LRVs!#REF!)</f>
        <v>#REF!</v>
      </c>
    </row>
    <row r="722" spans="2:7" x14ac:dyDescent="0.3">
      <c r="B722">
        <v>894</v>
      </c>
      <c r="C722" s="13" t="str">
        <f>_xlfn.XLOOKUP(B722,LRV[id],LRV[source])</f>
        <v>Beck et al., 2013</v>
      </c>
      <c r="D722" s="13" t="e">
        <f>LRVs!#REF!</f>
        <v>#REF!</v>
      </c>
      <c r="E722" s="13" t="e">
        <f>LRVs!#REF!</f>
        <v>#REF!</v>
      </c>
      <c r="F722" s="13" t="e">
        <f>IF(LRVs!#REF!="","",LRVs!#REF!)</f>
        <v>#REF!</v>
      </c>
      <c r="G722" t="e">
        <f>IF(LRVs!#REF!="","",LRVs!#REF!)</f>
        <v>#REF!</v>
      </c>
    </row>
    <row r="723" spans="2:7" x14ac:dyDescent="0.3">
      <c r="B723">
        <v>895</v>
      </c>
      <c r="C723" s="13" t="str">
        <f>_xlfn.XLOOKUP(B723,LRV[id],LRV[source])</f>
        <v>Beck et al., 2013</v>
      </c>
      <c r="D723" s="13" t="e">
        <f>LRVs!#REF!</f>
        <v>#REF!</v>
      </c>
      <c r="E723" s="13" t="e">
        <f>LRVs!#REF!</f>
        <v>#REF!</v>
      </c>
      <c r="F723" s="13" t="e">
        <f>IF(LRVs!#REF!="","",LRVs!#REF!)</f>
        <v>#REF!</v>
      </c>
      <c r="G723" t="e">
        <f>IF(LRVs!#REF!="","",LRVs!#REF!)</f>
        <v>#REF!</v>
      </c>
    </row>
    <row r="724" spans="2:7" x14ac:dyDescent="0.3">
      <c r="B724">
        <v>896</v>
      </c>
      <c r="C724" s="13" t="str">
        <f>_xlfn.XLOOKUP(B724,LRV[id],LRV[source])</f>
        <v>Beck et al., 2013</v>
      </c>
      <c r="D724" s="13" t="e">
        <f>LRVs!#REF!</f>
        <v>#REF!</v>
      </c>
      <c r="E724" s="13" t="e">
        <f>LRVs!#REF!</f>
        <v>#REF!</v>
      </c>
      <c r="F724" s="13" t="e">
        <f>IF(LRVs!#REF!="","",LRVs!#REF!)</f>
        <v>#REF!</v>
      </c>
      <c r="G724" t="e">
        <f>IF(LRVs!#REF!="","",LRVs!#REF!)</f>
        <v>#REF!</v>
      </c>
    </row>
    <row r="725" spans="2:7" x14ac:dyDescent="0.3">
      <c r="B725">
        <v>897</v>
      </c>
      <c r="C725" s="13" t="str">
        <f>_xlfn.XLOOKUP(B725,LRV[id],LRV[source])</f>
        <v>Beck et al., 2013</v>
      </c>
      <c r="D725" s="13" t="e">
        <f>LRVs!#REF!</f>
        <v>#REF!</v>
      </c>
      <c r="E725" s="13" t="e">
        <f>LRVs!#REF!</f>
        <v>#REF!</v>
      </c>
      <c r="F725" s="13" t="e">
        <f>IF(LRVs!#REF!="","",LRVs!#REF!)</f>
        <v>#REF!</v>
      </c>
      <c r="G725" t="e">
        <f>IF(LRVs!#REF!="","",LRVs!#REF!)</f>
        <v>#REF!</v>
      </c>
    </row>
    <row r="726" spans="2:7" x14ac:dyDescent="0.3">
      <c r="B726">
        <v>898</v>
      </c>
      <c r="C726" s="13" t="str">
        <f>_xlfn.XLOOKUP(B726,LRV[id],LRV[source])</f>
        <v>Beck et al., 2013</v>
      </c>
      <c r="D726" s="13" t="e">
        <f>LRVs!#REF!</f>
        <v>#REF!</v>
      </c>
      <c r="E726" s="13" t="e">
        <f>LRVs!#REF!</f>
        <v>#REF!</v>
      </c>
      <c r="F726" s="13" t="e">
        <f>IF(LRVs!#REF!="","",LRVs!#REF!)</f>
        <v>#REF!</v>
      </c>
      <c r="G726" t="e">
        <f>IF(LRVs!#REF!="","",LRVs!#REF!)</f>
        <v>#REF!</v>
      </c>
    </row>
    <row r="727" spans="2:7" x14ac:dyDescent="0.3">
      <c r="B727">
        <v>899</v>
      </c>
      <c r="C727" s="13" t="str">
        <f>_xlfn.XLOOKUP(B727,LRV[id],LRV[source])</f>
        <v>Beck et al., 2013</v>
      </c>
      <c r="D727" s="13" t="str">
        <f>LRVs!C559</f>
        <v>Chlorine</v>
      </c>
      <c r="E727" s="13" t="str">
        <f>LRVs!BG559</f>
        <v>Virus</v>
      </c>
      <c r="F727" s="13" t="str">
        <f>IF(LRVs!BH559="","",LRVs!BH559)</f>
        <v>Norovirus</v>
      </c>
      <c r="G727">
        <f>IF(LRVs!BL559="","",LRVs!BL559)</f>
        <v>0.74472749489669399</v>
      </c>
    </row>
    <row r="728" spans="2:7" x14ac:dyDescent="0.3">
      <c r="B728">
        <v>900</v>
      </c>
      <c r="C728" s="13" t="str">
        <f>_xlfn.XLOOKUP(B728,LRV[id],LRV[source])</f>
        <v>Beck et al., 2013</v>
      </c>
      <c r="D728" s="13" t="e">
        <f>LRVs!#REF!</f>
        <v>#REF!</v>
      </c>
      <c r="E728" s="13" t="e">
        <f>LRVs!#REF!</f>
        <v>#REF!</v>
      </c>
      <c r="F728" s="13" t="e">
        <f>IF(LRVs!#REF!="","",LRVs!#REF!)</f>
        <v>#REF!</v>
      </c>
      <c r="G728" t="e">
        <f>IF(LRVs!#REF!="","",LRVs!#REF!)</f>
        <v>#REF!</v>
      </c>
    </row>
    <row r="729" spans="2:7" x14ac:dyDescent="0.3">
      <c r="B729">
        <v>901</v>
      </c>
      <c r="C729" s="13" t="str">
        <f>_xlfn.XLOOKUP(B729,LRV[id],LRV[source])</f>
        <v>Beck et al., 2013</v>
      </c>
      <c r="D729" s="13" t="e">
        <f>LRVs!#REF!</f>
        <v>#REF!</v>
      </c>
      <c r="E729" s="13" t="e">
        <f>LRVs!#REF!</f>
        <v>#REF!</v>
      </c>
      <c r="F729" s="13" t="e">
        <f>IF(LRVs!#REF!="","",LRVs!#REF!)</f>
        <v>#REF!</v>
      </c>
      <c r="G729" t="e">
        <f>IF(LRVs!#REF!="","",LRVs!#REF!)</f>
        <v>#REF!</v>
      </c>
    </row>
    <row r="730" spans="2:7" x14ac:dyDescent="0.3">
      <c r="B730">
        <v>902</v>
      </c>
      <c r="C730" s="13" t="str">
        <f>_xlfn.XLOOKUP(B730,LRV[id],LRV[source])</f>
        <v>Beck et al., 2013</v>
      </c>
      <c r="D730" s="13" t="e">
        <f>LRVs!#REF!</f>
        <v>#REF!</v>
      </c>
      <c r="E730" s="13" t="e">
        <f>LRVs!#REF!</f>
        <v>#REF!</v>
      </c>
      <c r="F730" s="13" t="e">
        <f>IF(LRVs!#REF!="","",LRVs!#REF!)</f>
        <v>#REF!</v>
      </c>
      <c r="G730" t="e">
        <f>IF(LRVs!#REF!="","",LRVs!#REF!)</f>
        <v>#REF!</v>
      </c>
    </row>
    <row r="731" spans="2:7" x14ac:dyDescent="0.3">
      <c r="B731">
        <v>903</v>
      </c>
      <c r="C731" s="13" t="str">
        <f>_xlfn.XLOOKUP(B731,LRV[id],LRV[source])</f>
        <v>Beck et al., 2013</v>
      </c>
      <c r="D731" s="13" t="e">
        <f>LRVs!#REF!</f>
        <v>#REF!</v>
      </c>
      <c r="E731" s="13" t="e">
        <f>LRVs!#REF!</f>
        <v>#REF!</v>
      </c>
      <c r="F731" s="13" t="e">
        <f>IF(LRVs!#REF!="","",LRVs!#REF!)</f>
        <v>#REF!</v>
      </c>
      <c r="G731" t="e">
        <f>IF(LRVs!#REF!="","",LRVs!#REF!)</f>
        <v>#REF!</v>
      </c>
    </row>
    <row r="732" spans="2:7" x14ac:dyDescent="0.3">
      <c r="B732">
        <v>904</v>
      </c>
      <c r="C732" s="13" t="str">
        <f>_xlfn.XLOOKUP(B732,LRV[id],LRV[source])</f>
        <v>Beck et al., 2013</v>
      </c>
      <c r="D732" s="13" t="e">
        <f>LRVs!#REF!</f>
        <v>#REF!</v>
      </c>
      <c r="E732" s="13" t="e">
        <f>LRVs!#REF!</f>
        <v>#REF!</v>
      </c>
      <c r="F732" s="13" t="e">
        <f>IF(LRVs!#REF!="","",LRVs!#REF!)</f>
        <v>#REF!</v>
      </c>
      <c r="G732" t="e">
        <f>IF(LRVs!#REF!="","",LRVs!#REF!)</f>
        <v>#REF!</v>
      </c>
    </row>
    <row r="733" spans="2:7" x14ac:dyDescent="0.3">
      <c r="B733">
        <v>905</v>
      </c>
      <c r="C733" s="13" t="str">
        <f>_xlfn.XLOOKUP(B733,LRV[id],LRV[source])</f>
        <v>Beck et al., 2013</v>
      </c>
      <c r="D733" s="13" t="str">
        <f>LRVs!C560</f>
        <v>Peracetic acid</v>
      </c>
      <c r="E733" s="13" t="str">
        <f>LRVs!BG560</f>
        <v>Bacteria</v>
      </c>
      <c r="F733" s="13" t="str">
        <f>IF(LRVs!BH560="","",LRVs!BH560)</f>
        <v>Enterococcus faecalis</v>
      </c>
      <c r="G733">
        <f>IF(LRVs!BL560="","",LRVs!BL560)</f>
        <v>0.11</v>
      </c>
    </row>
    <row r="734" spans="2:7" x14ac:dyDescent="0.3">
      <c r="B734">
        <v>906</v>
      </c>
      <c r="C734" s="13" t="str">
        <f>_xlfn.XLOOKUP(B734,LRV[id],LRV[source])</f>
        <v>Beck et al., 2013</v>
      </c>
      <c r="D734" s="13" t="str">
        <f>LRVs!C561</f>
        <v>Peracetic acid</v>
      </c>
      <c r="E734" s="13" t="str">
        <f>LRVs!BG561</f>
        <v>Bacteria</v>
      </c>
      <c r="F734" s="13" t="str">
        <f>IF(LRVs!BH561="","",LRVs!BH561)</f>
        <v>Enterococcus faecalis</v>
      </c>
      <c r="G734">
        <f>IF(LRVs!BL561="","",LRVs!BL561)</f>
        <v>0.97</v>
      </c>
    </row>
    <row r="735" spans="2:7" x14ac:dyDescent="0.3">
      <c r="B735">
        <v>907</v>
      </c>
      <c r="C735" s="13" t="str">
        <f>_xlfn.XLOOKUP(B735,LRV[id],LRV[source])</f>
        <v>Beck et al., 2013</v>
      </c>
      <c r="D735" s="13" t="str">
        <f>LRVs!C562</f>
        <v>Peracetic acid</v>
      </c>
      <c r="E735" s="13" t="str">
        <f>LRVs!BG562</f>
        <v>Bacteria</v>
      </c>
      <c r="F735" s="13" t="str">
        <f>IF(LRVs!BH562="","",LRVs!BH562)</f>
        <v>Enterococcus faecalis</v>
      </c>
      <c r="G735">
        <f>IF(LRVs!BL562="","",LRVs!BL562)</f>
        <v>1.74</v>
      </c>
    </row>
    <row r="736" spans="2:7" x14ac:dyDescent="0.3">
      <c r="B736">
        <v>908</v>
      </c>
      <c r="C736" s="13" t="str">
        <f>_xlfn.XLOOKUP(B736,LRV[id],LRV[source])</f>
        <v>Beck et al., 2013</v>
      </c>
      <c r="D736" s="13" t="str">
        <f>LRVs!C563</f>
        <v>Peracetic acid</v>
      </c>
      <c r="E736" s="13" t="str">
        <f>LRVs!BG563</f>
        <v>Bacteria</v>
      </c>
      <c r="F736" s="13" t="str">
        <f>IF(LRVs!BH563="","",LRVs!BH563)</f>
        <v>Enterococcus faecalis</v>
      </c>
      <c r="G736">
        <f>IF(LRVs!BL563="","",LRVs!BL563)</f>
        <v>3.12</v>
      </c>
    </row>
    <row r="737" spans="2:7" x14ac:dyDescent="0.3">
      <c r="B737">
        <v>909</v>
      </c>
      <c r="C737" s="13" t="str">
        <f>_xlfn.XLOOKUP(B737,LRV[id],LRV[source])</f>
        <v>Beck et al., 2013</v>
      </c>
      <c r="D737" s="13" t="str">
        <f>LRVs!C564</f>
        <v>Peracetic acid</v>
      </c>
      <c r="E737" s="13" t="str">
        <f>LRVs!BG564</f>
        <v>Bacteria</v>
      </c>
      <c r="F737" s="13" t="str">
        <f>IF(LRVs!BH564="","",LRVs!BH564)</f>
        <v>Escherichia coli</v>
      </c>
      <c r="G737">
        <f>IF(LRVs!BL564="","",LRVs!BL564)</f>
        <v>0.04</v>
      </c>
    </row>
    <row r="738" spans="2:7" x14ac:dyDescent="0.3">
      <c r="B738">
        <v>910</v>
      </c>
      <c r="C738" s="13" t="str">
        <f>_xlfn.XLOOKUP(B738,LRV[id],LRV[source])</f>
        <v>Beck et al., 2013</v>
      </c>
      <c r="D738" s="13" t="str">
        <f>LRVs!C565</f>
        <v>Peracetic acid</v>
      </c>
      <c r="E738" s="13" t="str">
        <f>LRVs!BG565</f>
        <v>Bacteria</v>
      </c>
      <c r="F738" s="13" t="str">
        <f>IF(LRVs!BH565="","",LRVs!BH565)</f>
        <v>Escherichia coli</v>
      </c>
      <c r="G738">
        <f>IF(LRVs!BL565="","",LRVs!BL565)</f>
        <v>0.56999999999999995</v>
      </c>
    </row>
    <row r="739" spans="2:7" x14ac:dyDescent="0.3">
      <c r="B739">
        <v>911</v>
      </c>
      <c r="C739" s="13" t="str">
        <f>_xlfn.XLOOKUP(B739,LRV[id],LRV[source])</f>
        <v>Beck et al., 2013</v>
      </c>
      <c r="D739" s="13" t="str">
        <f>LRVs!C566</f>
        <v>Peracetic acid</v>
      </c>
      <c r="E739" s="13" t="str">
        <f>LRVs!BG566</f>
        <v>Bacteria</v>
      </c>
      <c r="F739" s="13" t="str">
        <f>IF(LRVs!BH566="","",LRVs!BH566)</f>
        <v>Escherichia coli</v>
      </c>
      <c r="G739">
        <f>IF(LRVs!BL566="","",LRVs!BL566)</f>
        <v>2.81</v>
      </c>
    </row>
    <row r="740" spans="2:7" x14ac:dyDescent="0.3">
      <c r="B740">
        <v>912</v>
      </c>
      <c r="C740" s="13" t="str">
        <f>_xlfn.XLOOKUP(B740,LRV[id],LRV[source])</f>
        <v>Beck et al., 2013</v>
      </c>
      <c r="D740" s="13" t="str">
        <f>LRVs!C567</f>
        <v>Peracetic acid</v>
      </c>
      <c r="E740" s="13" t="str">
        <f>LRVs!BG567</f>
        <v>Bacteria</v>
      </c>
      <c r="F740" s="13" t="str">
        <f>IF(LRVs!BH567="","",LRVs!BH567)</f>
        <v>Salmonella enteritidis</v>
      </c>
      <c r="G740">
        <f>IF(LRVs!BL567="","",LRVs!BL567)</f>
        <v>0.05</v>
      </c>
    </row>
    <row r="741" spans="2:7" x14ac:dyDescent="0.3">
      <c r="B741">
        <v>913</v>
      </c>
      <c r="C741" s="13" t="str">
        <f>_xlfn.XLOOKUP(B741,LRV[id],LRV[source])</f>
        <v>Beck et al., 2013</v>
      </c>
      <c r="D741" s="13" t="str">
        <f>LRVs!C568</f>
        <v>Peracetic acid</v>
      </c>
      <c r="E741" s="13" t="str">
        <f>LRVs!BG568</f>
        <v>Bacteria</v>
      </c>
      <c r="F741" s="13" t="str">
        <f>IF(LRVs!BH568="","",LRVs!BH568)</f>
        <v>Salmonella enteritidis</v>
      </c>
      <c r="G741">
        <f>IF(LRVs!BL568="","",LRVs!BL568)</f>
        <v>0.38</v>
      </c>
    </row>
    <row r="742" spans="2:7" x14ac:dyDescent="0.3">
      <c r="B742">
        <v>914</v>
      </c>
      <c r="C742" s="13" t="str">
        <f>_xlfn.XLOOKUP(B742,LRV[id],LRV[source])</f>
        <v>Beck et al., 2013</v>
      </c>
      <c r="D742" s="13" t="str">
        <f>LRVs!C569</f>
        <v>Peracetic acid</v>
      </c>
      <c r="E742" s="13" t="str">
        <f>LRVs!BG569</f>
        <v>Bacteria</v>
      </c>
      <c r="F742" s="13" t="str">
        <f>IF(LRVs!BH569="","",LRVs!BH569)</f>
        <v>Salmonella enteritidis</v>
      </c>
      <c r="G742">
        <f>IF(LRVs!BL569="","",LRVs!BL569)</f>
        <v>1.93</v>
      </c>
    </row>
    <row r="743" spans="2:7" x14ac:dyDescent="0.3">
      <c r="B743">
        <v>915</v>
      </c>
      <c r="C743" s="13" t="str">
        <f>_xlfn.XLOOKUP(B743,LRV[id],LRV[source])</f>
        <v>Beck et al., 2013</v>
      </c>
      <c r="D743" s="13" t="str">
        <f>LRVs!C570</f>
        <v>Peracetic acid</v>
      </c>
      <c r="E743" s="13" t="str">
        <f>LRVs!BG570</f>
        <v>Virus</v>
      </c>
      <c r="F743" s="13" t="str">
        <f>IF(LRVs!BH570="","",LRVs!BH570)</f>
        <v>MS2</v>
      </c>
      <c r="G743">
        <f>IF(LRVs!BL570="","",LRVs!BL570)</f>
        <v>0.21</v>
      </c>
    </row>
    <row r="744" spans="2:7" x14ac:dyDescent="0.3">
      <c r="B744">
        <v>916</v>
      </c>
      <c r="C744" s="13" t="str">
        <f>_xlfn.XLOOKUP(B744,LRV[id],LRV[source])</f>
        <v>Beck et al., 2013</v>
      </c>
      <c r="D744" s="13" t="str">
        <f>LRVs!C571</f>
        <v>Peracetic acid</v>
      </c>
      <c r="E744" s="13" t="str">
        <f>LRVs!BG571</f>
        <v>Virus</v>
      </c>
      <c r="F744" s="13" t="str">
        <f>IF(LRVs!BH571="","",LRVs!BH571)</f>
        <v>MS2</v>
      </c>
      <c r="G744">
        <f>IF(LRVs!BL571="","",LRVs!BL571)</f>
        <v>0.86</v>
      </c>
    </row>
    <row r="745" spans="2:7" x14ac:dyDescent="0.3">
      <c r="B745">
        <v>917</v>
      </c>
      <c r="C745" s="13" t="str">
        <f>_xlfn.XLOOKUP(B745,LRV[id],LRV[source])</f>
        <v>Beck et al., 2013</v>
      </c>
      <c r="D745" s="13" t="str">
        <f>LRVs!C572</f>
        <v>Peracetic acid</v>
      </c>
      <c r="E745" s="13" t="str">
        <f>LRVs!BG572</f>
        <v>Virus</v>
      </c>
      <c r="F745" s="13" t="str">
        <f>IF(LRVs!BH572="","",LRVs!BH572)</f>
        <v>MS2</v>
      </c>
      <c r="G745">
        <f>IF(LRVs!BL572="","",LRVs!BL572)</f>
        <v>1.28</v>
      </c>
    </row>
    <row r="746" spans="2:7" x14ac:dyDescent="0.3">
      <c r="B746">
        <v>918</v>
      </c>
      <c r="C746" s="13" t="str">
        <f>_xlfn.XLOOKUP(B746,LRV[id],LRV[source])</f>
        <v>Ekeren et al., 2016</v>
      </c>
      <c r="D746" s="13" t="str">
        <f>LRVs!C573</f>
        <v>UV + PAA</v>
      </c>
      <c r="E746" s="13" t="str">
        <f>LRVs!BG573</f>
        <v>Bacteria</v>
      </c>
      <c r="F746" s="13" t="str">
        <f>IF(LRVs!BH573="","",LRVs!BH573)</f>
        <v>Enterococcus faecalis</v>
      </c>
      <c r="G746">
        <f>IF(LRVs!BL573="","",LRVs!BL573)</f>
        <v>1.05</v>
      </c>
    </row>
    <row r="747" spans="2:7" x14ac:dyDescent="0.3">
      <c r="B747">
        <v>919</v>
      </c>
      <c r="C747" s="13" t="str">
        <f>_xlfn.XLOOKUP(B747,LRV[id],LRV[source])</f>
        <v>Ekeren et al., 2016</v>
      </c>
      <c r="D747" s="13" t="str">
        <f>LRVs!C574</f>
        <v>UV + PAA</v>
      </c>
      <c r="E747" s="13" t="str">
        <f>LRVs!BG574</f>
        <v>Bacteria</v>
      </c>
      <c r="F747" s="13" t="str">
        <f>IF(LRVs!BH574="","",LRVs!BH574)</f>
        <v>Enterococcus faecalis</v>
      </c>
      <c r="G747">
        <f>IF(LRVs!BL574="","",LRVs!BL574)</f>
        <v>2.3199999999999998</v>
      </c>
    </row>
    <row r="748" spans="2:7" x14ac:dyDescent="0.3">
      <c r="B748">
        <v>920</v>
      </c>
      <c r="C748" s="13" t="str">
        <f>_xlfn.XLOOKUP(B748,LRV[id],LRV[source])</f>
        <v>Ekeren et al., 2016</v>
      </c>
      <c r="D748" s="13" t="str">
        <f>LRVs!C575</f>
        <v>UV + PAA</v>
      </c>
      <c r="E748" s="13" t="str">
        <f>LRVs!BG575</f>
        <v>Bacteria</v>
      </c>
      <c r="F748" s="13" t="str">
        <f>IF(LRVs!BH575="","",LRVs!BH575)</f>
        <v>Enterococcus faecalis</v>
      </c>
      <c r="G748">
        <f>IF(LRVs!BL575="","",LRVs!BL575)</f>
        <v>4.5599999999999996</v>
      </c>
    </row>
    <row r="749" spans="2:7" x14ac:dyDescent="0.3">
      <c r="B749">
        <v>921</v>
      </c>
      <c r="C749" s="13" t="str">
        <f>_xlfn.XLOOKUP(B749,LRV[id],LRV[source])</f>
        <v>Ekeren et al., 2016</v>
      </c>
      <c r="D749" s="13" t="str">
        <f>LRVs!C576</f>
        <v>UV + PAA</v>
      </c>
      <c r="E749" s="13" t="str">
        <f>LRVs!BG576</f>
        <v>Bacteria</v>
      </c>
      <c r="F749" s="13" t="str">
        <f>IF(LRVs!BH576="","",LRVs!BH576)</f>
        <v>Enterococcus faecalis</v>
      </c>
      <c r="G749">
        <f>IF(LRVs!BL576="","",LRVs!BL576)</f>
        <v>1.99</v>
      </c>
    </row>
    <row r="750" spans="2:7" x14ac:dyDescent="0.3">
      <c r="B750">
        <v>922</v>
      </c>
      <c r="C750" s="13" t="str">
        <f>_xlfn.XLOOKUP(B750,LRV[id],LRV[source])</f>
        <v>Ekeren et al., 2016</v>
      </c>
      <c r="D750" s="13" t="str">
        <f>LRVs!C577</f>
        <v>UV + PAA</v>
      </c>
      <c r="E750" s="13" t="str">
        <f>LRVs!BG577</f>
        <v>Bacteria</v>
      </c>
      <c r="F750" s="13" t="str">
        <f>IF(LRVs!BH577="","",LRVs!BH577)</f>
        <v>Enterococcus faecalis</v>
      </c>
      <c r="G750">
        <f>IF(LRVs!BL577="","",LRVs!BL577)</f>
        <v>3</v>
      </c>
    </row>
    <row r="751" spans="2:7" x14ac:dyDescent="0.3">
      <c r="B751">
        <v>923</v>
      </c>
      <c r="C751" s="13" t="str">
        <f>_xlfn.XLOOKUP(B751,LRV[id],LRV[source])</f>
        <v>Ekeren et al., 2016</v>
      </c>
      <c r="D751" s="13" t="str">
        <f>LRVs!C578</f>
        <v>UV + PAA</v>
      </c>
      <c r="E751" s="13" t="str">
        <f>LRVs!BG578</f>
        <v>Bacteria</v>
      </c>
      <c r="F751" s="13" t="str">
        <f>IF(LRVs!BH578="","",LRVs!BH578)</f>
        <v>Enterococcus faecalis</v>
      </c>
      <c r="G751">
        <f>IF(LRVs!BL578="","",LRVs!BL578)</f>
        <v>4.4000000000000004</v>
      </c>
    </row>
    <row r="752" spans="2:7" x14ac:dyDescent="0.3">
      <c r="B752">
        <v>924</v>
      </c>
      <c r="C752" s="13" t="str">
        <f>_xlfn.XLOOKUP(B752,LRV[id],LRV[source])</f>
        <v>Ekeren et al., 2016</v>
      </c>
      <c r="D752" s="13" t="str">
        <f>LRVs!C579</f>
        <v>UV + PAA</v>
      </c>
      <c r="E752" s="13" t="str">
        <f>LRVs!BG579</f>
        <v>Bacteria</v>
      </c>
      <c r="F752" s="13" t="str">
        <f>IF(LRVs!BH579="","",LRVs!BH579)</f>
        <v>Escherichia coli</v>
      </c>
      <c r="G752">
        <f>IF(LRVs!BL579="","",LRVs!BL579)</f>
        <v>1.02</v>
      </c>
    </row>
    <row r="753" spans="2:7" x14ac:dyDescent="0.3">
      <c r="B753">
        <v>925</v>
      </c>
      <c r="C753" s="13" t="str">
        <f>_xlfn.XLOOKUP(B753,LRV[id],LRV[source])</f>
        <v>Ekeren et al., 2016</v>
      </c>
      <c r="D753" s="13" t="str">
        <f>LRVs!C580</f>
        <v>UV + PAA</v>
      </c>
      <c r="E753" s="13" t="str">
        <f>LRVs!BG580</f>
        <v>Bacteria</v>
      </c>
      <c r="F753" s="13" t="str">
        <f>IF(LRVs!BH580="","",LRVs!BH580)</f>
        <v>Escherichia coli</v>
      </c>
      <c r="G753">
        <f>IF(LRVs!BL580="","",LRVs!BL580)</f>
        <v>2.29</v>
      </c>
    </row>
    <row r="754" spans="2:7" x14ac:dyDescent="0.3">
      <c r="B754">
        <v>926</v>
      </c>
      <c r="C754" s="13" t="str">
        <f>_xlfn.XLOOKUP(B754,LRV[id],LRV[source])</f>
        <v>Friedler et al., 2011</v>
      </c>
      <c r="D754" s="13" t="str">
        <f>LRVs!C581</f>
        <v>UV + PAA</v>
      </c>
      <c r="E754" s="13" t="str">
        <f>LRVs!BG581</f>
        <v>Bacteria</v>
      </c>
      <c r="F754" s="13" t="str">
        <f>IF(LRVs!BH581="","",LRVs!BH581)</f>
        <v>Escherichia coli</v>
      </c>
      <c r="G754">
        <f>IF(LRVs!BL581="","",LRVs!BL581)</f>
        <v>5.56</v>
      </c>
    </row>
    <row r="755" spans="2:7" x14ac:dyDescent="0.3">
      <c r="B755">
        <v>927</v>
      </c>
      <c r="C755" s="13" t="str">
        <f>_xlfn.XLOOKUP(B755,LRV[id],LRV[source])</f>
        <v>Friedler et al., 2011</v>
      </c>
      <c r="D755" s="13" t="str">
        <f>LRVs!C582</f>
        <v>UV + PAA</v>
      </c>
      <c r="E755" s="13" t="str">
        <f>LRVs!BG582</f>
        <v>Bacteria</v>
      </c>
      <c r="F755" s="13" t="str">
        <f>IF(LRVs!BH582="","",LRVs!BH582)</f>
        <v>Escherichia coli</v>
      </c>
      <c r="G755">
        <f>IF(LRVs!BL582="","",LRVs!BL582)</f>
        <v>2.41</v>
      </c>
    </row>
    <row r="756" spans="2:7" x14ac:dyDescent="0.3">
      <c r="B756">
        <v>928</v>
      </c>
      <c r="C756" s="13" t="str">
        <f>_xlfn.XLOOKUP(B756,LRV[id],LRV[source])</f>
        <v>Friedler et al., 2005</v>
      </c>
      <c r="D756" s="13" t="str">
        <f>LRVs!C583</f>
        <v>UV + PAA</v>
      </c>
      <c r="E756" s="13" t="str">
        <f>LRVs!BG583</f>
        <v>Bacteria</v>
      </c>
      <c r="F756" s="13" t="str">
        <f>IF(LRVs!BH583="","",LRVs!BH583)</f>
        <v>Escherichia coli</v>
      </c>
      <c r="G756">
        <f>IF(LRVs!BL583="","",LRVs!BL583)</f>
        <v>4.66</v>
      </c>
    </row>
    <row r="757" spans="2:7" x14ac:dyDescent="0.3">
      <c r="B757">
        <v>929</v>
      </c>
      <c r="C757" s="13" t="str">
        <f>_xlfn.XLOOKUP(B757,LRV[id],LRV[source])</f>
        <v>Friedler et al., 2006</v>
      </c>
      <c r="D757" s="13" t="str">
        <f>LRVs!C584</f>
        <v>UV + PAA</v>
      </c>
      <c r="E757" s="13" t="str">
        <f>LRVs!BG584</f>
        <v>Bacteria</v>
      </c>
      <c r="F757" s="13" t="str">
        <f>IF(LRVs!BH584="","",LRVs!BH584)</f>
        <v>Escherichia coli</v>
      </c>
      <c r="G757">
        <f>IF(LRVs!BL584="","",LRVs!BL584)</f>
        <v>5.97</v>
      </c>
    </row>
    <row r="758" spans="2:7" x14ac:dyDescent="0.3">
      <c r="B758">
        <v>930</v>
      </c>
      <c r="C758" s="13" t="str">
        <f>_xlfn.XLOOKUP(B758,LRV[id],LRV[source])</f>
        <v>Friedler et al., 2006</v>
      </c>
      <c r="D758" s="13" t="str">
        <f>LRVs!C585</f>
        <v>UV + PAA</v>
      </c>
      <c r="E758" s="13" t="str">
        <f>LRVs!BG585</f>
        <v>Bacteria</v>
      </c>
      <c r="F758" s="13" t="str">
        <f>IF(LRVs!BH585="","",LRVs!BH585)</f>
        <v>Salmonella enteritidis</v>
      </c>
      <c r="G758">
        <f>IF(LRVs!BL585="","",LRVs!BL585)</f>
        <v>0.93</v>
      </c>
    </row>
    <row r="759" spans="2:7" x14ac:dyDescent="0.3">
      <c r="B759">
        <v>931</v>
      </c>
      <c r="C759" s="13" t="str">
        <f>_xlfn.XLOOKUP(B759,LRV[id],LRV[source])</f>
        <v>Friedler et al., 2006</v>
      </c>
      <c r="D759" s="13" t="str">
        <f>LRVs!C586</f>
        <v>UV + PAA</v>
      </c>
      <c r="E759" s="13" t="str">
        <f>LRVs!BG586</f>
        <v>Bacteria</v>
      </c>
      <c r="F759" s="13" t="str">
        <f>IF(LRVs!BH586="","",LRVs!BH586)</f>
        <v>Salmonella enteritidis</v>
      </c>
      <c r="G759">
        <f>IF(LRVs!BL586="","",LRVs!BL586)</f>
        <v>1.8</v>
      </c>
    </row>
    <row r="760" spans="2:7" x14ac:dyDescent="0.3">
      <c r="B760">
        <v>932</v>
      </c>
      <c r="C760" s="13" t="str">
        <f>_xlfn.XLOOKUP(B760,LRV[id],LRV[source])</f>
        <v>Friedler et al., 2011</v>
      </c>
      <c r="D760" s="13" t="str">
        <f>LRVs!C587</f>
        <v>UV + PAA</v>
      </c>
      <c r="E760" s="13" t="str">
        <f>LRVs!BG587</f>
        <v>Bacteria</v>
      </c>
      <c r="F760" s="13" t="str">
        <f>IF(LRVs!BH587="","",LRVs!BH587)</f>
        <v>Salmonella enteritidis</v>
      </c>
      <c r="G760">
        <f>IF(LRVs!BL587="","",LRVs!BL587)</f>
        <v>3.56</v>
      </c>
    </row>
    <row r="761" spans="2:7" x14ac:dyDescent="0.3">
      <c r="B761">
        <v>933</v>
      </c>
      <c r="C761" s="13" t="str">
        <f>_xlfn.XLOOKUP(B761,LRV[id],LRV[source])</f>
        <v>Friedler et al., 2011</v>
      </c>
      <c r="D761" s="13" t="str">
        <f>LRVs!C588</f>
        <v>UV + PAA</v>
      </c>
      <c r="E761" s="13" t="str">
        <f>LRVs!BG588</f>
        <v>Bacteria</v>
      </c>
      <c r="F761" s="13" t="str">
        <f>IF(LRVs!BH588="","",LRVs!BH588)</f>
        <v>Salmonella enteritidis</v>
      </c>
      <c r="G761">
        <f>IF(LRVs!BL588="","",LRVs!BL588)</f>
        <v>2.56</v>
      </c>
    </row>
    <row r="762" spans="2:7" x14ac:dyDescent="0.3">
      <c r="B762">
        <v>934</v>
      </c>
      <c r="C762" s="13" t="str">
        <f>_xlfn.XLOOKUP(B762,LRV[id],LRV[source])</f>
        <v>Friedler et al., 2011</v>
      </c>
      <c r="D762" s="13" t="str">
        <f>LRVs!C589</f>
        <v>UV + PAA</v>
      </c>
      <c r="E762" s="13" t="str">
        <f>LRVs!BG589</f>
        <v>Bacteria</v>
      </c>
      <c r="F762" s="13" t="str">
        <f>IF(LRVs!BH589="","",LRVs!BH589)</f>
        <v>Salmonella enteritidis</v>
      </c>
      <c r="G762">
        <f>IF(LRVs!BL589="","",LRVs!BL589)</f>
        <v>4.24</v>
      </c>
    </row>
    <row r="763" spans="2:7" x14ac:dyDescent="0.3">
      <c r="B763">
        <v>935</v>
      </c>
      <c r="C763" s="13" t="str">
        <f>_xlfn.XLOOKUP(B763,LRV[id],LRV[source])</f>
        <v>Friedler et al., 2011</v>
      </c>
      <c r="D763" s="13" t="str">
        <f>LRVs!C590</f>
        <v>UV + PAA</v>
      </c>
      <c r="E763" s="13" t="str">
        <f>LRVs!BG590</f>
        <v>Bacteria</v>
      </c>
      <c r="F763" s="13" t="str">
        <f>IF(LRVs!BH590="","",LRVs!BH590)</f>
        <v>Salmonella enteritidis</v>
      </c>
      <c r="G763">
        <f>IF(LRVs!BL590="","",LRVs!BL590)</f>
        <v>6.16</v>
      </c>
    </row>
    <row r="764" spans="2:7" x14ac:dyDescent="0.3">
      <c r="B764">
        <v>936</v>
      </c>
      <c r="C764" s="13" t="str">
        <f>_xlfn.XLOOKUP(B764,LRV[id],LRV[source])</f>
        <v>Winward et al., 2008b</v>
      </c>
      <c r="D764" s="13" t="str">
        <f>LRVs!C591</f>
        <v>UV + PAA</v>
      </c>
      <c r="E764" s="13" t="str">
        <f>LRVs!BG591</f>
        <v>Virus</v>
      </c>
      <c r="F764" s="13" t="str">
        <f>IF(LRVs!BH591="","",LRVs!BH591)</f>
        <v>MS2</v>
      </c>
      <c r="G764">
        <f>IF(LRVs!BL591="","",LRVs!BL591)</f>
        <v>1.21</v>
      </c>
    </row>
    <row r="765" spans="2:7" x14ac:dyDescent="0.3">
      <c r="B765">
        <v>937</v>
      </c>
      <c r="C765" s="13" t="str">
        <f>_xlfn.XLOOKUP(B765,LRV[id],LRV[source])</f>
        <v>Winward et al., 2008b</v>
      </c>
      <c r="D765" s="13" t="str">
        <f>LRVs!C592</f>
        <v>UV + PAA</v>
      </c>
      <c r="E765" s="13" t="str">
        <f>LRVs!BG592</f>
        <v>Virus</v>
      </c>
      <c r="F765" s="13" t="str">
        <f>IF(LRVs!BH592="","",LRVs!BH592)</f>
        <v>MS2</v>
      </c>
      <c r="G765">
        <f>IF(LRVs!BL592="","",LRVs!BL592)</f>
        <v>1.72</v>
      </c>
    </row>
    <row r="766" spans="2:7" x14ac:dyDescent="0.3">
      <c r="B766">
        <v>938</v>
      </c>
      <c r="C766" s="13" t="str">
        <f>_xlfn.XLOOKUP(B766,LRV[id],LRV[source])</f>
        <v>Winward et al., 2008b</v>
      </c>
      <c r="D766" s="13" t="str">
        <f>LRVs!C593</f>
        <v>UV + PAA</v>
      </c>
      <c r="E766" s="13" t="str">
        <f>LRVs!BG593</f>
        <v>Virus</v>
      </c>
      <c r="F766" s="13" t="str">
        <f>IF(LRVs!BH593="","",LRVs!BH593)</f>
        <v>MS2</v>
      </c>
      <c r="G766">
        <f>IF(LRVs!BL593="","",LRVs!BL593)</f>
        <v>1.96</v>
      </c>
    </row>
    <row r="767" spans="2:7" x14ac:dyDescent="0.3">
      <c r="B767">
        <v>939</v>
      </c>
      <c r="C767" s="13" t="str">
        <f>_xlfn.XLOOKUP(B767,LRV[id],LRV[source])</f>
        <v>Beck et al., 2013</v>
      </c>
      <c r="D767" s="13" t="str">
        <f>LRVs!C594</f>
        <v>UV + PAA</v>
      </c>
      <c r="E767" s="13" t="str">
        <f>LRVs!BG594</f>
        <v>Virus</v>
      </c>
      <c r="F767" s="13" t="str">
        <f>IF(LRVs!BH594="","",LRVs!BH594)</f>
        <v>MS2</v>
      </c>
      <c r="G767">
        <f>IF(LRVs!BL594="","",LRVs!BL594)</f>
        <v>1.81</v>
      </c>
    </row>
    <row r="768" spans="2:7" x14ac:dyDescent="0.3">
      <c r="B768">
        <v>940</v>
      </c>
      <c r="C768" s="13" t="str">
        <f>_xlfn.XLOOKUP(B768,LRV[id],LRV[source])</f>
        <v>Beck et al., 2013</v>
      </c>
      <c r="D768" s="13" t="str">
        <f>LRVs!C595</f>
        <v>UV + PAA</v>
      </c>
      <c r="E768" s="13" t="str">
        <f>LRVs!BG595</f>
        <v>Virus</v>
      </c>
      <c r="F768" s="13" t="str">
        <f>IF(LRVs!BH595="","",LRVs!BH595)</f>
        <v>MS2</v>
      </c>
      <c r="G768">
        <f>IF(LRVs!BL595="","",LRVs!BL595)</f>
        <v>2.37</v>
      </c>
    </row>
    <row r="769" spans="2:7" x14ac:dyDescent="0.3">
      <c r="B769">
        <v>941</v>
      </c>
      <c r="C769" s="13" t="str">
        <f>_xlfn.XLOOKUP(B769,LRV[id],LRV[source])</f>
        <v>Beck et al., 2013</v>
      </c>
      <c r="D769" s="13" t="str">
        <f>LRVs!C596</f>
        <v>UV + PAA</v>
      </c>
      <c r="E769" s="13" t="str">
        <f>LRVs!BG596</f>
        <v>Virus</v>
      </c>
      <c r="F769" s="13" t="str">
        <f>IF(LRVs!BH596="","",LRVs!BH596)</f>
        <v>MS2</v>
      </c>
      <c r="G769">
        <f>IF(LRVs!BL596="","",LRVs!BL596)</f>
        <v>2.58</v>
      </c>
    </row>
    <row r="770" spans="2:7" x14ac:dyDescent="0.3">
      <c r="B770">
        <v>942</v>
      </c>
      <c r="C770" s="13" t="str">
        <f>_xlfn.XLOOKUP(B770,LRV[id],LRV[source])</f>
        <v>Beck et al., 2013</v>
      </c>
      <c r="D770" s="13" t="str">
        <f>LRVs!C597</f>
        <v>UV + H2O2</v>
      </c>
      <c r="E770" s="13" t="str">
        <f>LRVs!BG597</f>
        <v>Bacteria</v>
      </c>
      <c r="F770" s="13" t="str">
        <f>IF(LRVs!BH597="","",LRVs!BH597)</f>
        <v>Enterococcus faecalis</v>
      </c>
      <c r="G770">
        <f>IF(LRVs!BL597="","",LRVs!BL597)</f>
        <v>0.43</v>
      </c>
    </row>
    <row r="771" spans="2:7" x14ac:dyDescent="0.3">
      <c r="B771">
        <v>943</v>
      </c>
      <c r="C771" s="13" t="str">
        <f>_xlfn.XLOOKUP(B771,LRV[id],LRV[source])</f>
        <v>Beck et al., 2013</v>
      </c>
      <c r="D771" s="13" t="str">
        <f>LRVs!C598</f>
        <v>UV + H2O2</v>
      </c>
      <c r="E771" s="13" t="str">
        <f>LRVs!BG598</f>
        <v>Bacteria</v>
      </c>
      <c r="F771" s="13" t="str">
        <f>IF(LRVs!BH598="","",LRVs!BH598)</f>
        <v>Enterococcus faecalis</v>
      </c>
      <c r="G771">
        <f>IF(LRVs!BL598="","",LRVs!BL598)</f>
        <v>0.39</v>
      </c>
    </row>
    <row r="772" spans="2:7" x14ac:dyDescent="0.3">
      <c r="B772">
        <v>944</v>
      </c>
      <c r="C772" s="13" t="str">
        <f>_xlfn.XLOOKUP(B772,LRV[id],LRV[source])</f>
        <v>Beck et al., 2013</v>
      </c>
      <c r="D772" s="13" t="str">
        <f>LRVs!C599</f>
        <v>UV + H2O2</v>
      </c>
      <c r="E772" s="13" t="str">
        <f>LRVs!BG599</f>
        <v>Bacteria</v>
      </c>
      <c r="F772" s="13" t="str">
        <f>IF(LRVs!BH599="","",LRVs!BH599)</f>
        <v>Enterococcus faecalis</v>
      </c>
      <c r="G772">
        <f>IF(LRVs!BL599="","",LRVs!BL599)</f>
        <v>0.35</v>
      </c>
    </row>
    <row r="773" spans="2:7" x14ac:dyDescent="0.3">
      <c r="B773">
        <v>945</v>
      </c>
      <c r="C773" s="13" t="str">
        <f>_xlfn.XLOOKUP(B773,LRV[id],LRV[source])</f>
        <v>Beck et al., 2013</v>
      </c>
      <c r="D773" s="13" t="str">
        <f>LRVs!C600</f>
        <v>UV + H2O2</v>
      </c>
      <c r="E773" s="13" t="str">
        <f>LRVs!BG600</f>
        <v>Bacteria</v>
      </c>
      <c r="F773" s="13" t="str">
        <f>IF(LRVs!BH600="","",LRVs!BH600)</f>
        <v>Enterococcus faecalis</v>
      </c>
      <c r="G773">
        <f>IF(LRVs!BL600="","",LRVs!BL600)</f>
        <v>1</v>
      </c>
    </row>
    <row r="774" spans="2:7" x14ac:dyDescent="0.3">
      <c r="B774">
        <v>946</v>
      </c>
      <c r="C774" s="13" t="str">
        <f>_xlfn.XLOOKUP(B774,LRV[id],LRV[source])</f>
        <v>Beck et al., 2013</v>
      </c>
      <c r="D774" s="13" t="str">
        <f>LRVs!C601</f>
        <v>UV + H2O2</v>
      </c>
      <c r="E774" s="13" t="str">
        <f>LRVs!BG601</f>
        <v>Bacteria</v>
      </c>
      <c r="F774" s="13" t="str">
        <f>IF(LRVs!BH601="","",LRVs!BH601)</f>
        <v>Enterococcus faecalis</v>
      </c>
      <c r="G774">
        <f>IF(LRVs!BL601="","",LRVs!BL601)</f>
        <v>1.1200000000000001</v>
      </c>
    </row>
    <row r="775" spans="2:7" x14ac:dyDescent="0.3">
      <c r="B775">
        <v>947</v>
      </c>
      <c r="C775" s="13" t="str">
        <f>_xlfn.XLOOKUP(B775,LRV[id],LRV[source])</f>
        <v>Beck et al., 2013</v>
      </c>
      <c r="D775" s="13" t="str">
        <f>LRVs!C602</f>
        <v>UV + H2O2</v>
      </c>
      <c r="E775" s="13" t="str">
        <f>LRVs!BG602</f>
        <v>Bacteria</v>
      </c>
      <c r="F775" s="13" t="str">
        <f>IF(LRVs!BH602="","",LRVs!BH602)</f>
        <v>Enterococcus faecalis</v>
      </c>
      <c r="G775">
        <f>IF(LRVs!BL602="","",LRVs!BL602)</f>
        <v>1.18</v>
      </c>
    </row>
    <row r="776" spans="2:7" x14ac:dyDescent="0.3">
      <c r="B776">
        <v>948</v>
      </c>
      <c r="C776" s="13" t="str">
        <f>_xlfn.XLOOKUP(B776,LRV[id],LRV[source])</f>
        <v>Beck et al., 2013</v>
      </c>
      <c r="D776" s="13" t="str">
        <f>LRVs!C603</f>
        <v>UV + H2O2</v>
      </c>
      <c r="E776" s="13" t="str">
        <f>LRVs!BG603</f>
        <v>Virus</v>
      </c>
      <c r="F776" s="13" t="str">
        <f>IF(LRVs!BH603="","",LRVs!BH603)</f>
        <v>MS2</v>
      </c>
      <c r="G776">
        <f>IF(LRVs!BL603="","",LRVs!BL603)</f>
        <v>0.91</v>
      </c>
    </row>
    <row r="777" spans="2:7" x14ac:dyDescent="0.3">
      <c r="B777">
        <v>949</v>
      </c>
      <c r="C777" s="13" t="str">
        <f>_xlfn.XLOOKUP(B777,LRV[id],LRV[source])</f>
        <v>Beck et al., 2013</v>
      </c>
      <c r="D777" s="13" t="str">
        <f>LRVs!C604</f>
        <v>UV + H2O2</v>
      </c>
      <c r="E777" s="13" t="str">
        <f>LRVs!BG604</f>
        <v>Virus</v>
      </c>
      <c r="F777" s="13" t="str">
        <f>IF(LRVs!BH604="","",LRVs!BH604)</f>
        <v>MS2</v>
      </c>
      <c r="G777">
        <f>IF(LRVs!BL604="","",LRVs!BL604)</f>
        <v>0.87</v>
      </c>
    </row>
    <row r="778" spans="2:7" x14ac:dyDescent="0.3">
      <c r="B778">
        <v>950</v>
      </c>
      <c r="C778" s="13" t="str">
        <f>_xlfn.XLOOKUP(B778,LRV[id],LRV[source])</f>
        <v>Beck et al., 2013</v>
      </c>
      <c r="D778" s="13" t="str">
        <f>LRVs!C605</f>
        <v>UV + H2O2</v>
      </c>
      <c r="E778" s="13" t="str">
        <f>LRVs!BG605</f>
        <v>Virus</v>
      </c>
      <c r="F778" s="13" t="str">
        <f>IF(LRVs!BH605="","",LRVs!BH605)</f>
        <v>MS2</v>
      </c>
      <c r="G778">
        <f>IF(LRVs!BL605="","",LRVs!BL605)</f>
        <v>1.1599999999999999</v>
      </c>
    </row>
    <row r="779" spans="2:7" x14ac:dyDescent="0.3">
      <c r="B779">
        <v>951</v>
      </c>
      <c r="C779" s="13" t="str">
        <f>_xlfn.XLOOKUP(B779,LRV[id],LRV[source])</f>
        <v>Beck et al., 2013</v>
      </c>
      <c r="D779" s="13" t="str">
        <f>LRVs!C606</f>
        <v>UV + H2O2</v>
      </c>
      <c r="E779" s="13" t="str">
        <f>LRVs!BG606</f>
        <v>Virus</v>
      </c>
      <c r="F779" s="13" t="str">
        <f>IF(LRVs!BH606="","",LRVs!BH606)</f>
        <v>MS2</v>
      </c>
      <c r="G779">
        <f>IF(LRVs!BL606="","",LRVs!BL606)</f>
        <v>1.43</v>
      </c>
    </row>
    <row r="780" spans="2:7" x14ac:dyDescent="0.3">
      <c r="B780">
        <v>952</v>
      </c>
      <c r="C780" s="13" t="str">
        <f>_xlfn.XLOOKUP(B780,LRV[id],LRV[source])</f>
        <v>Beck et al., 2013</v>
      </c>
      <c r="D780" s="13" t="str">
        <f>LRVs!C607</f>
        <v>UV + H2O2</v>
      </c>
      <c r="E780" s="13" t="str">
        <f>LRVs!BG607</f>
        <v>Virus</v>
      </c>
      <c r="F780" s="13" t="str">
        <f>IF(LRVs!BH607="","",LRVs!BH607)</f>
        <v>MS2</v>
      </c>
      <c r="G780">
        <f>IF(LRVs!BL607="","",LRVs!BL607)</f>
        <v>1.51</v>
      </c>
    </row>
    <row r="781" spans="2:7" x14ac:dyDescent="0.3">
      <c r="B781">
        <v>953</v>
      </c>
      <c r="C781" s="13" t="str">
        <f>_xlfn.XLOOKUP(B781,LRV[id],LRV[source])</f>
        <v>Beck et al., 2013</v>
      </c>
      <c r="D781" s="13" t="str">
        <f>LRVs!C608</f>
        <v>UV + H2O2</v>
      </c>
      <c r="E781" s="13" t="str">
        <f>LRVs!BG608</f>
        <v>Virus</v>
      </c>
      <c r="F781" s="13" t="str">
        <f>IF(LRVs!BH608="","",LRVs!BH608)</f>
        <v>MS2</v>
      </c>
      <c r="G781">
        <f>IF(LRVs!BL608="","",LRVs!BL608)</f>
        <v>1.74</v>
      </c>
    </row>
    <row r="782" spans="2:7" x14ac:dyDescent="0.3">
      <c r="B782">
        <v>954</v>
      </c>
      <c r="C782" s="13" t="str">
        <f>_xlfn.XLOOKUP(B782,LRV[id],LRV[source])</f>
        <v>Beck et al., 2013</v>
      </c>
      <c r="D782" s="13" t="str">
        <f>LRVs!C609</f>
        <v>Chlorine</v>
      </c>
      <c r="E782" s="13" t="str">
        <f>LRVs!BG609</f>
        <v>Bacteria</v>
      </c>
      <c r="F782" s="13" t="str">
        <f>IF(LRVs!BH609="","",LRVs!BH609)</f>
        <v>Enterococcus faecalis</v>
      </c>
      <c r="G782">
        <f>IF(LRVs!BL609="","",LRVs!BL609)</f>
        <v>2.69</v>
      </c>
    </row>
    <row r="783" spans="2:7" x14ac:dyDescent="0.3">
      <c r="B783">
        <v>955</v>
      </c>
      <c r="C783" s="13" t="str">
        <f>_xlfn.XLOOKUP(B783,LRV[id],LRV[source])</f>
        <v>Beck et al., 2013</v>
      </c>
      <c r="D783" s="13" t="str">
        <f>LRVs!C610</f>
        <v>Chlorine</v>
      </c>
      <c r="E783" s="13" t="str">
        <f>LRVs!BG610</f>
        <v>Bacteria</v>
      </c>
      <c r="F783" s="13" t="str">
        <f>IF(LRVs!BH610="","",LRVs!BH610)</f>
        <v>Escherichia coli</v>
      </c>
      <c r="G783">
        <f>IF(LRVs!BL610="","",LRVs!BL610)</f>
        <v>0.28000000000000003</v>
      </c>
    </row>
    <row r="784" spans="2:7" x14ac:dyDescent="0.3">
      <c r="B784">
        <v>956</v>
      </c>
      <c r="C784" s="13" t="str">
        <f>_xlfn.XLOOKUP(B784,LRV[id],LRV[source])</f>
        <v>Beck et al., 2013</v>
      </c>
      <c r="D784" s="13" t="str">
        <f>LRVs!C611</f>
        <v>Chlorine</v>
      </c>
      <c r="E784" s="13" t="str">
        <f>LRVs!BG611</f>
        <v>Bacteria</v>
      </c>
      <c r="F784" s="13" t="str">
        <f>IF(LRVs!BH611="","",LRVs!BH611)</f>
        <v>Salmonella enteritidis</v>
      </c>
      <c r="G784">
        <f>IF(LRVs!BL611="","",LRVs!BL611)</f>
        <v>0.44</v>
      </c>
    </row>
    <row r="785" spans="2:7" x14ac:dyDescent="0.3">
      <c r="B785">
        <v>957</v>
      </c>
      <c r="C785" s="13" t="str">
        <f>_xlfn.XLOOKUP(B785,LRV[id],LRV[source])</f>
        <v>Beck et al., 2013</v>
      </c>
      <c r="D785" s="13" t="str">
        <f>LRVs!C612</f>
        <v>Chlorine</v>
      </c>
      <c r="E785" s="13" t="str">
        <f>LRVs!BG612</f>
        <v>Virus</v>
      </c>
      <c r="F785" s="13" t="str">
        <f>IF(LRVs!BH612="","",LRVs!BH612)</f>
        <v>MS2</v>
      </c>
      <c r="G785">
        <f>IF(LRVs!BL612="","",LRVs!BL612)</f>
        <v>1.03</v>
      </c>
    </row>
    <row r="786" spans="2:7" x14ac:dyDescent="0.3">
      <c r="B786">
        <v>958</v>
      </c>
      <c r="C786" s="13" t="str">
        <f>_xlfn.XLOOKUP(B786,LRV[id],LRV[source])</f>
        <v>Beck et al., 2013</v>
      </c>
      <c r="D786" s="13" t="str">
        <f>LRVs!C613</f>
        <v>UV</v>
      </c>
      <c r="E786" s="13" t="str">
        <f>LRVs!BG613</f>
        <v>Bacteria</v>
      </c>
      <c r="F786" s="13" t="str">
        <f>IF(LRVs!BH613="","",LRVs!BH613)</f>
        <v>Enterococcus faecalis</v>
      </c>
      <c r="G786">
        <f>IF(LRVs!BL613="","",LRVs!BL613)</f>
        <v>0.61</v>
      </c>
    </row>
    <row r="787" spans="2:7" x14ac:dyDescent="0.3">
      <c r="B787">
        <v>959</v>
      </c>
      <c r="C787" s="13" t="str">
        <f>_xlfn.XLOOKUP(B787,LRV[id],LRV[source])</f>
        <v>Beck et al., 2013</v>
      </c>
      <c r="D787" s="13" t="str">
        <f>LRVs!C614</f>
        <v>UV</v>
      </c>
      <c r="E787" s="13" t="str">
        <f>LRVs!BG614</f>
        <v>Bacteria</v>
      </c>
      <c r="F787" s="13" t="str">
        <f>IF(LRVs!BH614="","",LRVs!BH614)</f>
        <v>Enterococcus faecalis</v>
      </c>
      <c r="G787">
        <f>IF(LRVs!BL614="","",LRVs!BL614)</f>
        <v>1.2</v>
      </c>
    </row>
    <row r="788" spans="2:7" x14ac:dyDescent="0.3">
      <c r="B788">
        <v>960</v>
      </c>
      <c r="C788" s="13" t="str">
        <f>_xlfn.XLOOKUP(B788,LRV[id],LRV[source])</f>
        <v>Beck et al., 2013</v>
      </c>
      <c r="D788" s="13" t="str">
        <f>LRVs!C615</f>
        <v>UV</v>
      </c>
      <c r="E788" s="13" t="str">
        <f>LRVs!BG615</f>
        <v>Bacteria</v>
      </c>
      <c r="F788" s="13" t="str">
        <f>IF(LRVs!BH615="","",LRVs!BH615)</f>
        <v>Escherichia coli</v>
      </c>
      <c r="G788">
        <f>IF(LRVs!BL615="","",LRVs!BL615)</f>
        <v>0.55000000000000004</v>
      </c>
    </row>
    <row r="789" spans="2:7" x14ac:dyDescent="0.3">
      <c r="B789">
        <v>961</v>
      </c>
      <c r="C789" s="13" t="str">
        <f>_xlfn.XLOOKUP(B789,LRV[id],LRV[source])</f>
        <v>Beck et al., 2013</v>
      </c>
      <c r="D789" s="13" t="str">
        <f>LRVs!C616</f>
        <v>UV</v>
      </c>
      <c r="E789" s="13" t="str">
        <f>LRVs!BG616</f>
        <v>Bacteria</v>
      </c>
      <c r="F789" s="13" t="str">
        <f>IF(LRVs!BH616="","",LRVs!BH616)</f>
        <v>Escherichia coli</v>
      </c>
      <c r="G789">
        <f>IF(LRVs!BL616="","",LRVs!BL616)</f>
        <v>1.44</v>
      </c>
    </row>
    <row r="790" spans="2:7" x14ac:dyDescent="0.3">
      <c r="B790">
        <v>962</v>
      </c>
      <c r="C790" s="13" t="str">
        <f>_xlfn.XLOOKUP(B790,LRV[id],LRV[source])</f>
        <v>Beck et al., 2013</v>
      </c>
      <c r="D790" s="13" t="str">
        <f>LRVs!C617</f>
        <v>UV</v>
      </c>
      <c r="E790" s="13" t="str">
        <f>LRVs!BG617</f>
        <v>Bacteria</v>
      </c>
      <c r="F790" s="13" t="str">
        <f>IF(LRVs!BH617="","",LRVs!BH617)</f>
        <v>Salmonella enteritidis</v>
      </c>
      <c r="G790">
        <f>IF(LRVs!BL617="","",LRVs!BL617)</f>
        <v>0.87</v>
      </c>
    </row>
    <row r="791" spans="2:7" x14ac:dyDescent="0.3">
      <c r="B791">
        <v>963</v>
      </c>
      <c r="C791" s="13" t="str">
        <f>_xlfn.XLOOKUP(B791,LRV[id],LRV[source])</f>
        <v>Beck et al., 2013</v>
      </c>
      <c r="D791" s="13" t="str">
        <f>LRVs!C618</f>
        <v>UV</v>
      </c>
      <c r="E791" s="13" t="str">
        <f>LRVs!BG618</f>
        <v>Bacteria</v>
      </c>
      <c r="F791" s="13" t="str">
        <f>IF(LRVs!BH618="","",LRVs!BH618)</f>
        <v>Salmonella enteritidis</v>
      </c>
      <c r="G791">
        <f>IF(LRVs!BL618="","",LRVs!BL618)</f>
        <v>2.61</v>
      </c>
    </row>
    <row r="792" spans="2:7" x14ac:dyDescent="0.3">
      <c r="B792">
        <v>964</v>
      </c>
      <c r="C792" s="13" t="str">
        <f>_xlfn.XLOOKUP(B792,LRV[id],LRV[source])</f>
        <v>Beck et al., 2013</v>
      </c>
      <c r="D792" s="13" t="str">
        <f>LRVs!C619</f>
        <v>UV</v>
      </c>
      <c r="E792" s="13" t="str">
        <f>LRVs!BG619</f>
        <v>Virus</v>
      </c>
      <c r="F792" s="13" t="str">
        <f>IF(LRVs!BH619="","",LRVs!BH619)</f>
        <v>MS2</v>
      </c>
      <c r="G792">
        <f>IF(LRVs!BL619="","",LRVs!BL619)</f>
        <v>0.79</v>
      </c>
    </row>
    <row r="793" spans="2:7" x14ac:dyDescent="0.3">
      <c r="B793">
        <v>965</v>
      </c>
      <c r="C793" s="13" t="str">
        <f>_xlfn.XLOOKUP(B793,LRV[id],LRV[source])</f>
        <v>Beck et al., 2013</v>
      </c>
      <c r="D793" s="13" t="str">
        <f>LRVs!C620</f>
        <v>UV</v>
      </c>
      <c r="E793" s="13" t="str">
        <f>LRVs!BG620</f>
        <v>Virus</v>
      </c>
      <c r="F793" s="13" t="str">
        <f>IF(LRVs!BH620="","",LRVs!BH620)</f>
        <v>MS2</v>
      </c>
      <c r="G793">
        <f>IF(LRVs!BL620="","",LRVs!BL620)</f>
        <v>1.4</v>
      </c>
    </row>
    <row r="794" spans="2:7" x14ac:dyDescent="0.3">
      <c r="B794">
        <v>966</v>
      </c>
      <c r="C794" s="13" t="str">
        <f>_xlfn.XLOOKUP(B794,LRV[id],LRV[source])</f>
        <v>Beck et al., 2013</v>
      </c>
      <c r="D794" s="13" t="str">
        <f>LRVs!C621</f>
        <v>Membrane bioreactor</v>
      </c>
      <c r="E794" s="13" t="str">
        <f>LRVs!BG621</f>
        <v>Virus</v>
      </c>
      <c r="F794" s="13" t="str">
        <f>IF(LRVs!BH621="","",LRVs!BH621)</f>
        <v>Adenovirus-A</v>
      </c>
      <c r="G794">
        <f>IF(LRVs!BL621="","",LRVs!BL621)</f>
        <v>3</v>
      </c>
    </row>
    <row r="795" spans="2:7" x14ac:dyDescent="0.3">
      <c r="B795">
        <v>967</v>
      </c>
      <c r="C795" s="13" t="str">
        <f>_xlfn.XLOOKUP(B795,LRV[id],LRV[source])</f>
        <v>Beck et al., 2013</v>
      </c>
      <c r="D795" s="13" t="str">
        <f>LRVs!C622</f>
        <v>Membrane bioreactor</v>
      </c>
      <c r="E795" s="13" t="str">
        <f>LRVs!BG622</f>
        <v>Virus</v>
      </c>
      <c r="F795" s="13" t="str">
        <f>IF(LRVs!BH622="","",LRVs!BH622)</f>
        <v>Adenovirus-C</v>
      </c>
      <c r="G795">
        <f>IF(LRVs!BL622="","",LRVs!BL622)</f>
        <v>4.9000000000000004</v>
      </c>
    </row>
    <row r="796" spans="2:7" x14ac:dyDescent="0.3">
      <c r="B796">
        <v>968</v>
      </c>
      <c r="C796" s="13" t="str">
        <f>_xlfn.XLOOKUP(B796,LRV[id],LRV[source])</f>
        <v>Beck et al., 2013</v>
      </c>
      <c r="D796" s="13" t="str">
        <f>LRVs!C623</f>
        <v>Membrane bioreactor</v>
      </c>
      <c r="E796" s="13" t="str">
        <f>LRVs!BG623</f>
        <v>Virus</v>
      </c>
      <c r="F796" s="13" t="str">
        <f>IF(LRVs!BH623="","",LRVs!BH623)</f>
        <v>Adenovirus-F</v>
      </c>
      <c r="G796">
        <f>IF(LRVs!BL623="","",LRVs!BL623)</f>
        <v>7.9</v>
      </c>
    </row>
    <row r="797" spans="2:7" x14ac:dyDescent="0.3">
      <c r="B797">
        <v>969</v>
      </c>
      <c r="C797" s="13" t="str">
        <f>_xlfn.XLOOKUP(B797,LRV[id],LRV[source])</f>
        <v>Beck et al., 2013</v>
      </c>
      <c r="D797" s="13" t="str">
        <f>LRVs!C624</f>
        <v>Membrane bioreactor</v>
      </c>
      <c r="E797" s="13" t="str">
        <f>LRVs!BG624</f>
        <v>Virus</v>
      </c>
      <c r="F797" s="13" t="str">
        <f>IF(LRVs!BH624="","",LRVs!BH624)</f>
        <v>Adenovirus-A</v>
      </c>
      <c r="G797">
        <f>IF(LRVs!BL624="","",LRVs!BL624)</f>
        <v>4</v>
      </c>
    </row>
    <row r="798" spans="2:7" x14ac:dyDescent="0.3">
      <c r="B798">
        <v>970</v>
      </c>
      <c r="C798" s="13" t="str">
        <f>_xlfn.XLOOKUP(B798,LRV[id],LRV[source])</f>
        <v>Beck et al., 2013</v>
      </c>
      <c r="D798" s="13" t="str">
        <f>LRVs!C625</f>
        <v>Membrane bioreactor</v>
      </c>
      <c r="E798" s="13" t="str">
        <f>LRVs!BG625</f>
        <v>Virus</v>
      </c>
      <c r="F798" s="13" t="str">
        <f>IF(LRVs!BH625="","",LRVs!BH625)</f>
        <v>Adenovirus-C</v>
      </c>
      <c r="G798">
        <f>IF(LRVs!BL625="","",LRVs!BL625)</f>
        <v>3.5</v>
      </c>
    </row>
    <row r="799" spans="2:7" x14ac:dyDescent="0.3">
      <c r="B799">
        <v>971</v>
      </c>
      <c r="C799" s="13" t="str">
        <f>_xlfn.XLOOKUP(B799,LRV[id],LRV[source])</f>
        <v>Beck et al., 2013</v>
      </c>
      <c r="D799" s="13" t="str">
        <f>LRVs!C626</f>
        <v>Membrane bioreactor</v>
      </c>
      <c r="E799" s="13" t="str">
        <f>LRVs!BG626</f>
        <v>Virus</v>
      </c>
      <c r="F799" s="13" t="str">
        <f>IF(LRVs!BH626="","",LRVs!BH626)</f>
        <v>Adenovirus-F</v>
      </c>
      <c r="G799">
        <f>IF(LRVs!BL626="","",LRVs!BL626)</f>
        <v>8.1</v>
      </c>
    </row>
    <row r="800" spans="2:7" x14ac:dyDescent="0.3">
      <c r="B800">
        <v>972</v>
      </c>
      <c r="C800" s="13" t="str">
        <f>_xlfn.XLOOKUP(B800,LRV[id],LRV[source])</f>
        <v>Beck et al., 2013</v>
      </c>
      <c r="D800" s="13" t="str">
        <f>LRVs!C627</f>
        <v>Membrane bioreactor</v>
      </c>
      <c r="E800" s="13" t="str">
        <f>LRVs!BG627</f>
        <v>Virus</v>
      </c>
      <c r="F800" s="13" t="str">
        <f>IF(LRVs!BH627="","",LRVs!BH627)</f>
        <v>Adenovirus-A</v>
      </c>
      <c r="G800">
        <f>IF(LRVs!BL627="","",LRVs!BL627)</f>
        <v>3.2</v>
      </c>
    </row>
    <row r="801" spans="2:7" x14ac:dyDescent="0.3">
      <c r="B801">
        <v>973</v>
      </c>
      <c r="C801" s="13" t="str">
        <f>_xlfn.XLOOKUP(B801,LRV[id],LRV[source])</f>
        <v>Beck et al., 2013</v>
      </c>
      <c r="D801" s="13" t="str">
        <f>LRVs!C628</f>
        <v>Membrane bioreactor</v>
      </c>
      <c r="E801" s="13" t="str">
        <f>LRVs!BG628</f>
        <v>Virus</v>
      </c>
      <c r="F801" s="13" t="str">
        <f>IF(LRVs!BH628="","",LRVs!BH628)</f>
        <v>Adenovirus-C</v>
      </c>
      <c r="G801">
        <f>IF(LRVs!BL628="","",LRVs!BL628)</f>
        <v>4.5999999999999996</v>
      </c>
    </row>
    <row r="802" spans="2:7" x14ac:dyDescent="0.3">
      <c r="B802">
        <v>974</v>
      </c>
      <c r="C802" s="13" t="str">
        <f>_xlfn.XLOOKUP(B802,LRV[id],LRV[source])</f>
        <v>Beck et al., 2013</v>
      </c>
      <c r="D802" s="13" t="str">
        <f>LRVs!C629</f>
        <v>Membrane bioreactor</v>
      </c>
      <c r="E802" s="13" t="str">
        <f>LRVs!BG629</f>
        <v>Virus</v>
      </c>
      <c r="F802" s="13" t="str">
        <f>IF(LRVs!BH629="","",LRVs!BH629)</f>
        <v>Adenovirus-F</v>
      </c>
      <c r="G802">
        <f>IF(LRVs!BL629="","",LRVs!BL629)</f>
        <v>4.8</v>
      </c>
    </row>
    <row r="803" spans="2:7" x14ac:dyDescent="0.3">
      <c r="B803">
        <v>975</v>
      </c>
      <c r="C803" s="13" t="str">
        <f>_xlfn.XLOOKUP(B803,LRV[id],LRV[source])</f>
        <v>Beck et al., 2013</v>
      </c>
      <c r="D803" s="13" t="str">
        <f>LRVs!C630</f>
        <v>Membrane bioreactor</v>
      </c>
      <c r="E803" s="13" t="str">
        <f>LRVs!BG630</f>
        <v>Virus</v>
      </c>
      <c r="F803" s="13" t="str">
        <f>IF(LRVs!BH630="","",LRVs!BH630)</f>
        <v>Adenovirus-A</v>
      </c>
      <c r="G803">
        <f>IF(LRVs!BL630="","",LRVs!BL630)</f>
        <v>5.5</v>
      </c>
    </row>
    <row r="804" spans="2:7" x14ac:dyDescent="0.3">
      <c r="B804">
        <v>976</v>
      </c>
      <c r="C804" s="13" t="str">
        <f>_xlfn.XLOOKUP(B804,LRV[id],LRV[source])</f>
        <v>Beck et al., 2013</v>
      </c>
      <c r="D804" s="13" t="str">
        <f>LRVs!C631</f>
        <v>Membrane bioreactor</v>
      </c>
      <c r="E804" s="13" t="str">
        <f>LRVs!BG631</f>
        <v>Virus</v>
      </c>
      <c r="F804" s="13" t="str">
        <f>IF(LRVs!BH631="","",LRVs!BH631)</f>
        <v>Adenovirus-C</v>
      </c>
      <c r="G804">
        <f>IF(LRVs!BL631="","",LRVs!BL631)</f>
        <v>4.4000000000000004</v>
      </c>
    </row>
    <row r="805" spans="2:7" x14ac:dyDescent="0.3">
      <c r="B805">
        <v>977</v>
      </c>
      <c r="C805" s="13" t="str">
        <f>_xlfn.XLOOKUP(B805,LRV[id],LRV[source])</f>
        <v>Beck et al., 2013</v>
      </c>
      <c r="D805" s="13" t="str">
        <f>LRVs!C632</f>
        <v>Membrane bioreactor</v>
      </c>
      <c r="E805" s="13" t="str">
        <f>LRVs!BG632</f>
        <v>Virus</v>
      </c>
      <c r="F805" s="13" t="str">
        <f>IF(LRVs!BH632="","",LRVs!BH632)</f>
        <v>Adenovirus-F</v>
      </c>
      <c r="G805">
        <f>IF(LRVs!BL632="","",LRVs!BL632)</f>
        <v>7.7</v>
      </c>
    </row>
    <row r="806" spans="2:7" x14ac:dyDescent="0.3">
      <c r="B806">
        <v>978</v>
      </c>
      <c r="C806" s="13" t="str">
        <f>_xlfn.XLOOKUP(B806,LRV[id],LRV[source])</f>
        <v>Beck et al., 2013</v>
      </c>
      <c r="D806" s="13" t="str">
        <f>LRVs!C633</f>
        <v>Membrane bioreactor</v>
      </c>
      <c r="E806" s="13" t="str">
        <f>LRVs!BG633</f>
        <v>Virus</v>
      </c>
      <c r="F806" s="13" t="str">
        <f>IF(LRVs!BH633="","",LRVs!BH633)</f>
        <v>Adenovirus-A</v>
      </c>
      <c r="G806">
        <f>IF(LRVs!BL633="","",LRVs!BL633)</f>
        <v>3.3</v>
      </c>
    </row>
    <row r="807" spans="2:7" x14ac:dyDescent="0.3">
      <c r="B807">
        <v>979</v>
      </c>
      <c r="C807" s="13" t="str">
        <f>_xlfn.XLOOKUP(B807,LRV[id],LRV[source])</f>
        <v>Beck et al., 2013</v>
      </c>
      <c r="D807" s="13" t="str">
        <f>LRVs!C634</f>
        <v>Membrane bioreactor</v>
      </c>
      <c r="E807" s="13" t="str">
        <f>LRVs!BG634</f>
        <v>Virus</v>
      </c>
      <c r="F807" s="13" t="str">
        <f>IF(LRVs!BH634="","",LRVs!BH634)</f>
        <v>Adenovirus-C</v>
      </c>
      <c r="G807">
        <f>IF(LRVs!BL634="","",LRVs!BL634)</f>
        <v>5.5</v>
      </c>
    </row>
    <row r="808" spans="2:7" x14ac:dyDescent="0.3">
      <c r="B808">
        <v>980</v>
      </c>
      <c r="C808" s="13" t="str">
        <f>_xlfn.XLOOKUP(B808,LRV[id],LRV[source])</f>
        <v>Beck et al., 2013</v>
      </c>
      <c r="D808" s="13" t="str">
        <f>LRVs!C635</f>
        <v>Membrane bioreactor</v>
      </c>
      <c r="E808" s="13" t="str">
        <f>LRVs!BG635</f>
        <v>Virus</v>
      </c>
      <c r="F808" s="13" t="str">
        <f>IF(LRVs!BH635="","",LRVs!BH635)</f>
        <v>Adenovirus-F</v>
      </c>
      <c r="G808">
        <f>IF(LRVs!BL635="","",LRVs!BL635)</f>
        <v>6.7</v>
      </c>
    </row>
    <row r="809" spans="2:7" x14ac:dyDescent="0.3">
      <c r="B809">
        <v>981</v>
      </c>
      <c r="C809" s="13" t="str">
        <f>_xlfn.XLOOKUP(B809,LRV[id],LRV[source])</f>
        <v>Beck et al., 2013</v>
      </c>
      <c r="D809" s="13" t="str">
        <f>LRVs!C636</f>
        <v>Membrane bioreactor</v>
      </c>
      <c r="E809" s="13" t="str">
        <f>LRVs!BG636</f>
        <v>Virus</v>
      </c>
      <c r="F809" s="13" t="str">
        <f>IF(LRVs!BH636="","",LRVs!BH636)</f>
        <v>Adenovirus-A</v>
      </c>
      <c r="G809">
        <f>IF(LRVs!BL636="","",LRVs!BL636)</f>
        <v>4.8</v>
      </c>
    </row>
    <row r="810" spans="2:7" x14ac:dyDescent="0.3">
      <c r="B810">
        <v>982</v>
      </c>
      <c r="C810" s="13" t="str">
        <f>_xlfn.XLOOKUP(B810,LRV[id],LRV[source])</f>
        <v>Beck et al., 2013</v>
      </c>
      <c r="D810" s="13" t="str">
        <f>LRVs!C637</f>
        <v>Membrane bioreactor</v>
      </c>
      <c r="E810" s="13" t="str">
        <f>LRVs!BG637</f>
        <v>Virus</v>
      </c>
      <c r="F810" s="13" t="str">
        <f>IF(LRVs!BH637="","",LRVs!BH637)</f>
        <v>Adenovirus-C</v>
      </c>
      <c r="G810">
        <f>IF(LRVs!BL637="","",LRVs!BL637)</f>
        <v>4.9000000000000004</v>
      </c>
    </row>
    <row r="811" spans="2:7" x14ac:dyDescent="0.3">
      <c r="B811">
        <v>983</v>
      </c>
      <c r="C811" s="13" t="str">
        <f>_xlfn.XLOOKUP(B811,LRV[id],LRV[source])</f>
        <v>Beck et al., 2013</v>
      </c>
      <c r="D811" s="13" t="str">
        <f>LRVs!C638</f>
        <v>Membrane bioreactor</v>
      </c>
      <c r="E811" s="13" t="str">
        <f>LRVs!BG638</f>
        <v>Virus</v>
      </c>
      <c r="F811" s="13" t="str">
        <f>IF(LRVs!BH638="","",LRVs!BH638)</f>
        <v>Adenovirus-F</v>
      </c>
      <c r="G811">
        <f>IF(LRVs!BL638="","",LRVs!BL638)</f>
        <v>6.8</v>
      </c>
    </row>
    <row r="812" spans="2:7" x14ac:dyDescent="0.3">
      <c r="B812">
        <v>984</v>
      </c>
      <c r="C812" s="13" t="str">
        <f>_xlfn.XLOOKUP(B812,LRV[id],LRV[source])</f>
        <v>Beck et al., 2013</v>
      </c>
      <c r="D812" s="13" t="e">
        <f>LRVs!#REF!</f>
        <v>#REF!</v>
      </c>
      <c r="E812" s="13" t="e">
        <f>LRVs!#REF!</f>
        <v>#REF!</v>
      </c>
      <c r="F812" s="13" t="e">
        <f>IF(LRVs!#REF!="","",LRVs!#REF!)</f>
        <v>#REF!</v>
      </c>
      <c r="G812" t="e">
        <f>IF(LRVs!#REF!="","",LRVs!#REF!)</f>
        <v>#REF!</v>
      </c>
    </row>
    <row r="813" spans="2:7" x14ac:dyDescent="0.3">
      <c r="B813">
        <v>985</v>
      </c>
      <c r="C813" s="13" t="str">
        <f>_xlfn.XLOOKUP(B813,LRV[id],LRV[source])</f>
        <v>Beck et al., 2013</v>
      </c>
      <c r="D813" s="13" t="str">
        <f>LRVs!C639</f>
        <v>Membrane bioreactor</v>
      </c>
      <c r="E813" s="13" t="str">
        <f>LRVs!BG639</f>
        <v>Virus</v>
      </c>
      <c r="F813" s="13" t="str">
        <f>IF(LRVs!BH639="","",LRVs!BH639)</f>
        <v>Adenovirus-C</v>
      </c>
      <c r="G813">
        <f>IF(LRVs!BL639="","",LRVs!BL639)</f>
        <v>5</v>
      </c>
    </row>
    <row r="814" spans="2:7" x14ac:dyDescent="0.3">
      <c r="B814">
        <v>986</v>
      </c>
      <c r="C814" s="13" t="str">
        <f>_xlfn.XLOOKUP(B814,LRV[id],LRV[source])</f>
        <v>Beck et al., 2013</v>
      </c>
      <c r="D814" s="13" t="str">
        <f>LRVs!C640</f>
        <v>Membrane bioreactor</v>
      </c>
      <c r="E814" s="13" t="str">
        <f>LRVs!BG640</f>
        <v>Virus</v>
      </c>
      <c r="F814" s="13" t="str">
        <f>IF(LRVs!BH640="","",LRVs!BH640)</f>
        <v>Adenovirus-F</v>
      </c>
      <c r="G814">
        <f>IF(LRVs!BL640="","",LRVs!BL640)</f>
        <v>4.8</v>
      </c>
    </row>
    <row r="815" spans="2:7" x14ac:dyDescent="0.3">
      <c r="B815">
        <v>987</v>
      </c>
      <c r="C815" s="13" t="str">
        <f>_xlfn.XLOOKUP(B815,LRV[id],LRV[source])</f>
        <v>Beck et al., 2013</v>
      </c>
      <c r="D815" s="13" t="str">
        <f>LRVs!C641</f>
        <v>Membrane bioreactor</v>
      </c>
      <c r="E815" s="13" t="str">
        <f>LRVs!BG641</f>
        <v>Virus</v>
      </c>
      <c r="F815" s="13" t="str">
        <f>IF(LRVs!BH641="","",LRVs!BH641)</f>
        <v>Adenovirus-A</v>
      </c>
      <c r="G815">
        <f>IF(LRVs!BL641="","",LRVs!BL641)</f>
        <v>4.7</v>
      </c>
    </row>
    <row r="816" spans="2:7" x14ac:dyDescent="0.3">
      <c r="B816">
        <v>988</v>
      </c>
      <c r="C816" s="13" t="str">
        <f>_xlfn.XLOOKUP(B816,LRV[id],LRV[source])</f>
        <v>Beck et al., 2013</v>
      </c>
      <c r="D816" s="13" t="str">
        <f>LRVs!C642</f>
        <v>Membrane bioreactor</v>
      </c>
      <c r="E816" s="13" t="str">
        <f>LRVs!BG642</f>
        <v>Virus</v>
      </c>
      <c r="F816" s="13" t="str">
        <f>IF(LRVs!BH642="","",LRVs!BH642)</f>
        <v>Adenovirus-C</v>
      </c>
      <c r="G816">
        <f>IF(LRVs!BL642="","",LRVs!BL642)</f>
        <v>4.5</v>
      </c>
    </row>
    <row r="817" spans="2:7" x14ac:dyDescent="0.3">
      <c r="B817">
        <v>989</v>
      </c>
      <c r="C817" s="13" t="str">
        <f>_xlfn.XLOOKUP(B817,LRV[id],LRV[source])</f>
        <v>Beck et al., 2013</v>
      </c>
      <c r="D817" s="13" t="str">
        <f>LRVs!C643</f>
        <v>Membrane bioreactor</v>
      </c>
      <c r="E817" s="13" t="str">
        <f>LRVs!BG643</f>
        <v>Virus</v>
      </c>
      <c r="F817" s="13" t="str">
        <f>IF(LRVs!BH643="","",LRVs!BH643)</f>
        <v>Adenovirus-F</v>
      </c>
      <c r="G817">
        <f>IF(LRVs!BL643="","",LRVs!BL643)</f>
        <v>5.6</v>
      </c>
    </row>
    <row r="818" spans="2:7" x14ac:dyDescent="0.3">
      <c r="B818">
        <v>990</v>
      </c>
      <c r="C818" s="13" t="str">
        <f>_xlfn.XLOOKUP(B818,LRV[id],LRV[source])</f>
        <v>El Hamouri et al., 2008</v>
      </c>
      <c r="D818" s="13" t="str">
        <f>LRVs!C644</f>
        <v>Membrane bioreactor</v>
      </c>
      <c r="E818" s="13" t="str">
        <f>LRVs!BG644</f>
        <v>Virus</v>
      </c>
      <c r="F818" s="13" t="str">
        <f>IF(LRVs!BH644="","",LRVs!BH644)</f>
        <v>Coliphage</v>
      </c>
      <c r="G818">
        <f>IF(LRVs!BL644="","",LRVs!BL644)</f>
        <v>2.2799999999999998</v>
      </c>
    </row>
    <row r="819" spans="2:7" x14ac:dyDescent="0.3">
      <c r="B819">
        <v>991</v>
      </c>
      <c r="C819" s="13" t="str">
        <f>_xlfn.XLOOKUP(B819,LRV[id],LRV[source])</f>
        <v>Ekeren et al., 2016</v>
      </c>
      <c r="D819" s="13" t="str">
        <f>LRVs!C645</f>
        <v>Membrane bioreactor</v>
      </c>
      <c r="E819" s="13" t="str">
        <f>LRVs!BG645</f>
        <v>Bacteria</v>
      </c>
      <c r="F819" s="13" t="str">
        <f>IF(LRVs!BH645="","",LRVs!BH645)</f>
        <v>Fecal coliform</v>
      </c>
      <c r="G819">
        <f>IF(LRVs!BL645="","",LRVs!BL645)</f>
        <v>6.86</v>
      </c>
    </row>
    <row r="820" spans="2:7" x14ac:dyDescent="0.3">
      <c r="B820">
        <v>992</v>
      </c>
      <c r="C820" s="13" t="str">
        <f>_xlfn.XLOOKUP(B820,LRV[id],LRV[source])</f>
        <v>Ekeren et al., 2016</v>
      </c>
      <c r="D820" s="13" t="str">
        <f>LRVs!C646</f>
        <v>Membrane bioreactor</v>
      </c>
      <c r="E820" s="13" t="str">
        <f>LRVs!BG646</f>
        <v>Bacteria</v>
      </c>
      <c r="F820" s="13" t="str">
        <f>IF(LRVs!BH646="","",LRVs!BH646)</f>
        <v>Fecal streptococci</v>
      </c>
      <c r="G820">
        <f>IF(LRVs!BL646="","",LRVs!BL646)</f>
        <v>5.83</v>
      </c>
    </row>
    <row r="821" spans="2:7" x14ac:dyDescent="0.3">
      <c r="B821">
        <v>993</v>
      </c>
      <c r="C821" s="13" t="str">
        <f>_xlfn.XLOOKUP(B821,LRV[id],LRV[source])</f>
        <v>Ekeren et al., 2016</v>
      </c>
      <c r="D821" s="13" t="str">
        <f>LRVs!C647</f>
        <v>Membrane bioreactor</v>
      </c>
      <c r="E821" s="13" t="str">
        <f>LRVs!BG647</f>
        <v>Virus</v>
      </c>
      <c r="F821" s="13" t="str">
        <f>IF(LRVs!BH647="","",LRVs!BH647)</f>
        <v>Coliphage</v>
      </c>
      <c r="G821">
        <f>IF(LRVs!BL647="","",LRVs!BL647)</f>
        <v>5.88</v>
      </c>
    </row>
    <row r="822" spans="2:7" x14ac:dyDescent="0.3">
      <c r="B822">
        <v>994</v>
      </c>
      <c r="C822" s="13" t="str">
        <f>_xlfn.XLOOKUP(B822,LRV[id],LRV[source])</f>
        <v>Ekeren et al., 2016</v>
      </c>
      <c r="D822" s="13" t="str">
        <f>LRVs!C648</f>
        <v>Activated sludge</v>
      </c>
      <c r="E822" s="13" t="str">
        <f>LRVs!BG648</f>
        <v>Virus</v>
      </c>
      <c r="F822" s="13" t="str">
        <f>IF(LRVs!BH648="","",LRVs!BH648)</f>
        <v>Coliphage</v>
      </c>
      <c r="G822">
        <f>IF(LRVs!BL648="","",LRVs!BL648)</f>
        <v>0.91</v>
      </c>
    </row>
    <row r="823" spans="2:7" x14ac:dyDescent="0.3">
      <c r="B823">
        <v>995</v>
      </c>
      <c r="C823" s="13" t="str">
        <f>_xlfn.XLOOKUP(B823,LRV[id],LRV[source])</f>
        <v>Ekeren et al., 2016</v>
      </c>
      <c r="D823" s="13" t="str">
        <f>LRVs!C649</f>
        <v>Activated sludge</v>
      </c>
      <c r="E823" s="13" t="str">
        <f>LRVs!BG649</f>
        <v>Bacteria</v>
      </c>
      <c r="F823" s="13" t="str">
        <f>IF(LRVs!BH649="","",LRVs!BH649)</f>
        <v>Fecal coliform</v>
      </c>
      <c r="G823">
        <f>IF(LRVs!BL649="","",LRVs!BL649)</f>
        <v>1.76</v>
      </c>
    </row>
    <row r="824" spans="2:7" x14ac:dyDescent="0.3">
      <c r="B824">
        <v>996</v>
      </c>
      <c r="C824" s="13" t="str">
        <f>_xlfn.XLOOKUP(B824,LRV[id],LRV[source])</f>
        <v>Ekeren et al., 2016</v>
      </c>
      <c r="D824" s="13" t="str">
        <f>LRVs!C650</f>
        <v>Activated sludge</v>
      </c>
      <c r="E824" s="13" t="str">
        <f>LRVs!BG650</f>
        <v>Bacteria</v>
      </c>
      <c r="F824" s="13" t="str">
        <f>IF(LRVs!BH650="","",LRVs!BH650)</f>
        <v>Fecal streptococci</v>
      </c>
      <c r="G824">
        <f>IF(LRVs!BL650="","",LRVs!BL650)</f>
        <v>1.22</v>
      </c>
    </row>
    <row r="825" spans="2:7" x14ac:dyDescent="0.3">
      <c r="B825">
        <v>997</v>
      </c>
      <c r="C825" s="13" t="str">
        <f>_xlfn.XLOOKUP(B825,LRV[id],LRV[source])</f>
        <v>Ekeren et al., 2016</v>
      </c>
      <c r="D825" s="13" t="str">
        <f>LRVs!C651</f>
        <v>Trickling filter</v>
      </c>
      <c r="E825" s="13" t="str">
        <f>LRVs!BG651</f>
        <v>Virus</v>
      </c>
      <c r="F825" s="13" t="str">
        <f>IF(LRVs!BH651="","",LRVs!BH651)</f>
        <v>Coliphage</v>
      </c>
      <c r="G825">
        <f>IF(LRVs!BL651="","",LRVs!BL651)</f>
        <v>0.32</v>
      </c>
    </row>
    <row r="826" spans="2:7" x14ac:dyDescent="0.3">
      <c r="B826">
        <v>998</v>
      </c>
      <c r="C826" s="13" t="str">
        <f>_xlfn.XLOOKUP(B826,LRV[id],LRV[source])</f>
        <v>Ekeren et al., 2016</v>
      </c>
      <c r="D826" s="13" t="str">
        <f>LRVs!C652</f>
        <v>Trickling filter</v>
      </c>
      <c r="E826" s="13" t="str">
        <f>LRVs!BG652</f>
        <v>Bacteria</v>
      </c>
      <c r="F826" s="13" t="str">
        <f>IF(LRVs!BH652="","",LRVs!BH652)</f>
        <v>Fecal coliform</v>
      </c>
      <c r="G826">
        <f>IF(LRVs!BL652="","",LRVs!BL652)</f>
        <v>0.64</v>
      </c>
    </row>
    <row r="827" spans="2:7" x14ac:dyDescent="0.3">
      <c r="B827">
        <v>999</v>
      </c>
      <c r="C827" s="13" t="str">
        <f>_xlfn.XLOOKUP(B827,LRV[id],LRV[source])</f>
        <v>Frieder et al., 2011</v>
      </c>
      <c r="D827" s="13" t="str">
        <f>LRVs!C653</f>
        <v>Trickling filter</v>
      </c>
      <c r="E827" s="13" t="str">
        <f>LRVs!BG653</f>
        <v>Bacteria</v>
      </c>
      <c r="F827" s="13" t="str">
        <f>IF(LRVs!BH653="","",LRVs!BH653)</f>
        <v>Fecal streptococci</v>
      </c>
      <c r="G827">
        <f>IF(LRVs!BL653="","",LRVs!BL653)</f>
        <v>0.56000000000000005</v>
      </c>
    </row>
    <row r="828" spans="2:7" x14ac:dyDescent="0.3">
      <c r="B828">
        <v>1000</v>
      </c>
      <c r="C828" s="13" t="str">
        <f>_xlfn.XLOOKUP(B828,LRV[id],LRV[source])</f>
        <v>Frieder et al., 2011</v>
      </c>
      <c r="D828" s="13" t="str">
        <f>LRVs!C654</f>
        <v>Ultrafiltration</v>
      </c>
      <c r="E828" s="13" t="str">
        <f>LRVs!BG654</f>
        <v>Virus</v>
      </c>
      <c r="F828" s="13" t="str">
        <f>IF(LRVs!BH654="","",LRVs!BH654)</f>
        <v>MS2</v>
      </c>
      <c r="G828">
        <f>IF(LRVs!BL654="","",LRVs!BL654)</f>
        <v>0.82286086308682838</v>
      </c>
    </row>
    <row r="829" spans="2:7" x14ac:dyDescent="0.3">
      <c r="B829">
        <v>1001</v>
      </c>
      <c r="C829" s="13" t="str">
        <f>_xlfn.XLOOKUP(B829,LRV[id],LRV[source])</f>
        <v>Frieder et al., 2011</v>
      </c>
      <c r="D829" s="13" t="str">
        <f>LRVs!C655</f>
        <v>Nanofiltration</v>
      </c>
      <c r="E829" s="13" t="str">
        <f>LRVs!BG655</f>
        <v>Virus</v>
      </c>
      <c r="F829" s="13" t="str">
        <f>IF(LRVs!BH655="","",LRVs!BH655)</f>
        <v>MS2</v>
      </c>
      <c r="G829">
        <f>IF(LRVs!BL655="","",LRVs!BL655)</f>
        <v>2.4262110378118389</v>
      </c>
    </row>
    <row r="830" spans="2:7" x14ac:dyDescent="0.3">
      <c r="B830">
        <v>1002</v>
      </c>
      <c r="C830" s="13" t="str">
        <f>_xlfn.XLOOKUP(B830,LRV[id],LRV[source])</f>
        <v>Frieder et al., 2011</v>
      </c>
      <c r="D830" s="13" t="str">
        <f>LRVs!C656</f>
        <v>Reverse Osmosis</v>
      </c>
      <c r="E830" s="13" t="str">
        <f>LRVs!BG656</f>
        <v>Virus</v>
      </c>
      <c r="F830" s="13" t="str">
        <f>IF(LRVs!BH656="","",LRVs!BH656)</f>
        <v>MS2</v>
      </c>
      <c r="G830">
        <f>IF(LRVs!BL656="","",LRVs!BL656)</f>
        <v>3.9354796403996302</v>
      </c>
    </row>
    <row r="831" spans="2:7" x14ac:dyDescent="0.3">
      <c r="B831">
        <v>1003</v>
      </c>
      <c r="C831" s="13" t="str">
        <f>_xlfn.XLOOKUP(B831,LRV[id],LRV[source])</f>
        <v>Frieder et al., 2011</v>
      </c>
      <c r="D831" s="13" t="str">
        <f>LRVs!C657</f>
        <v>Activated sludge</v>
      </c>
      <c r="E831" s="13" t="str">
        <f>LRVs!BG657</f>
        <v>Virus</v>
      </c>
      <c r="F831" s="13" t="str">
        <f>IF(LRVs!BH657="","",LRVs!BH657)</f>
        <v>Enterovirus</v>
      </c>
      <c r="G831">
        <f>IF(LRVs!BL657="","",LRVs!BL657)</f>
        <v>1.67</v>
      </c>
    </row>
    <row r="832" spans="2:7" x14ac:dyDescent="0.3">
      <c r="B832">
        <v>1004</v>
      </c>
      <c r="C832" s="13" t="str">
        <f>_xlfn.XLOOKUP(B832,LRV[id],LRV[source])</f>
        <v>Frieder et al., 2011</v>
      </c>
      <c r="D832" s="13" t="str">
        <f>LRVs!C658</f>
        <v>Membrane bioreactor</v>
      </c>
      <c r="E832" s="13" t="str">
        <f>LRVs!BG658</f>
        <v>Virus</v>
      </c>
      <c r="F832" s="13" t="str">
        <f>IF(LRVs!BH658="","",LRVs!BH658)</f>
        <v>Enterovirus</v>
      </c>
      <c r="G832">
        <f>IF(LRVs!BL658="","",LRVs!BL658)</f>
        <v>1.79</v>
      </c>
    </row>
    <row r="833" spans="2:7" x14ac:dyDescent="0.3">
      <c r="B833">
        <v>1005</v>
      </c>
      <c r="C833" s="13" t="str">
        <f>_xlfn.XLOOKUP(B833,LRV[id],LRV[source])</f>
        <v>Frieder et al., 2011</v>
      </c>
      <c r="D833" s="13" t="str">
        <f>LRVs!C659</f>
        <v>Upflow anaerobic sludge blanket</v>
      </c>
      <c r="E833" s="13" t="str">
        <f>LRVs!BG659</f>
        <v>Virus</v>
      </c>
      <c r="F833" s="13" t="str">
        <f>IF(LRVs!BH659="","",LRVs!BH659)</f>
        <v>Enterovirus</v>
      </c>
      <c r="G833">
        <f>IF(LRVs!BL659="","",LRVs!BL659)</f>
        <v>0.45</v>
      </c>
    </row>
    <row r="834" spans="2:7" x14ac:dyDescent="0.3">
      <c r="B834">
        <v>1006</v>
      </c>
      <c r="C834" s="13" t="str">
        <f>_xlfn.XLOOKUP(B834,LRV[id],LRV[source])</f>
        <v>Frieder et al., 2011</v>
      </c>
      <c r="D834" s="13" t="str">
        <f>LRVs!C660</f>
        <v>Activated sludge</v>
      </c>
      <c r="E834" s="13" t="str">
        <f>LRVs!BG660</f>
        <v>Virus</v>
      </c>
      <c r="F834" s="13" t="str">
        <f>IF(LRVs!BH660="","",LRVs!BH660)</f>
        <v>Norovirus</v>
      </c>
      <c r="G834">
        <f>IF(LRVs!BL660="","",LRVs!BL660)</f>
        <v>0.95</v>
      </c>
    </row>
    <row r="835" spans="2:7" x14ac:dyDescent="0.3">
      <c r="B835">
        <v>1007</v>
      </c>
      <c r="C835" s="13" t="str">
        <f>_xlfn.XLOOKUP(B835,LRV[id],LRV[source])</f>
        <v>Frieder et al., 2011</v>
      </c>
      <c r="D835" s="13" t="str">
        <f>LRVs!C661</f>
        <v>Membrane bioreactor</v>
      </c>
      <c r="E835" s="13" t="str">
        <f>LRVs!BG661</f>
        <v>Virus</v>
      </c>
      <c r="F835" s="13" t="str">
        <f>IF(LRVs!BH661="","",LRVs!BH661)</f>
        <v>Norovirus</v>
      </c>
      <c r="G835">
        <f>IF(LRVs!BL661="","",LRVs!BL661)</f>
        <v>1.1399999999999999</v>
      </c>
    </row>
    <row r="836" spans="2:7" x14ac:dyDescent="0.3">
      <c r="B836">
        <v>1008</v>
      </c>
      <c r="C836" s="13" t="str">
        <f>_xlfn.XLOOKUP(B836,LRV[id],LRV[source])</f>
        <v>Frieder et al., 2011</v>
      </c>
      <c r="D836" s="13" t="str">
        <f>LRVs!C662</f>
        <v>Upflow anaerobic sludge blanket</v>
      </c>
      <c r="E836" s="13" t="str">
        <f>LRVs!BG662</f>
        <v>Virus</v>
      </c>
      <c r="F836" s="13" t="str">
        <f>IF(LRVs!BH662="","",LRVs!BH662)</f>
        <v>Norovirus</v>
      </c>
      <c r="G836">
        <f>IF(LRVs!BL662="","",LRVs!BL662)</f>
        <v>0</v>
      </c>
    </row>
    <row r="837" spans="2:7" x14ac:dyDescent="0.3">
      <c r="B837">
        <v>1009</v>
      </c>
      <c r="C837" s="13" t="str">
        <f>_xlfn.XLOOKUP(B837,LRV[id],LRV[source])</f>
        <v>Frieder et al., 2011</v>
      </c>
      <c r="D837" s="13" t="str">
        <f>LRVs!C663</f>
        <v>Activated sludge</v>
      </c>
      <c r="E837" s="13" t="str">
        <f>LRVs!BG663</f>
        <v>Protozoa</v>
      </c>
      <c r="F837" s="13" t="str">
        <f>IF(LRVs!BH663="","",LRVs!BH663)</f>
        <v>Giardia</v>
      </c>
      <c r="G837">
        <f>IF(LRVs!BL663="","",LRVs!BL663)</f>
        <v>3.52</v>
      </c>
    </row>
    <row r="838" spans="2:7" x14ac:dyDescent="0.3">
      <c r="B838">
        <v>1010</v>
      </c>
      <c r="C838" s="13" t="str">
        <f>_xlfn.XLOOKUP(B838,LRV[id],LRV[source])</f>
        <v>Frieder et al., 2011</v>
      </c>
      <c r="D838" s="13" t="str">
        <f>LRVs!C664</f>
        <v>Membrane bioreactor</v>
      </c>
      <c r="E838" s="13" t="str">
        <f>LRVs!BG664</f>
        <v>Protozoa</v>
      </c>
      <c r="F838" s="13" t="str">
        <f>IF(LRVs!BH664="","",LRVs!BH664)</f>
        <v>Giardia</v>
      </c>
      <c r="G838">
        <f>IF(LRVs!BL664="","",LRVs!BL664)</f>
        <v>3.87</v>
      </c>
    </row>
    <row r="839" spans="2:7" x14ac:dyDescent="0.3">
      <c r="B839">
        <v>1011</v>
      </c>
      <c r="C839" s="13" t="str">
        <f>_xlfn.XLOOKUP(B839,LRV[id],LRV[source])</f>
        <v>Frieder et al., 2011</v>
      </c>
      <c r="D839" s="13" t="e">
        <f>LRVs!#REF!</f>
        <v>#REF!</v>
      </c>
      <c r="E839" s="13" t="e">
        <f>LRVs!#REF!</f>
        <v>#REF!</v>
      </c>
      <c r="F839" s="13" t="e">
        <f>IF(LRVs!#REF!="","",LRVs!#REF!)</f>
        <v>#REF!</v>
      </c>
      <c r="G839" t="e">
        <f>IF(LRVs!#REF!="","",LRVs!#REF!)</f>
        <v>#REF!</v>
      </c>
    </row>
    <row r="840" spans="2:7" x14ac:dyDescent="0.3">
      <c r="B840">
        <v>1012</v>
      </c>
      <c r="C840" s="13" t="str">
        <f>_xlfn.XLOOKUP(B840,LRV[id],LRV[source])</f>
        <v>Frieder et al., 2011</v>
      </c>
      <c r="D840" s="13" t="str">
        <f>LRVs!C665</f>
        <v>Activated sludge</v>
      </c>
      <c r="E840" s="13" t="str">
        <f>LRVs!BG665</f>
        <v>Protozoa</v>
      </c>
      <c r="F840" s="13" t="str">
        <f>IF(LRVs!BH665="","",LRVs!BH665)</f>
        <v>Cryptosporidium</v>
      </c>
      <c r="G840">
        <f>IF(LRVs!BL665="","",LRVs!BL665)</f>
        <v>1.58</v>
      </c>
    </row>
    <row r="841" spans="2:7" x14ac:dyDescent="0.3">
      <c r="B841">
        <v>1013</v>
      </c>
      <c r="C841" s="13" t="str">
        <f>_xlfn.XLOOKUP(B841,LRV[id],LRV[source])</f>
        <v>Frieder et al., 2011</v>
      </c>
      <c r="D841" s="13" t="str">
        <f>LRVs!C666</f>
        <v>Membrane bioreactor</v>
      </c>
      <c r="E841" s="13" t="str">
        <f>LRVs!BG666</f>
        <v>Protozoa</v>
      </c>
      <c r="F841" s="13" t="str">
        <f>IF(LRVs!BH666="","",LRVs!BH666)</f>
        <v>Cryptosporidium</v>
      </c>
      <c r="G841">
        <f>IF(LRVs!BL666="","",LRVs!BL666)</f>
        <v>1.44</v>
      </c>
    </row>
    <row r="842" spans="2:7" x14ac:dyDescent="0.3">
      <c r="B842">
        <v>1014</v>
      </c>
      <c r="C842" s="13" t="str">
        <f>_xlfn.XLOOKUP(B842,LRV[id],LRV[source])</f>
        <v>Frieder et al., 2011</v>
      </c>
      <c r="D842" s="13" t="e">
        <f>LRVs!#REF!</f>
        <v>#REF!</v>
      </c>
      <c r="E842" s="13" t="e">
        <f>LRVs!#REF!</f>
        <v>#REF!</v>
      </c>
      <c r="F842" s="13" t="e">
        <f>IF(LRVs!#REF!="","",LRVs!#REF!)</f>
        <v>#REF!</v>
      </c>
      <c r="G842" t="e">
        <f>IF(LRVs!#REF!="","",LRVs!#REF!)</f>
        <v>#REF!</v>
      </c>
    </row>
    <row r="843" spans="2:7" x14ac:dyDescent="0.3">
      <c r="B843">
        <v>1015</v>
      </c>
      <c r="C843" s="13" t="str">
        <f>_xlfn.XLOOKUP(B843,LRV[id],LRV[source])</f>
        <v>Frieder et al., 2011</v>
      </c>
      <c r="D843" s="13" t="str">
        <f>LRVs!C667</f>
        <v>Activated sludge</v>
      </c>
      <c r="E843" s="13" t="str">
        <f>LRVs!BG667</f>
        <v>Bacteria</v>
      </c>
      <c r="F843" s="13" t="str">
        <f>IF(LRVs!BH667="","",LRVs!BH667)</f>
        <v>Escherichia coli</v>
      </c>
      <c r="G843">
        <f>IF(LRVs!BL667="","",LRVs!BL667)</f>
        <v>3.23</v>
      </c>
    </row>
    <row r="844" spans="2:7" x14ac:dyDescent="0.3">
      <c r="B844">
        <v>1016</v>
      </c>
      <c r="C844" s="13" t="str">
        <f>_xlfn.XLOOKUP(B844,LRV[id],LRV[source])</f>
        <v>Frieder et al., 2011</v>
      </c>
      <c r="D844" s="13" t="str">
        <f>LRVs!C668</f>
        <v>Membrane bioreactor</v>
      </c>
      <c r="E844" s="13" t="str">
        <f>LRVs!BG668</f>
        <v>Bacteria</v>
      </c>
      <c r="F844" s="13" t="str">
        <f>IF(LRVs!BH668="","",LRVs!BH668)</f>
        <v>Escherichia coli</v>
      </c>
      <c r="G844">
        <f>IF(LRVs!BL668="","",LRVs!BL668)</f>
        <v>4.97</v>
      </c>
    </row>
    <row r="845" spans="2:7" x14ac:dyDescent="0.3">
      <c r="B845">
        <v>1017</v>
      </c>
      <c r="C845" s="13" t="str">
        <f>_xlfn.XLOOKUP(B845,LRV[id],LRV[source])</f>
        <v>Friedler and Gilboa, 2010</v>
      </c>
      <c r="D845" s="13" t="str">
        <f>LRVs!C669</f>
        <v>Upflow anaerobic sludge blanket</v>
      </c>
      <c r="E845" s="13" t="str">
        <f>LRVs!BG669</f>
        <v>Bacteria</v>
      </c>
      <c r="F845" s="13" t="str">
        <f>IF(LRVs!BH669="","",LRVs!BH669)</f>
        <v>Escherichia coli</v>
      </c>
      <c r="G845">
        <f>IF(LRVs!BL669="","",LRVs!BL669)</f>
        <v>1.94</v>
      </c>
    </row>
    <row r="846" spans="2:7" x14ac:dyDescent="0.3">
      <c r="B846">
        <v>1018</v>
      </c>
      <c r="C846" s="13" t="str">
        <f>_xlfn.XLOOKUP(B846,LRV[id],LRV[source])</f>
        <v>Friedler and Gilboa, 2010</v>
      </c>
      <c r="D846" s="13" t="str">
        <f>LRVs!C670</f>
        <v>Activated sludge</v>
      </c>
      <c r="E846" s="13" t="str">
        <f>LRVs!BG670</f>
        <v>Bacteria</v>
      </c>
      <c r="F846" s="13" t="str">
        <f>IF(LRVs!BH670="","",LRVs!BH670)</f>
        <v>Enterococci</v>
      </c>
      <c r="G846">
        <f>IF(LRVs!BL670="","",LRVs!BL670)</f>
        <v>3.17</v>
      </c>
    </row>
    <row r="847" spans="2:7" x14ac:dyDescent="0.3">
      <c r="B847">
        <v>1019</v>
      </c>
      <c r="C847" s="13" t="str">
        <f>_xlfn.XLOOKUP(B847,LRV[id],LRV[source])</f>
        <v>Friedler and Gilboa, 2010</v>
      </c>
      <c r="D847" s="13" t="str">
        <f>LRVs!C671</f>
        <v>Membrane bioreactor</v>
      </c>
      <c r="E847" s="13" t="str">
        <f>LRVs!BG671</f>
        <v>Bacteria</v>
      </c>
      <c r="F847" s="13" t="str">
        <f>IF(LRVs!BH671="","",LRVs!BH671)</f>
        <v>Enterococci</v>
      </c>
      <c r="G847">
        <f>IF(LRVs!BL671="","",LRVs!BL671)</f>
        <v>4.5199999999999996</v>
      </c>
    </row>
    <row r="848" spans="2:7" x14ac:dyDescent="0.3">
      <c r="B848">
        <v>1020</v>
      </c>
      <c r="C848" s="13" t="str">
        <f>_xlfn.XLOOKUP(B848,LRV[id],LRV[source])</f>
        <v>Friedler and Gilboa, 2010</v>
      </c>
      <c r="D848" s="13" t="str">
        <f>LRVs!C672</f>
        <v>Upflow anaerobic sludge blanket</v>
      </c>
      <c r="E848" s="13" t="str">
        <f>LRVs!BG672</f>
        <v>Bacteria</v>
      </c>
      <c r="F848" s="13" t="str">
        <f>IF(LRVs!BH672="","",LRVs!BH672)</f>
        <v>Enterococci</v>
      </c>
      <c r="G848">
        <f>IF(LRVs!BL672="","",LRVs!BL672)</f>
        <v>1.75</v>
      </c>
    </row>
    <row r="849" spans="2:7" x14ac:dyDescent="0.3">
      <c r="B849">
        <v>1021</v>
      </c>
      <c r="C849" s="13" t="str">
        <f>_xlfn.XLOOKUP(B849,LRV[id],LRV[source])</f>
        <v>Winward et al., 2008c</v>
      </c>
      <c r="D849" s="13" t="str">
        <f>LRVs!C673</f>
        <v>Activated sludge</v>
      </c>
      <c r="E849" s="13" t="str">
        <f>LRVs!BG673</f>
        <v>Protozoa</v>
      </c>
      <c r="F849" s="13" t="str">
        <f>IF(LRVs!BH673="","",LRVs!BH673)</f>
        <v>Clostridium perfringens</v>
      </c>
      <c r="G849">
        <f>IF(LRVs!BL673="","",LRVs!BL673)</f>
        <v>2.38</v>
      </c>
    </row>
    <row r="850" spans="2:7" x14ac:dyDescent="0.3">
      <c r="B850">
        <v>1022</v>
      </c>
      <c r="C850" s="13" t="str">
        <f>_xlfn.XLOOKUP(B850,LRV[id],LRV[source])</f>
        <v>Winward et al., 2008c</v>
      </c>
      <c r="D850" s="13" t="str">
        <f>LRVs!C674</f>
        <v>Membrane bioreactor</v>
      </c>
      <c r="E850" s="13" t="str">
        <f>LRVs!BG674</f>
        <v>Protozoa</v>
      </c>
      <c r="F850" s="13" t="str">
        <f>IF(LRVs!BH674="","",LRVs!BH674)</f>
        <v>Clostridium perfringens</v>
      </c>
      <c r="G850">
        <f>IF(LRVs!BL674="","",LRVs!BL674)</f>
        <v>3.04</v>
      </c>
    </row>
    <row r="851" spans="2:7" x14ac:dyDescent="0.3">
      <c r="B851">
        <v>1023</v>
      </c>
      <c r="C851" s="13" t="str">
        <f>_xlfn.XLOOKUP(B851,LRV[id],LRV[source])</f>
        <v>Winward et al., 2008c</v>
      </c>
      <c r="D851" s="13" t="str">
        <f>LRVs!C675</f>
        <v>Upflow anaerobic sludge blanket</v>
      </c>
      <c r="E851" s="13" t="str">
        <f>LRVs!BG675</f>
        <v>Protozoa</v>
      </c>
      <c r="F851" s="13" t="str">
        <f>IF(LRVs!BH675="","",LRVs!BH675)</f>
        <v>Clostridium perfringens</v>
      </c>
      <c r="G851">
        <f>IF(LRVs!BL675="","",LRVs!BL675)</f>
        <v>0.66</v>
      </c>
    </row>
    <row r="852" spans="2:7" x14ac:dyDescent="0.3">
      <c r="B852">
        <v>1024</v>
      </c>
      <c r="C852" s="13" t="str">
        <f>_xlfn.XLOOKUP(B852,LRV[id],LRV[source])</f>
        <v>Winward et al., 2008c</v>
      </c>
      <c r="D852" s="13" t="str">
        <f>LRVs!C676</f>
        <v>Activated sludge</v>
      </c>
      <c r="E852" s="13" t="str">
        <f>LRVs!BG676</f>
        <v>Virus</v>
      </c>
      <c r="F852" s="13" t="str">
        <f>IF(LRVs!BH676="","",LRVs!BH676)</f>
        <v>Somatic coliphage</v>
      </c>
      <c r="G852">
        <f>IF(LRVs!BL676="","",LRVs!BL676)</f>
        <v>2.3199999999999998</v>
      </c>
    </row>
    <row r="853" spans="2:7" x14ac:dyDescent="0.3">
      <c r="B853">
        <v>1025</v>
      </c>
      <c r="C853" s="13" t="str">
        <f>_xlfn.XLOOKUP(B853,LRV[id],LRV[source])</f>
        <v>Winward et al., 2008c</v>
      </c>
      <c r="D853" s="13" t="str">
        <f>LRVs!C677</f>
        <v>Membrane bioreactor</v>
      </c>
      <c r="E853" s="13" t="str">
        <f>LRVs!BG677</f>
        <v>Virus</v>
      </c>
      <c r="F853" s="13" t="str">
        <f>IF(LRVs!BH677="","",LRVs!BH677)</f>
        <v>Somatic coliphage</v>
      </c>
      <c r="G853">
        <f>IF(LRVs!BL677="","",LRVs!BL677)</f>
        <v>3.08</v>
      </c>
    </row>
    <row r="854" spans="2:7" x14ac:dyDescent="0.3">
      <c r="B854">
        <v>1026</v>
      </c>
      <c r="C854" s="13" t="str">
        <f>_xlfn.XLOOKUP(B854,LRV[id],LRV[source])</f>
        <v>Winward et al., 2008c</v>
      </c>
      <c r="D854" s="13" t="str">
        <f>LRVs!C678</f>
        <v>Upflow anaerobic sludge blanket</v>
      </c>
      <c r="E854" s="13" t="str">
        <f>LRVs!BG678</f>
        <v>Virus</v>
      </c>
      <c r="F854" s="13" t="str">
        <f>IF(LRVs!BH678="","",LRVs!BH678)</f>
        <v>Somatic coliphage</v>
      </c>
      <c r="G854">
        <f>IF(LRVs!BL678="","",LRVs!BL678)</f>
        <v>0.76</v>
      </c>
    </row>
    <row r="855" spans="2:7" x14ac:dyDescent="0.3">
      <c r="B855">
        <v>1027</v>
      </c>
      <c r="C855" s="13" t="str">
        <f>_xlfn.XLOOKUP(B855,LRV[id],LRV[source])</f>
        <v>Winward et al., 2008c</v>
      </c>
      <c r="D855" s="13" t="str">
        <f>LRVs!C679</f>
        <v>Activated sludge</v>
      </c>
      <c r="E855" s="13" t="str">
        <f>LRVs!BG679</f>
        <v>Virus</v>
      </c>
      <c r="F855" s="13" t="str">
        <f>IF(LRVs!BH679="","",LRVs!BH679)</f>
        <v>F-specific coliphage</v>
      </c>
      <c r="G855">
        <f>IF(LRVs!BL679="","",LRVs!BL679)</f>
        <v>3.47</v>
      </c>
    </row>
    <row r="856" spans="2:7" x14ac:dyDescent="0.3">
      <c r="B856">
        <v>1028</v>
      </c>
      <c r="C856" s="13" t="str">
        <f>_xlfn.XLOOKUP(B856,LRV[id],LRV[source])</f>
        <v>Winward et al., 2008c</v>
      </c>
      <c r="D856" s="13" t="str">
        <f>LRVs!C680</f>
        <v>Membrane bioreactor</v>
      </c>
      <c r="E856" s="13" t="str">
        <f>LRVs!BG680</f>
        <v>Virus</v>
      </c>
      <c r="F856" s="13" t="str">
        <f>IF(LRVs!BH680="","",LRVs!BH680)</f>
        <v>F-specific coliphage</v>
      </c>
      <c r="G856">
        <f>IF(LRVs!BL680="","",LRVs!BL680)</f>
        <v>3.78</v>
      </c>
    </row>
    <row r="857" spans="2:7" x14ac:dyDescent="0.3">
      <c r="B857">
        <v>1029</v>
      </c>
      <c r="C857" s="13" t="str">
        <f>_xlfn.XLOOKUP(B857,LRV[id],LRV[source])</f>
        <v>Winward et al., 2008c</v>
      </c>
      <c r="D857" s="13" t="str">
        <f>LRVs!C681</f>
        <v>Upflow anaerobic sludge blanket</v>
      </c>
      <c r="E857" s="13" t="str">
        <f>LRVs!BG681</f>
        <v>Virus</v>
      </c>
      <c r="F857" s="13" t="str">
        <f>IF(LRVs!BH681="","",LRVs!BH681)</f>
        <v>F-specific coliphage</v>
      </c>
      <c r="G857">
        <f>IF(LRVs!BL681="","",LRVs!BL681)</f>
        <v>2.38</v>
      </c>
    </row>
    <row r="858" spans="2:7" x14ac:dyDescent="0.3">
      <c r="B858">
        <v>1030</v>
      </c>
      <c r="C858" s="13" t="str">
        <f>_xlfn.XLOOKUP(B858,LRV[id],LRV[source])</f>
        <v>Winward et al., 2008c</v>
      </c>
      <c r="D858" s="13" t="str">
        <f>LRVs!C682</f>
        <v>Activated sludge</v>
      </c>
      <c r="E858" s="13" t="str">
        <f>LRVs!BG682</f>
        <v>Protozoa</v>
      </c>
      <c r="F858" s="13" t="str">
        <f>IF(LRVs!BH682="","",LRVs!BH682)</f>
        <v>Giardia</v>
      </c>
      <c r="G858">
        <f>IF(LRVs!BL682="","",LRVs!BL682)</f>
        <v>2.61</v>
      </c>
    </row>
    <row r="859" spans="2:7" x14ac:dyDescent="0.3">
      <c r="B859">
        <v>1031</v>
      </c>
      <c r="C859" s="13" t="str">
        <f>_xlfn.XLOOKUP(B859,LRV[id],LRV[source])</f>
        <v>Winward et al., 2008c</v>
      </c>
      <c r="D859" s="13" t="str">
        <f>LRVs!C683</f>
        <v>Activated sludge</v>
      </c>
      <c r="E859" s="13" t="str">
        <f>LRVs!BG683</f>
        <v>Bacteria</v>
      </c>
      <c r="F859" s="13" t="str">
        <f>IF(LRVs!BH683="","",LRVs!BH683)</f>
        <v>Escherichia coli</v>
      </c>
      <c r="G859">
        <f>IF(LRVs!BL683="","",LRVs!BL683)</f>
        <v>2.37</v>
      </c>
    </row>
    <row r="860" spans="2:7" x14ac:dyDescent="0.3">
      <c r="B860">
        <v>1032</v>
      </c>
      <c r="C860" s="13" t="str">
        <f>_xlfn.XLOOKUP(B860,LRV[id],LRV[source])</f>
        <v>Winward et al., 2008c</v>
      </c>
      <c r="D860" s="13" t="str">
        <f>LRVs!C684</f>
        <v>Activated sludge</v>
      </c>
      <c r="E860" s="13" t="str">
        <f>LRVs!BG684</f>
        <v>Bacteria</v>
      </c>
      <c r="F860" s="13" t="str">
        <f>IF(LRVs!BH684="","",LRVs!BH684)</f>
        <v>Enterococci</v>
      </c>
      <c r="G860">
        <f>IF(LRVs!BL684="","",LRVs!BL684)</f>
        <v>2.08</v>
      </c>
    </row>
    <row r="861" spans="2:7" x14ac:dyDescent="0.3">
      <c r="B861">
        <v>1033</v>
      </c>
      <c r="C861" s="13" t="str">
        <f>_xlfn.XLOOKUP(B861,LRV[id],LRV[source])</f>
        <v>Russo  et al. (2019)</v>
      </c>
      <c r="D861" s="13" t="str">
        <f>LRVs!C685</f>
        <v>Activated sludge</v>
      </c>
      <c r="E861" s="13" t="str">
        <f>LRVs!BG685</f>
        <v>Virus</v>
      </c>
      <c r="F861" s="13" t="str">
        <f>IF(LRVs!BH685="","",LRVs!BH685)</f>
        <v>F-specific coliphage</v>
      </c>
      <c r="G861">
        <f>IF(LRVs!BL685="","",LRVs!BL685)</f>
        <v>1.73</v>
      </c>
    </row>
    <row r="862" spans="2:7" x14ac:dyDescent="0.3">
      <c r="B862">
        <v>1034</v>
      </c>
      <c r="C862" s="13" t="str">
        <f>_xlfn.XLOOKUP(B862,LRV[id],LRV[source])</f>
        <v>Russo  et al. (2019)</v>
      </c>
      <c r="D862" s="13" t="str">
        <f>LRVs!C686</f>
        <v>Activated sludge</v>
      </c>
      <c r="E862" s="13" t="str">
        <f>LRVs!BG686</f>
        <v>Protozoa</v>
      </c>
      <c r="F862" s="13" t="str">
        <f>IF(LRVs!BH686="","",LRVs!BH686)</f>
        <v>Clostridium perfringens</v>
      </c>
      <c r="G862">
        <f>IF(LRVs!BL686="","",LRVs!BL686)</f>
        <v>1.52</v>
      </c>
    </row>
    <row r="863" spans="2:7" x14ac:dyDescent="0.3">
      <c r="B863">
        <v>1035</v>
      </c>
      <c r="C863" s="13" t="str">
        <f>_xlfn.XLOOKUP(B863,LRV[id],LRV[source])</f>
        <v>Russo  et al. (2019)</v>
      </c>
      <c r="D863" s="13" t="str">
        <f>LRVs!C687</f>
        <v>Activated sludge</v>
      </c>
      <c r="E863" s="13" t="str">
        <f>LRVs!BG687</f>
        <v>Virus</v>
      </c>
      <c r="F863" s="13" t="str">
        <f>IF(LRVs!BH687="","",LRVs!BH687)</f>
        <v>Enterovirus</v>
      </c>
      <c r="G863">
        <f>IF(LRVs!BL687="","",LRVs!BL687)</f>
        <v>1.28</v>
      </c>
    </row>
    <row r="864" spans="2:7" x14ac:dyDescent="0.3">
      <c r="B864">
        <v>1036</v>
      </c>
      <c r="C864" s="13" t="str">
        <f>_xlfn.XLOOKUP(B864,LRV[id],LRV[source])</f>
        <v>Russo  et al. (2019)</v>
      </c>
      <c r="D864" s="13" t="str">
        <f>LRVs!C688</f>
        <v>Activated sludge</v>
      </c>
      <c r="E864" s="13" t="str">
        <f>LRVs!BG688</f>
        <v>Protozoa</v>
      </c>
      <c r="F864" s="13" t="str">
        <f>IF(LRVs!BH688="","",LRVs!BH688)</f>
        <v>Cryptosporidium</v>
      </c>
      <c r="G864">
        <f>IF(LRVs!BL688="","",LRVs!BL688)</f>
        <v>1.18</v>
      </c>
    </row>
    <row r="865" spans="2:7" x14ac:dyDescent="0.3">
      <c r="B865">
        <v>1037</v>
      </c>
      <c r="C865" s="13" t="str">
        <f>_xlfn.XLOOKUP(B865,LRV[id],LRV[source])</f>
        <v>Russo  et al. (2019)</v>
      </c>
      <c r="D865" s="13" t="str">
        <f>LRVs!C689</f>
        <v>Activated sludge</v>
      </c>
      <c r="E865" s="13" t="str">
        <f>LRVs!BG689</f>
        <v>Virus</v>
      </c>
      <c r="F865" s="13" t="str">
        <f>IF(LRVs!BH689="","",LRVs!BH689)</f>
        <v>Somatic coliphage</v>
      </c>
      <c r="G865">
        <f>IF(LRVs!BL689="","",LRVs!BL689)</f>
        <v>1.04</v>
      </c>
    </row>
    <row r="866" spans="2:7" x14ac:dyDescent="0.3">
      <c r="B866">
        <v>1038</v>
      </c>
      <c r="C866" s="13" t="str">
        <f>_xlfn.XLOOKUP(B866,LRV[id],LRV[source])</f>
        <v>Russo  et al. (2019)</v>
      </c>
      <c r="D866" s="13" t="str">
        <f>LRVs!C690</f>
        <v>Activated sludge</v>
      </c>
      <c r="E866" s="13" t="str">
        <f>LRVs!BG690</f>
        <v>Virus</v>
      </c>
      <c r="F866" s="13" t="str">
        <f>IF(LRVs!BH690="","",LRVs!BH690)</f>
        <v>Norovirus</v>
      </c>
      <c r="G866">
        <f>IF(LRVs!BL690="","",LRVs!BL690)</f>
        <v>0.89</v>
      </c>
    </row>
    <row r="867" spans="2:7" x14ac:dyDescent="0.3">
      <c r="B867">
        <v>1039</v>
      </c>
      <c r="C867" s="13" t="str">
        <f>_xlfn.XLOOKUP(B867,LRV[id],LRV[source])</f>
        <v>Russo  et al. (2019)</v>
      </c>
      <c r="D867" s="13" t="str">
        <f>LRVs!C691</f>
        <v>Activated sludge</v>
      </c>
      <c r="E867" s="13" t="str">
        <f>LRVs!BG691</f>
        <v>Bacteria</v>
      </c>
      <c r="F867" s="13" t="str">
        <f>IF(LRVs!BH691="","",LRVs!BH691)</f>
        <v>Escherichia coli</v>
      </c>
      <c r="G867">
        <f>IF(LRVs!BL691="","",LRVs!BL691)</f>
        <v>2.38</v>
      </c>
    </row>
    <row r="868" spans="2:7" x14ac:dyDescent="0.3">
      <c r="B868">
        <v>1040</v>
      </c>
      <c r="C868" s="13" t="str">
        <f>_xlfn.XLOOKUP(B868,LRV[id],LRV[source])</f>
        <v>Russo  et al. (2019)</v>
      </c>
      <c r="D868" s="13" t="str">
        <f>LRVs!C692</f>
        <v>Activated sludge</v>
      </c>
      <c r="E868" s="13" t="str">
        <f>LRVs!BG692</f>
        <v>Bacteria</v>
      </c>
      <c r="F868" s="13" t="str">
        <f>IF(LRVs!BH692="","",LRVs!BH692)</f>
        <v>Escherichia coli</v>
      </c>
      <c r="G868">
        <f>IF(LRVs!BL692="","",LRVs!BL692)</f>
        <v>2.84</v>
      </c>
    </row>
    <row r="869" spans="2:7" x14ac:dyDescent="0.3">
      <c r="B869">
        <v>1041</v>
      </c>
      <c r="C869" s="13" t="str">
        <f>_xlfn.XLOOKUP(B869,LRV[id],LRV[source])</f>
        <v>Russo  et al. (2019)</v>
      </c>
      <c r="D869" s="13" t="str">
        <f>LRVs!C693</f>
        <v>Activated sludge</v>
      </c>
      <c r="E869" s="13" t="str">
        <f>LRVs!BG693</f>
        <v>Bacteria</v>
      </c>
      <c r="F869" s="13" t="str">
        <f>IF(LRVs!BH693="","",LRVs!BH693)</f>
        <v>Escherichia coli</v>
      </c>
      <c r="G869">
        <f>IF(LRVs!BL693="","",LRVs!BL693)</f>
        <v>2.25</v>
      </c>
    </row>
    <row r="870" spans="2:7" x14ac:dyDescent="0.3">
      <c r="B870">
        <v>1042</v>
      </c>
      <c r="C870" s="13" t="str">
        <f>_xlfn.XLOOKUP(B870,LRV[id],LRV[source])</f>
        <v>Russo  et al. (2019)</v>
      </c>
      <c r="D870" s="13" t="str">
        <f>LRVs!C694</f>
        <v>Activated sludge</v>
      </c>
      <c r="E870" s="13" t="str">
        <f>LRVs!BG694</f>
        <v>Bacteria</v>
      </c>
      <c r="F870" s="13" t="str">
        <f>IF(LRVs!BH694="","",LRVs!BH694)</f>
        <v>Escherichia coli</v>
      </c>
      <c r="G870">
        <f>IF(LRVs!BL694="","",LRVs!BL694)</f>
        <v>2.2999999999999998</v>
      </c>
    </row>
    <row r="871" spans="2:7" x14ac:dyDescent="0.3">
      <c r="B871">
        <v>1043</v>
      </c>
      <c r="C871" s="13" t="str">
        <f>_xlfn.XLOOKUP(B871,LRV[id],LRV[source])</f>
        <v>Russo  et al. (2019)</v>
      </c>
      <c r="D871" s="13" t="str">
        <f>LRVs!C695</f>
        <v>Activated sludge</v>
      </c>
      <c r="E871" s="13" t="str">
        <f>LRVs!BG695</f>
        <v>Bacteria</v>
      </c>
      <c r="F871" s="13" t="str">
        <f>IF(LRVs!BH695="","",LRVs!BH695)</f>
        <v>Enterococci</v>
      </c>
      <c r="G871">
        <f>IF(LRVs!BL695="","",LRVs!BL695)</f>
        <v>2.1</v>
      </c>
    </row>
    <row r="872" spans="2:7" x14ac:dyDescent="0.3">
      <c r="B872">
        <v>1044</v>
      </c>
      <c r="C872" s="13" t="str">
        <f>_xlfn.XLOOKUP(B872,LRV[id],LRV[source])</f>
        <v>Russo  et al. (2019)</v>
      </c>
      <c r="D872" s="13" t="str">
        <f>LRVs!C696</f>
        <v>Activated sludge</v>
      </c>
      <c r="E872" s="13" t="str">
        <f>LRVs!BG696</f>
        <v>Bacteria</v>
      </c>
      <c r="F872" s="13" t="str">
        <f>IF(LRVs!BH696="","",LRVs!BH696)</f>
        <v>Enterococci</v>
      </c>
      <c r="G872">
        <f>IF(LRVs!BL696="","",LRVs!BL696)</f>
        <v>2.4300000000000002</v>
      </c>
    </row>
    <row r="873" spans="2:7" x14ac:dyDescent="0.3">
      <c r="B873">
        <v>1045</v>
      </c>
      <c r="C873" s="13" t="str">
        <f>_xlfn.XLOOKUP(B873,LRV[id],LRV[source])</f>
        <v>Russo  et al. (2019)</v>
      </c>
      <c r="D873" s="13" t="str">
        <f>LRVs!C697</f>
        <v>Activated sludge</v>
      </c>
      <c r="E873" s="13" t="str">
        <f>LRVs!BG697</f>
        <v>Bacteria</v>
      </c>
      <c r="F873" s="13" t="str">
        <f>IF(LRVs!BH697="","",LRVs!BH697)</f>
        <v>Enterococci</v>
      </c>
      <c r="G873">
        <f>IF(LRVs!BL697="","",LRVs!BL697)</f>
        <v>1.78</v>
      </c>
    </row>
    <row r="874" spans="2:7" x14ac:dyDescent="0.3">
      <c r="B874">
        <v>1046</v>
      </c>
      <c r="C874" s="13" t="str">
        <f>_xlfn.XLOOKUP(B874,LRV[id],LRV[source])</f>
        <v>Russo  et al. (2019)</v>
      </c>
      <c r="D874" s="13" t="str">
        <f>LRVs!C698</f>
        <v>Activated sludge</v>
      </c>
      <c r="E874" s="13" t="str">
        <f>LRVs!BG698</f>
        <v>Bacteria</v>
      </c>
      <c r="F874" s="13" t="str">
        <f>IF(LRVs!BH698="","",LRVs!BH698)</f>
        <v>Enterococci</v>
      </c>
      <c r="G874">
        <f>IF(LRVs!BL698="","",LRVs!BL698)</f>
        <v>2.2000000000000002</v>
      </c>
    </row>
    <row r="875" spans="2:7" x14ac:dyDescent="0.3">
      <c r="B875">
        <v>1047</v>
      </c>
      <c r="C875" s="13" t="str">
        <f>_xlfn.XLOOKUP(B875,LRV[id],LRV[source])</f>
        <v>Russo  et al. (2019)</v>
      </c>
      <c r="D875" s="13" t="str">
        <f>LRVs!C699</f>
        <v>Activated sludge</v>
      </c>
      <c r="E875" s="13" t="str">
        <f>LRVs!BG699</f>
        <v>Protozoa</v>
      </c>
      <c r="F875" s="13" t="str">
        <f>IF(LRVs!BH699="","",LRVs!BH699)</f>
        <v>Clostridium perfringens</v>
      </c>
      <c r="G875">
        <f>IF(LRVs!BL699="","",LRVs!BL699)</f>
        <v>1.95</v>
      </c>
    </row>
    <row r="876" spans="2:7" x14ac:dyDescent="0.3">
      <c r="B876">
        <v>1048</v>
      </c>
      <c r="C876" s="13" t="str">
        <f>_xlfn.XLOOKUP(B876,LRV[id],LRV[source])</f>
        <v>Russo  et al. (2019)</v>
      </c>
      <c r="D876" s="13" t="str">
        <f>LRVs!C700</f>
        <v>Activated sludge</v>
      </c>
      <c r="E876" s="13" t="str">
        <f>LRVs!BG700</f>
        <v>Protozoa</v>
      </c>
      <c r="F876" s="13" t="str">
        <f>IF(LRVs!BH700="","",LRVs!BH700)</f>
        <v>Clostridium perfringens</v>
      </c>
      <c r="G876">
        <f>IF(LRVs!BL700="","",LRVs!BL700)</f>
        <v>1.84</v>
      </c>
    </row>
    <row r="877" spans="2:7" x14ac:dyDescent="0.3">
      <c r="B877">
        <v>1049</v>
      </c>
      <c r="C877" s="13" t="str">
        <f>_xlfn.XLOOKUP(B877,LRV[id],LRV[source])</f>
        <v>Russo  et al. (2019)</v>
      </c>
      <c r="D877" s="13" t="str">
        <f>LRVs!C701</f>
        <v>Activated sludge</v>
      </c>
      <c r="E877" s="13" t="str">
        <f>LRVs!BG701</f>
        <v>Protozoa</v>
      </c>
      <c r="F877" s="13" t="str">
        <f>IF(LRVs!BH701="","",LRVs!BH701)</f>
        <v>Clostridium perfringens</v>
      </c>
      <c r="G877">
        <f>IF(LRVs!BL701="","",LRVs!BL701)</f>
        <v>1.0900000000000001</v>
      </c>
    </row>
    <row r="878" spans="2:7" x14ac:dyDescent="0.3">
      <c r="B878">
        <v>1050</v>
      </c>
      <c r="C878" s="13" t="str">
        <f>_xlfn.XLOOKUP(B878,LRV[id],LRV[source])</f>
        <v>Russo  et al. (2019)</v>
      </c>
      <c r="D878" s="13" t="str">
        <f>LRVs!C702</f>
        <v>Activated sludge</v>
      </c>
      <c r="E878" s="13" t="str">
        <f>LRVs!BG702</f>
        <v>Protozoa</v>
      </c>
      <c r="F878" s="13" t="str">
        <f>IF(LRVs!BH702="","",LRVs!BH702)</f>
        <v>Clostridium perfringens</v>
      </c>
      <c r="G878">
        <f>IF(LRVs!BL702="","",LRVs!BL702)</f>
        <v>1.19</v>
      </c>
    </row>
    <row r="879" spans="2:7" x14ac:dyDescent="0.3">
      <c r="B879">
        <v>1051</v>
      </c>
      <c r="C879" s="13" t="str">
        <f>_xlfn.XLOOKUP(B879,LRV[id],LRV[source])</f>
        <v>Russo  et al. (2019)</v>
      </c>
      <c r="D879" s="13" t="str">
        <f>LRVs!C703</f>
        <v>Activated sludge</v>
      </c>
      <c r="E879" s="13" t="str">
        <f>LRVs!BG703</f>
        <v>Virus</v>
      </c>
      <c r="F879" s="13" t="str">
        <f>IF(LRVs!BH703="","",LRVs!BH703)</f>
        <v>Somatic coliphage</v>
      </c>
      <c r="G879">
        <f>IF(LRVs!BL703="","",LRVs!BL703)</f>
        <v>1.04</v>
      </c>
    </row>
    <row r="880" spans="2:7" x14ac:dyDescent="0.3">
      <c r="B880">
        <v>1052</v>
      </c>
      <c r="C880" s="13" t="str">
        <f>_xlfn.XLOOKUP(B880,LRV[id],LRV[source])</f>
        <v>Russo  et al. (2019)</v>
      </c>
      <c r="D880" s="13" t="str">
        <f>LRVs!C704</f>
        <v>Activated sludge</v>
      </c>
      <c r="E880" s="13" t="str">
        <f>LRVs!BG704</f>
        <v>Virus</v>
      </c>
      <c r="F880" s="13" t="str">
        <f>IF(LRVs!BH704="","",LRVs!BH704)</f>
        <v>Somatic coliphage</v>
      </c>
      <c r="G880">
        <f>IF(LRVs!BL704="","",LRVs!BL704)</f>
        <v>1.08</v>
      </c>
    </row>
    <row r="881" spans="2:7" x14ac:dyDescent="0.3">
      <c r="B881">
        <v>1053</v>
      </c>
      <c r="C881" s="13" t="str">
        <f>_xlfn.XLOOKUP(B881,LRV[id],LRV[source])</f>
        <v>Russo  et al. (2019)</v>
      </c>
      <c r="D881" s="13" t="str">
        <f>LRVs!C705</f>
        <v>Activated sludge</v>
      </c>
      <c r="E881" s="13" t="str">
        <f>LRVs!BG705</f>
        <v>Virus</v>
      </c>
      <c r="F881" s="13" t="str">
        <f>IF(LRVs!BH705="","",LRVs!BH705)</f>
        <v>Somatic coliphage</v>
      </c>
      <c r="G881">
        <f>IF(LRVs!BL705="","",LRVs!BL705)</f>
        <v>1.1000000000000001</v>
      </c>
    </row>
    <row r="882" spans="2:7" x14ac:dyDescent="0.3">
      <c r="B882">
        <v>1054</v>
      </c>
      <c r="C882" s="13" t="str">
        <f>_xlfn.XLOOKUP(B882,LRV[id],LRV[source])</f>
        <v>Russo  et al. (2019)</v>
      </c>
      <c r="D882" s="13" t="str">
        <f>LRVs!C706</f>
        <v>Activated sludge</v>
      </c>
      <c r="E882" s="13" t="str">
        <f>LRVs!BG706</f>
        <v>Virus</v>
      </c>
      <c r="F882" s="13" t="str">
        <f>IF(LRVs!BH706="","",LRVs!BH706)</f>
        <v>Somatic coliphage</v>
      </c>
      <c r="G882">
        <f>IF(LRVs!BL706="","",LRVs!BL706)</f>
        <v>0.84</v>
      </c>
    </row>
    <row r="883" spans="2:7" x14ac:dyDescent="0.3">
      <c r="B883">
        <v>1055</v>
      </c>
      <c r="C883" s="13" t="str">
        <f>_xlfn.XLOOKUP(B883,LRV[id],LRV[source])</f>
        <v>Russo  et al. (2019)</v>
      </c>
      <c r="D883" s="13" t="str">
        <f>LRVs!C707</f>
        <v>Activated sludge</v>
      </c>
      <c r="E883" s="13" t="str">
        <f>LRVs!BG707</f>
        <v>Virus</v>
      </c>
      <c r="F883" s="13" t="str">
        <f>IF(LRVs!BH707="","",LRVs!BH707)</f>
        <v>F-specific coliphage</v>
      </c>
      <c r="G883">
        <f>IF(LRVs!BL707="","",LRVs!BL707)</f>
        <v>2.19</v>
      </c>
    </row>
    <row r="884" spans="2:7" x14ac:dyDescent="0.3">
      <c r="B884">
        <v>1056</v>
      </c>
      <c r="C884" s="13" t="str">
        <f>_xlfn.XLOOKUP(B884,LRV[id],LRV[source])</f>
        <v>Russo  et al. (2019)</v>
      </c>
      <c r="D884" s="13" t="str">
        <f>LRVs!C708</f>
        <v>Activated sludge</v>
      </c>
      <c r="E884" s="13" t="str">
        <f>LRVs!BG708</f>
        <v>Virus</v>
      </c>
      <c r="F884" s="13" t="str">
        <f>IF(LRVs!BH708="","",LRVs!BH708)</f>
        <v>F-specific coliphage</v>
      </c>
      <c r="G884">
        <f>IF(LRVs!BL708="","",LRVs!BL708)</f>
        <v>1.73</v>
      </c>
    </row>
    <row r="885" spans="2:7" x14ac:dyDescent="0.3">
      <c r="B885">
        <v>1057</v>
      </c>
      <c r="C885" s="13" t="str">
        <f>_xlfn.XLOOKUP(B885,LRV[id],LRV[source])</f>
        <v>Russo  et al. (2019)</v>
      </c>
      <c r="D885" s="13" t="str">
        <f>LRVs!C709</f>
        <v>Activated sludge</v>
      </c>
      <c r="E885" s="13" t="str">
        <f>LRVs!BG709</f>
        <v>Virus</v>
      </c>
      <c r="F885" s="13" t="str">
        <f>IF(LRVs!BH709="","",LRVs!BH709)</f>
        <v>F-specific coliphage</v>
      </c>
      <c r="G885">
        <f>IF(LRVs!BL709="","",LRVs!BL709)</f>
        <v>1.64</v>
      </c>
    </row>
    <row r="886" spans="2:7" x14ac:dyDescent="0.3">
      <c r="B886">
        <v>1058</v>
      </c>
      <c r="C886" s="13" t="str">
        <f>_xlfn.XLOOKUP(B886,LRV[id],LRV[source])</f>
        <v>Russo  et al. (2019)</v>
      </c>
      <c r="D886" s="13" t="str">
        <f>LRVs!C710</f>
        <v>Activated sludge</v>
      </c>
      <c r="E886" s="13" t="str">
        <f>LRVs!BG710</f>
        <v>Virus</v>
      </c>
      <c r="F886" s="13" t="str">
        <f>IF(LRVs!BH710="","",LRVs!BH710)</f>
        <v>F-specific coliphage</v>
      </c>
      <c r="G886">
        <f>IF(LRVs!BL710="","",LRVs!BL710)</f>
        <v>1.54</v>
      </c>
    </row>
    <row r="887" spans="2:7" x14ac:dyDescent="0.3">
      <c r="B887">
        <v>1059</v>
      </c>
      <c r="C887" s="13" t="str">
        <f>_xlfn.XLOOKUP(B887,LRV[id],LRV[source])</f>
        <v>Russo  et al. (2019)</v>
      </c>
      <c r="D887" s="13" t="str">
        <f>LRVs!C711</f>
        <v>Microfiltration</v>
      </c>
      <c r="E887" s="13" t="str">
        <f>LRVs!BG711</f>
        <v>Virus</v>
      </c>
      <c r="F887" s="13" t="str">
        <f>IF(LRVs!BH711="","",LRVs!BH711)</f>
        <v>Phage T4</v>
      </c>
      <c r="G887">
        <f>IF(LRVs!BL711="","",LRVs!BL711)</f>
        <v>2.1</v>
      </c>
    </row>
    <row r="888" spans="2:7" x14ac:dyDescent="0.3">
      <c r="B888">
        <v>1060</v>
      </c>
      <c r="C888" s="13" t="str">
        <f>_xlfn.XLOOKUP(B888,LRV[id],LRV[source])</f>
        <v>Russo  et al. (2019)</v>
      </c>
      <c r="D888" s="13" t="str">
        <f>LRVs!C712</f>
        <v>Microfiltration</v>
      </c>
      <c r="E888" s="13" t="str">
        <f>LRVs!BG712</f>
        <v>Virus</v>
      </c>
      <c r="F888" s="13" t="str">
        <f>IF(LRVs!BH712="","",LRVs!BH712)</f>
        <v>Phage T4</v>
      </c>
      <c r="G888">
        <f>IF(LRVs!BL712="","",LRVs!BL712)</f>
        <v>5.8</v>
      </c>
    </row>
    <row r="889" spans="2:7" x14ac:dyDescent="0.3">
      <c r="B889">
        <v>1061</v>
      </c>
      <c r="C889" s="13" t="str">
        <f>_xlfn.XLOOKUP(B889,LRV[id],LRV[source])</f>
        <v>Russo  et al. (2019)</v>
      </c>
      <c r="D889" s="13" t="str">
        <f>LRVs!C713</f>
        <v>Microfiltration</v>
      </c>
      <c r="E889" s="13" t="str">
        <f>LRVs!BG713</f>
        <v>Virus</v>
      </c>
      <c r="F889" s="13" t="str">
        <f>IF(LRVs!BH713="","",LRVs!BH713)</f>
        <v>f2</v>
      </c>
      <c r="G889">
        <f>IF(LRVs!BL713="","",LRVs!BL713)</f>
        <v>0.3</v>
      </c>
    </row>
    <row r="890" spans="2:7" x14ac:dyDescent="0.3">
      <c r="B890">
        <v>1062</v>
      </c>
      <c r="C890" s="13" t="str">
        <f>_xlfn.XLOOKUP(B890,LRV[id],LRV[source])</f>
        <v>Russo  et al. (2019)</v>
      </c>
      <c r="D890" s="13" t="str">
        <f>LRVs!C714</f>
        <v>Microfiltration</v>
      </c>
      <c r="E890" s="13" t="str">
        <f>LRVs!BG714</f>
        <v>Virus</v>
      </c>
      <c r="F890" s="13" t="str">
        <f>IF(LRVs!BH714="","",LRVs!BH714)</f>
        <v>f2</v>
      </c>
      <c r="G890">
        <f>IF(LRVs!BL714="","",LRVs!BL714)</f>
        <v>0.5</v>
      </c>
    </row>
    <row r="891" spans="2:7" x14ac:dyDescent="0.3">
      <c r="B891">
        <v>1063</v>
      </c>
      <c r="C891" s="13" t="str">
        <f>_xlfn.XLOOKUP(B891,LRV[id],LRV[source])</f>
        <v>Stefanakis et al. (2018)</v>
      </c>
      <c r="D891" s="13" t="str">
        <f>LRVs!C715</f>
        <v>Membrane bioreactor</v>
      </c>
      <c r="E891" s="13" t="str">
        <f>LRVs!BG715</f>
        <v>Virus</v>
      </c>
      <c r="F891" s="13" t="str">
        <f>IF(LRVs!BH715="","",LRVs!BH715)</f>
        <v>Phage T4</v>
      </c>
      <c r="G891">
        <f>IF(LRVs!BL715="","",LRVs!BL715)</f>
        <v>6.1</v>
      </c>
    </row>
    <row r="892" spans="2:7" x14ac:dyDescent="0.3">
      <c r="B892">
        <v>1064</v>
      </c>
      <c r="C892" s="13" t="str">
        <f>_xlfn.XLOOKUP(B892,LRV[id],LRV[source])</f>
        <v>Stefanakis et al. (2018)</v>
      </c>
      <c r="D892" s="13" t="str">
        <f>LRVs!C716</f>
        <v>Membrane bioreactor</v>
      </c>
      <c r="E892" s="13" t="str">
        <f>LRVs!BG716</f>
        <v>Virus</v>
      </c>
      <c r="F892" s="13" t="str">
        <f>IF(LRVs!BH716="","",LRVs!BH716)</f>
        <v>Phage T4</v>
      </c>
      <c r="G892">
        <f>IF(LRVs!BL716="","",LRVs!BL716)</f>
        <v>2.8</v>
      </c>
    </row>
    <row r="893" spans="2:7" x14ac:dyDescent="0.3">
      <c r="B893">
        <v>1065</v>
      </c>
      <c r="C893" s="13" t="str">
        <f>_xlfn.XLOOKUP(B893,LRV[id],LRV[source])</f>
        <v>Stefanakis et al. (2018)</v>
      </c>
      <c r="D893" s="13" t="str">
        <f>LRVs!C717</f>
        <v>Membrane bioreactor</v>
      </c>
      <c r="E893" s="13" t="str">
        <f>LRVs!BG717</f>
        <v>Virus</v>
      </c>
      <c r="F893" s="13" t="str">
        <f>IF(LRVs!BH717="","",LRVs!BH717)</f>
        <v>Phage T4</v>
      </c>
      <c r="G893">
        <f>IF(LRVs!BL717="","",LRVs!BL717)</f>
        <v>2</v>
      </c>
    </row>
    <row r="894" spans="2:7" x14ac:dyDescent="0.3">
      <c r="B894">
        <v>1066</v>
      </c>
      <c r="C894" s="13" t="str">
        <f>_xlfn.XLOOKUP(B894,LRV[id],LRV[source])</f>
        <v>Stefanakis et al. (2018)</v>
      </c>
      <c r="D894" s="13" t="str">
        <f>LRVs!C718</f>
        <v>Membrane bioreactor</v>
      </c>
      <c r="E894" s="13" t="str">
        <f>LRVs!BG718</f>
        <v>Virus</v>
      </c>
      <c r="F894" s="13" t="str">
        <f>IF(LRVs!BH718="","",LRVs!BH718)</f>
        <v>Phage T4</v>
      </c>
      <c r="G894">
        <f>IF(LRVs!BL718="","",LRVs!BL718)</f>
        <v>6.3</v>
      </c>
    </row>
    <row r="895" spans="2:7" x14ac:dyDescent="0.3">
      <c r="B895">
        <v>1067</v>
      </c>
      <c r="C895" s="13" t="str">
        <f>_xlfn.XLOOKUP(B895,LRV[id],LRV[source])</f>
        <v>Stefanakis et al. (2018)</v>
      </c>
      <c r="D895" s="13" t="str">
        <f>LRVs!C719</f>
        <v>Membrane bioreactor</v>
      </c>
      <c r="E895" s="13" t="str">
        <f>LRVs!BG719</f>
        <v>Virus</v>
      </c>
      <c r="F895" s="13" t="str">
        <f>IF(LRVs!BH719="","",LRVs!BH719)</f>
        <v>Phage T4</v>
      </c>
      <c r="G895">
        <f>IF(LRVs!BL719="","",LRVs!BL719)</f>
        <v>5.5</v>
      </c>
    </row>
    <row r="896" spans="2:7" x14ac:dyDescent="0.3">
      <c r="B896">
        <v>1068</v>
      </c>
      <c r="C896" s="13" t="str">
        <f>_xlfn.XLOOKUP(B896,LRV[id],LRV[source])</f>
        <v>Stefanakis et al. (2018)</v>
      </c>
      <c r="D896" s="13" t="str">
        <f>LRVs!C720</f>
        <v>Membrane bioreactor</v>
      </c>
      <c r="E896" s="13" t="str">
        <f>LRVs!BG720</f>
        <v>Virus</v>
      </c>
      <c r="F896" s="13" t="str">
        <f>IF(LRVs!BH720="","",LRVs!BH720)</f>
        <v>Phage T4</v>
      </c>
      <c r="G896">
        <f>IF(LRVs!BL720="","",LRVs!BL720)</f>
        <v>5.5</v>
      </c>
    </row>
    <row r="897" spans="2:7" x14ac:dyDescent="0.3">
      <c r="B897">
        <v>1069</v>
      </c>
      <c r="C897" s="13" t="str">
        <f>_xlfn.XLOOKUP(B897,LRV[id],LRV[source])</f>
        <v>Stefanakis et al. (2018)</v>
      </c>
      <c r="D897" s="13" t="str">
        <f>LRVs!C721</f>
        <v>Chlorine</v>
      </c>
      <c r="E897" s="13" t="str">
        <f>LRVs!BG721</f>
        <v>Bacteria</v>
      </c>
      <c r="F897" s="13" t="str">
        <f>IF(LRVs!BH721="","",LRVs!BH721)</f>
        <v>Total coliform</v>
      </c>
      <c r="G897">
        <f>IF(LRVs!BL721="","",LRVs!BL721)</f>
        <v>3.5228353136605302</v>
      </c>
    </row>
    <row r="898" spans="2:7" x14ac:dyDescent="0.3">
      <c r="B898">
        <v>1070</v>
      </c>
      <c r="C898" s="13" t="str">
        <f>_xlfn.XLOOKUP(B898,LRV[id],LRV[source])</f>
        <v>Stefanakis et al. (2018)</v>
      </c>
      <c r="D898" s="13" t="str">
        <f>LRVs!C722</f>
        <v>Chlorine</v>
      </c>
      <c r="E898" s="13" t="str">
        <f>LRVs!BG722</f>
        <v>Bacteria</v>
      </c>
      <c r="F898" s="13" t="str">
        <f>IF(LRVs!BH722="","",LRVs!BH722)</f>
        <v>Total coliform</v>
      </c>
      <c r="G898">
        <f>IF(LRVs!BL722="","",LRVs!BL722)</f>
        <v>3.312811826212088</v>
      </c>
    </row>
    <row r="899" spans="2:7" x14ac:dyDescent="0.3">
      <c r="B899">
        <v>1071</v>
      </c>
      <c r="C899" s="13" t="str">
        <f>_xlfn.XLOOKUP(B899,LRV[id],LRV[source])</f>
        <v>Stefanakis et al. (2018)</v>
      </c>
      <c r="D899" s="13" t="str">
        <f>LRVs!C723</f>
        <v>Chlorine</v>
      </c>
      <c r="E899" s="13" t="str">
        <f>LRVs!BG723</f>
        <v>Bacteria</v>
      </c>
      <c r="F899" s="13" t="str">
        <f>IF(LRVs!BH723="","",LRVs!BH723)</f>
        <v>Total coliform</v>
      </c>
      <c r="G899">
        <f>IF(LRVs!BL723="","",LRVs!BL723)</f>
        <v>2.6404814369704219</v>
      </c>
    </row>
    <row r="900" spans="2:7" x14ac:dyDescent="0.3">
      <c r="B900">
        <v>1072</v>
      </c>
      <c r="C900" s="13" t="str">
        <f>_xlfn.XLOOKUP(B900,LRV[id],LRV[source])</f>
        <v>Stefanakis et al. (2018)</v>
      </c>
      <c r="D900" s="13" t="str">
        <f>LRVs!C724</f>
        <v>Chlorine</v>
      </c>
      <c r="E900" s="13" t="str">
        <f>LRVs!BG724</f>
        <v>Bacteria</v>
      </c>
      <c r="F900" s="13" t="str">
        <f>IF(LRVs!BH724="","",LRVs!BH724)</f>
        <v>Total coliform</v>
      </c>
      <c r="G900">
        <f>IF(LRVs!BL724="","",LRVs!BL724)</f>
        <v>3.5228353136605302</v>
      </c>
    </row>
    <row r="901" spans="2:7" x14ac:dyDescent="0.3">
      <c r="B901">
        <v>1073</v>
      </c>
      <c r="C901" s="13" t="str">
        <f>_xlfn.XLOOKUP(B901,LRV[id],LRV[source])</f>
        <v>Stefanakis et al. (2018)</v>
      </c>
      <c r="D901" s="13" t="str">
        <f>LRVs!C725</f>
        <v>Chlorine</v>
      </c>
      <c r="E901" s="13" t="str">
        <f>LRVs!BG725</f>
        <v>Bacteria</v>
      </c>
      <c r="F901" s="13" t="str">
        <f>IF(LRVs!BH725="","",LRVs!BH725)</f>
        <v>Total coliform</v>
      </c>
      <c r="G901">
        <f>IF(LRVs!BL725="","",LRVs!BL725)</f>
        <v>2.6404814369704219</v>
      </c>
    </row>
    <row r="902" spans="2:7" x14ac:dyDescent="0.3">
      <c r="B902">
        <v>1074</v>
      </c>
      <c r="C902" s="13" t="str">
        <f>_xlfn.XLOOKUP(B902,LRV[id],LRV[source])</f>
        <v>Stefanakis et al. (2018)</v>
      </c>
      <c r="D902" s="13" t="str">
        <f>LRVs!C726</f>
        <v>Chlorine</v>
      </c>
      <c r="E902" s="13" t="str">
        <f>LRVs!BG726</f>
        <v>Bacteria</v>
      </c>
      <c r="F902" s="13" t="str">
        <f>IF(LRVs!BH726="","",LRVs!BH726)</f>
        <v>Total coliform</v>
      </c>
      <c r="G902">
        <f>IF(LRVs!BL726="","",LRVs!BL726)</f>
        <v>3.5228353136605302</v>
      </c>
    </row>
    <row r="903" spans="2:7" x14ac:dyDescent="0.3">
      <c r="B903">
        <v>1075</v>
      </c>
      <c r="C903" s="13" t="str">
        <f>_xlfn.XLOOKUP(B903,LRV[id],LRV[source])</f>
        <v>Stefanakis et al. (2018)</v>
      </c>
      <c r="D903" s="13" t="str">
        <f>LRVs!C727</f>
        <v>Chlorine</v>
      </c>
      <c r="E903" s="13" t="str">
        <f>LRVs!BG727</f>
        <v>Bacteria</v>
      </c>
      <c r="F903" s="13" t="str">
        <f>IF(LRVs!BH727="","",LRVs!BH727)</f>
        <v>Total coliform</v>
      </c>
      <c r="G903">
        <f>IF(LRVs!BL727="","",LRVs!BL727)</f>
        <v>3.312811826212088</v>
      </c>
    </row>
    <row r="904" spans="2:7" x14ac:dyDescent="0.3">
      <c r="B904">
        <v>1076</v>
      </c>
      <c r="C904" s="13" t="str">
        <f>_xlfn.XLOOKUP(B904,LRV[id],LRV[source])</f>
        <v>Stefanakis et al. (2018)</v>
      </c>
      <c r="D904" s="13" t="str">
        <f>LRVs!C728</f>
        <v>Chlorine</v>
      </c>
      <c r="E904" s="13" t="str">
        <f>LRVs!BG728</f>
        <v>Bacteria</v>
      </c>
      <c r="F904" s="13" t="str">
        <f>IF(LRVs!BH728="","",LRVs!BH728)</f>
        <v>Enterococci</v>
      </c>
      <c r="G904">
        <f>IF(LRVs!BL728="","",LRVs!BL728)</f>
        <v>2.8615344108590377</v>
      </c>
    </row>
    <row r="905" spans="2:7" x14ac:dyDescent="0.3">
      <c r="B905">
        <v>1077</v>
      </c>
      <c r="C905" s="13" t="str">
        <f>_xlfn.XLOOKUP(B905,LRV[id],LRV[source])</f>
        <v>Stefanakis et al. (2018)</v>
      </c>
      <c r="D905" s="13" t="str">
        <f>LRVs!C729</f>
        <v>Chlorine</v>
      </c>
      <c r="E905" s="13" t="str">
        <f>LRVs!BG729</f>
        <v>Bacteria</v>
      </c>
      <c r="F905" s="13" t="str">
        <f>IF(LRVs!BH729="","",LRVs!BH729)</f>
        <v>Enterococci</v>
      </c>
      <c r="G905">
        <f>IF(LRVs!BL729="","",LRVs!BL729)</f>
        <v>1.8976270912904414</v>
      </c>
    </row>
    <row r="906" spans="2:7" x14ac:dyDescent="0.3">
      <c r="B906">
        <v>1078</v>
      </c>
      <c r="C906" s="13" t="str">
        <f>_xlfn.XLOOKUP(B906,LRV[id],LRV[source])</f>
        <v>Stefanakis et al. (2018)</v>
      </c>
      <c r="D906" s="13" t="str">
        <f>LRVs!C730</f>
        <v>Chlorine</v>
      </c>
      <c r="E906" s="13" t="str">
        <f>LRVs!BG730</f>
        <v>Bacteria</v>
      </c>
      <c r="F906" s="13" t="str">
        <f>IF(LRVs!BH730="","",LRVs!BH730)</f>
        <v>Enterococci</v>
      </c>
      <c r="G906">
        <f>IF(LRVs!BL730="","",LRVs!BL730)</f>
        <v>1.9084850188786497</v>
      </c>
    </row>
    <row r="907" spans="2:7" x14ac:dyDescent="0.3">
      <c r="B907">
        <v>1079</v>
      </c>
      <c r="C907" s="13" t="str">
        <f>_xlfn.XLOOKUP(B907,LRV[id],LRV[source])</f>
        <v>Stefanakis et al. (2018)</v>
      </c>
      <c r="D907" s="13" t="str">
        <f>LRVs!C731</f>
        <v>Chlorine</v>
      </c>
      <c r="E907" s="13" t="str">
        <f>LRVs!BG731</f>
        <v>Bacteria</v>
      </c>
      <c r="F907" s="13" t="str">
        <f>IF(LRVs!BH731="","",LRVs!BH731)</f>
        <v>Enterococci</v>
      </c>
      <c r="G907">
        <f>IF(LRVs!BL731="","",LRVs!BL731)</f>
        <v>2.8615344108590377</v>
      </c>
    </row>
    <row r="908" spans="2:7" x14ac:dyDescent="0.3">
      <c r="B908">
        <v>1080</v>
      </c>
      <c r="C908" s="13" t="str">
        <f>_xlfn.XLOOKUP(B908,LRV[id],LRV[source])</f>
        <v>Stefanakis et al. (2018)</v>
      </c>
      <c r="D908" s="13" t="str">
        <f>LRVs!C732</f>
        <v>Chlorine</v>
      </c>
      <c r="E908" s="13" t="str">
        <f>LRVs!BG732</f>
        <v>Bacteria</v>
      </c>
      <c r="F908" s="13" t="str">
        <f>IF(LRVs!BH732="","",LRVs!BH732)</f>
        <v>Enterococci</v>
      </c>
      <c r="G908">
        <f>IF(LRVs!BL732="","",LRVs!BL732)</f>
        <v>1.8450980400142569</v>
      </c>
    </row>
    <row r="909" spans="2:7" x14ac:dyDescent="0.3">
      <c r="B909">
        <v>1081</v>
      </c>
      <c r="C909" s="13" t="str">
        <f>_xlfn.XLOOKUP(B909,LRV[id],LRV[source])</f>
        <v>Kaliakatsos et al. (2019)</v>
      </c>
      <c r="D909" s="13" t="str">
        <f>LRVs!C733</f>
        <v>Chlorine</v>
      </c>
      <c r="E909" s="13" t="str">
        <f>LRVs!BG733</f>
        <v>Bacteria</v>
      </c>
      <c r="F909" s="13" t="str">
        <f>IF(LRVs!BH733="","",LRVs!BH733)</f>
        <v>Enterococci</v>
      </c>
      <c r="G909">
        <f>IF(LRVs!BL733="","",LRVs!BL733)</f>
        <v>1.8450980400142569</v>
      </c>
    </row>
    <row r="910" spans="2:7" x14ac:dyDescent="0.3">
      <c r="B910">
        <v>1082</v>
      </c>
      <c r="C910" s="13" t="str">
        <f>_xlfn.XLOOKUP(B910,LRV[id],LRV[source])</f>
        <v>Kaliakatsos et al. (2019)</v>
      </c>
      <c r="D910" s="13" t="str">
        <f>LRVs!C734</f>
        <v>Chlorine</v>
      </c>
      <c r="E910" s="13" t="str">
        <f>LRVs!BG734</f>
        <v>Bacteria</v>
      </c>
      <c r="F910" s="13" t="str">
        <f>IF(LRVs!BH734="","",LRVs!BH734)</f>
        <v>Enterococci</v>
      </c>
      <c r="G910">
        <f>IF(LRVs!BL734="","",LRVs!BL734)</f>
        <v>1.8976270912904414</v>
      </c>
    </row>
    <row r="911" spans="2:7" x14ac:dyDescent="0.3">
      <c r="B911">
        <v>1083</v>
      </c>
      <c r="C911" s="13" t="str">
        <f>_xlfn.XLOOKUP(B911,LRV[id],LRV[source])</f>
        <v>Kaliakatsos et al. (2019)</v>
      </c>
      <c r="D911" s="13" t="str">
        <f>LRVs!C735</f>
        <v>Chlorine</v>
      </c>
      <c r="E911" s="13" t="str">
        <f>LRVs!BG735</f>
        <v>Bacteria</v>
      </c>
      <c r="F911" s="13" t="str">
        <f>IF(LRVs!BH735="","",LRVs!BH735)</f>
        <v>Enterococci</v>
      </c>
      <c r="G911">
        <f>IF(LRVs!BL735="","",LRVs!BL735)</f>
        <v>1.8450980400142569</v>
      </c>
    </row>
    <row r="912" spans="2:7" x14ac:dyDescent="0.3">
      <c r="B912">
        <v>1084</v>
      </c>
      <c r="C912" s="13" t="str">
        <f>_xlfn.XLOOKUP(B912,LRV[id],LRV[source])</f>
        <v>Kaliakatsos et al. (2019)</v>
      </c>
      <c r="D912" s="13" t="str">
        <f>LRVs!C736</f>
        <v>Chlorine</v>
      </c>
      <c r="E912" s="13" t="str">
        <f>LRVs!BG736</f>
        <v>Bacteria</v>
      </c>
      <c r="F912" s="13" t="str">
        <f>IF(LRVs!BH736="","",LRVs!BH736)</f>
        <v>Enterococci</v>
      </c>
      <c r="G912">
        <f>IF(LRVs!BL736="","",LRVs!BL736)</f>
        <v>1.8976270912904414</v>
      </c>
    </row>
    <row r="913" spans="2:7" x14ac:dyDescent="0.3">
      <c r="B913">
        <v>1085</v>
      </c>
      <c r="C913" s="13" t="str">
        <f>_xlfn.XLOOKUP(B913,LRV[id],LRV[source])</f>
        <v>Kaliakatsos et al. (2019)</v>
      </c>
      <c r="D913" s="13" t="str">
        <f>LRVs!C737</f>
        <v>Chlorine</v>
      </c>
      <c r="E913" s="13" t="str">
        <f>LRVs!BG737</f>
        <v>Bacteria</v>
      </c>
      <c r="F913" s="13" t="str">
        <f>IF(LRVs!BH737="","",LRVs!BH737)</f>
        <v>Enterococci</v>
      </c>
      <c r="G913">
        <f>IF(LRVs!BL737="","",LRVs!BL737)</f>
        <v>1.9084850188786497</v>
      </c>
    </row>
    <row r="914" spans="2:7" x14ac:dyDescent="0.3">
      <c r="B914">
        <v>1086</v>
      </c>
      <c r="C914" s="13" t="str">
        <f>_xlfn.XLOOKUP(B914,LRV[id],LRV[source])</f>
        <v>Kaliakatsos et al. (2019)</v>
      </c>
      <c r="D914" s="13" t="str">
        <f>LRVs!C738</f>
        <v>Chlorine</v>
      </c>
      <c r="E914" s="13" t="str">
        <f>LRVs!BG738</f>
        <v>Virus</v>
      </c>
      <c r="F914" s="13" t="str">
        <f>IF(LRVs!BH738="","",LRVs!BH738)</f>
        <v>MS2</v>
      </c>
      <c r="G914">
        <f>IF(LRVs!BL738="","",LRVs!BL738)</f>
        <v>5.5</v>
      </c>
    </row>
    <row r="915" spans="2:7" x14ac:dyDescent="0.3">
      <c r="B915">
        <v>1087</v>
      </c>
      <c r="C915" s="13" t="str">
        <f>_xlfn.XLOOKUP(B915,LRV[id],LRV[source])</f>
        <v>Kaliakatsos et al. (2019)</v>
      </c>
      <c r="D915" s="13" t="str">
        <f>LRVs!C739</f>
        <v>Chlorine</v>
      </c>
      <c r="E915" s="13" t="str">
        <f>LRVs!BG739</f>
        <v>Virus</v>
      </c>
      <c r="F915" s="13" t="str">
        <f>IF(LRVs!BH739="","",LRVs!BH739)</f>
        <v>MS2</v>
      </c>
      <c r="G915">
        <f>IF(LRVs!BL739="","",LRVs!BL739)</f>
        <v>5.5</v>
      </c>
    </row>
    <row r="916" spans="2:7" x14ac:dyDescent="0.3">
      <c r="B916">
        <v>1088</v>
      </c>
      <c r="C916" s="13" t="str">
        <f>_xlfn.XLOOKUP(B916,LRV[id],LRV[source])</f>
        <v>Chaudhry et al. (2015)</v>
      </c>
      <c r="D916" s="13" t="str">
        <f>LRVs!C740</f>
        <v>Chlorine</v>
      </c>
      <c r="E916" s="13" t="str">
        <f>LRVs!BG740</f>
        <v>Virus</v>
      </c>
      <c r="F916" s="13" t="str">
        <f>IF(LRVs!BH740="","",LRVs!BH740)</f>
        <v>MS2</v>
      </c>
      <c r="G916">
        <f>IF(LRVs!BL740="","",LRVs!BL740)</f>
        <v>4.4000000000000004</v>
      </c>
    </row>
    <row r="917" spans="2:7" x14ac:dyDescent="0.3">
      <c r="B917">
        <v>1089</v>
      </c>
      <c r="C917" s="13" t="str">
        <f>_xlfn.XLOOKUP(B917,LRV[id],LRV[source])</f>
        <v>Chaudhry et al. (2015)</v>
      </c>
      <c r="D917" s="13" t="str">
        <f>LRVs!C741</f>
        <v>Chlorine</v>
      </c>
      <c r="E917" s="13" t="str">
        <f>LRVs!BG741</f>
        <v>Virus</v>
      </c>
      <c r="F917" s="13" t="str">
        <f>IF(LRVs!BH741="","",LRVs!BH741)</f>
        <v>MS2</v>
      </c>
      <c r="G917">
        <f>IF(LRVs!BL741="","",LRVs!BL741)</f>
        <v>5.5</v>
      </c>
    </row>
    <row r="918" spans="2:7" x14ac:dyDescent="0.3">
      <c r="B918">
        <v>1090</v>
      </c>
      <c r="C918" s="13" t="str">
        <f>_xlfn.XLOOKUP(B918,LRV[id],LRV[source])</f>
        <v>Chaudhry et al. (2015)</v>
      </c>
      <c r="D918" s="13" t="str">
        <f>LRVs!C742</f>
        <v>Chlorine</v>
      </c>
      <c r="E918" s="13" t="str">
        <f>LRVs!BG742</f>
        <v>Virus</v>
      </c>
      <c r="F918" s="13" t="str">
        <f>IF(LRVs!BH742="","",LRVs!BH742)</f>
        <v>MS2</v>
      </c>
      <c r="G918">
        <f>IF(LRVs!BL742="","",LRVs!BL742)</f>
        <v>6.2</v>
      </c>
    </row>
    <row r="919" spans="2:7" x14ac:dyDescent="0.3">
      <c r="B919">
        <v>1091</v>
      </c>
      <c r="C919" s="13" t="str">
        <f>_xlfn.XLOOKUP(B919,LRV[id],LRV[source])</f>
        <v>Olson et al. (2005)</v>
      </c>
      <c r="D919" s="13" t="str">
        <f>LRVs!C743</f>
        <v>Chlorine</v>
      </c>
      <c r="E919" s="13" t="str">
        <f>LRVs!BG743</f>
        <v>Virus</v>
      </c>
      <c r="F919" s="13" t="str">
        <f>IF(LRVs!BH743="","",LRVs!BH743)</f>
        <v>MS2</v>
      </c>
      <c r="G919">
        <f>IF(LRVs!BL743="","",LRVs!BL743)</f>
        <v>5.5</v>
      </c>
    </row>
    <row r="920" spans="2:7" x14ac:dyDescent="0.3">
      <c r="B920">
        <v>1092</v>
      </c>
      <c r="C920" s="13" t="str">
        <f>_xlfn.XLOOKUP(B920,LRV[id],LRV[source])</f>
        <v>Olson et al. (2005)</v>
      </c>
      <c r="D920" s="13" t="str">
        <f>LRVs!C744</f>
        <v>Chlorine</v>
      </c>
      <c r="E920" s="13" t="str">
        <f>LRVs!BG744</f>
        <v>Virus</v>
      </c>
      <c r="F920" s="13" t="str">
        <f>IF(LRVs!BH744="","",LRVs!BH744)</f>
        <v>MS2</v>
      </c>
      <c r="G920">
        <f>IF(LRVs!BL744="","",LRVs!BL744)</f>
        <v>6.1</v>
      </c>
    </row>
    <row r="921" spans="2:7" x14ac:dyDescent="0.3">
      <c r="B921">
        <v>1093</v>
      </c>
      <c r="C921" s="13" t="str">
        <f>_xlfn.XLOOKUP(B921,LRV[id],LRV[source])</f>
        <v>Olson et al. (2005)</v>
      </c>
      <c r="D921" s="13" t="str">
        <f>LRVs!C745</f>
        <v>Chlorine</v>
      </c>
      <c r="E921" s="13" t="str">
        <f>LRVs!BG745</f>
        <v>Virus</v>
      </c>
      <c r="F921" s="13" t="str">
        <f>IF(LRVs!BH745="","",LRVs!BH745)</f>
        <v>MS2</v>
      </c>
      <c r="G921">
        <f>IF(LRVs!BL745="","",LRVs!BL745)</f>
        <v>5.5</v>
      </c>
    </row>
    <row r="922" spans="2:7" x14ac:dyDescent="0.3">
      <c r="B922">
        <v>1094</v>
      </c>
      <c r="C922" s="13" t="str">
        <f>_xlfn.XLOOKUP(B922,LRV[id],LRV[source])</f>
        <v>Olson et al. (2005)</v>
      </c>
      <c r="D922" s="13" t="str">
        <f>LRVs!C746</f>
        <v>Chlorine</v>
      </c>
      <c r="E922" s="13" t="str">
        <f>LRVs!BG746</f>
        <v>Virus</v>
      </c>
      <c r="F922" s="13" t="str">
        <f>IF(LRVs!BH746="","",LRVs!BH746)</f>
        <v>MS2</v>
      </c>
      <c r="G922">
        <f>IF(LRVs!BL746="","",LRVs!BL746)</f>
        <v>6.5</v>
      </c>
    </row>
    <row r="923" spans="2:7" x14ac:dyDescent="0.3">
      <c r="B923">
        <v>1095</v>
      </c>
      <c r="C923" s="13" t="str">
        <f>_xlfn.XLOOKUP(B923,LRV[id],LRV[source])</f>
        <v>Olson et al. (2005)</v>
      </c>
      <c r="D923" s="13" t="str">
        <f>LRVs!C747</f>
        <v>Chlorine</v>
      </c>
      <c r="E923" s="13" t="str">
        <f>LRVs!BG747</f>
        <v>Virus</v>
      </c>
      <c r="F923" s="13" t="str">
        <f>IF(LRVs!BH747="","",LRVs!BH747)</f>
        <v>MS2</v>
      </c>
      <c r="G923">
        <f>IF(LRVs!BL747="","",LRVs!BL747)</f>
        <v>6.1</v>
      </c>
    </row>
    <row r="924" spans="2:7" x14ac:dyDescent="0.3">
      <c r="B924">
        <v>1096</v>
      </c>
      <c r="C924" s="13" t="str">
        <f>_xlfn.XLOOKUP(B924,LRV[id],LRV[source])</f>
        <v>Olson et al. (2005)</v>
      </c>
      <c r="D924" s="13" t="str">
        <f>LRVs!C748</f>
        <v>Chlorine</v>
      </c>
      <c r="E924" s="13" t="str">
        <f>LRVs!BG748</f>
        <v>Bacteria</v>
      </c>
      <c r="F924" s="13" t="str">
        <f>IF(LRVs!BH748="","",LRVs!BH748)</f>
        <v>Escherichia coli</v>
      </c>
      <c r="G924">
        <f>IF(LRVs!BL748="","",LRVs!BL748)</f>
        <v>7.1</v>
      </c>
    </row>
    <row r="925" spans="2:7" x14ac:dyDescent="0.3">
      <c r="B925">
        <v>1097</v>
      </c>
      <c r="C925" s="13" t="str">
        <f>_xlfn.XLOOKUP(B925,LRV[id],LRV[source])</f>
        <v>Olson et al. (2005)</v>
      </c>
      <c r="D925" s="13" t="str">
        <f>LRVs!C749</f>
        <v>Chlorine</v>
      </c>
      <c r="E925" s="13" t="str">
        <f>LRVs!BG749</f>
        <v>Bacteria</v>
      </c>
      <c r="F925" s="13" t="str">
        <f>IF(LRVs!BH749="","",LRVs!BH749)</f>
        <v>Escherichia coli</v>
      </c>
      <c r="G925">
        <f>IF(LRVs!BL749="","",LRVs!BL749)</f>
        <v>6.5</v>
      </c>
    </row>
    <row r="926" spans="2:7" x14ac:dyDescent="0.3">
      <c r="B926">
        <v>1098</v>
      </c>
      <c r="C926" s="13" t="str">
        <f>_xlfn.XLOOKUP(B926,LRV[id],LRV[source])</f>
        <v>Olson et al. (2005)</v>
      </c>
      <c r="D926" s="13" t="str">
        <f>LRVs!C750</f>
        <v>Chlorine</v>
      </c>
      <c r="E926" s="13" t="str">
        <f>LRVs!BG750</f>
        <v>Bacteria</v>
      </c>
      <c r="F926" s="13" t="str">
        <f>IF(LRVs!BH750="","",LRVs!BH750)</f>
        <v>Escherichia coli</v>
      </c>
      <c r="G926">
        <f>IF(LRVs!BL750="","",LRVs!BL750)</f>
        <v>5.2</v>
      </c>
    </row>
    <row r="927" spans="2:7" x14ac:dyDescent="0.3">
      <c r="B927">
        <v>1099</v>
      </c>
      <c r="C927" s="13" t="str">
        <f>_xlfn.XLOOKUP(B927,LRV[id],LRV[source])</f>
        <v>Olson et al. (2005)</v>
      </c>
      <c r="D927" s="13" t="str">
        <f>LRVs!C751</f>
        <v>Chlorine</v>
      </c>
      <c r="E927" s="13" t="str">
        <f>LRVs!BG751</f>
        <v>Bacteria</v>
      </c>
      <c r="F927" s="13" t="str">
        <f>IF(LRVs!BH751="","",LRVs!BH751)</f>
        <v>Salmonella enterica</v>
      </c>
      <c r="G927">
        <f>IF(LRVs!BL751="","",LRVs!BL751)</f>
        <v>8</v>
      </c>
    </row>
    <row r="928" spans="2:7" x14ac:dyDescent="0.3">
      <c r="B928">
        <v>1100</v>
      </c>
      <c r="C928" s="13" t="str">
        <f>_xlfn.XLOOKUP(B928,LRV[id],LRV[source])</f>
        <v>Olson et al. (2005)</v>
      </c>
      <c r="D928" s="13" t="str">
        <f>LRVs!C752</f>
        <v>Chlorine</v>
      </c>
      <c r="E928" s="13" t="str">
        <f>LRVs!BG752</f>
        <v>Bacteria</v>
      </c>
      <c r="F928" s="13" t="str">
        <f>IF(LRVs!BH752="","",LRVs!BH752)</f>
        <v>Salmonella enterica</v>
      </c>
      <c r="G928">
        <f>IF(LRVs!BL752="","",LRVs!BL752)</f>
        <v>7.8</v>
      </c>
    </row>
    <row r="929" spans="2:7" x14ac:dyDescent="0.3">
      <c r="B929">
        <v>1101</v>
      </c>
      <c r="C929" s="13" t="str">
        <f>_xlfn.XLOOKUP(B929,LRV[id],LRV[source])</f>
        <v>Olson et al. (2005)</v>
      </c>
      <c r="D929" s="13" t="str">
        <f>LRVs!C753</f>
        <v>Chlorine</v>
      </c>
      <c r="E929" s="13" t="str">
        <f>LRVs!BG753</f>
        <v>Bacteria</v>
      </c>
      <c r="F929" s="13" t="str">
        <f>IF(LRVs!BH753="","",LRVs!BH753)</f>
        <v>Salmonella enterica</v>
      </c>
      <c r="G929">
        <f>IF(LRVs!BL753="","",LRVs!BL753)</f>
        <v>7.8</v>
      </c>
    </row>
    <row r="930" spans="2:7" x14ac:dyDescent="0.3">
      <c r="B930">
        <v>1102</v>
      </c>
      <c r="C930" s="13" t="str">
        <f>_xlfn.XLOOKUP(B930,LRV[id],LRV[source])</f>
        <v>Olson et al. (2005)</v>
      </c>
      <c r="D930" s="13" t="str">
        <f>LRVs!C754</f>
        <v>Chlorine</v>
      </c>
      <c r="E930" s="13" t="str">
        <f>LRVs!BG754</f>
        <v>Bacteria</v>
      </c>
      <c r="F930" s="13" t="str">
        <f>IF(LRVs!BH754="","",LRVs!BH754)</f>
        <v>P. aeruginosa</v>
      </c>
      <c r="G930">
        <f>IF(LRVs!BL754="","",LRVs!BL754)</f>
        <v>7.4</v>
      </c>
    </row>
    <row r="931" spans="2:7" x14ac:dyDescent="0.3">
      <c r="B931">
        <v>1103</v>
      </c>
      <c r="C931" s="13" t="str">
        <f>_xlfn.XLOOKUP(B931,LRV[id],LRV[source])</f>
        <v>Pundsack et al. (2001)</v>
      </c>
      <c r="D931" s="13" t="str">
        <f>LRVs!C755</f>
        <v>Chlorine</v>
      </c>
      <c r="E931" s="13" t="str">
        <f>LRVs!BG755</f>
        <v>Virus</v>
      </c>
      <c r="F931" s="13" t="str">
        <f>IF(LRVs!BH755="","",LRVs!BH755)</f>
        <v>MS2</v>
      </c>
      <c r="G931">
        <f>IF(LRVs!BL755="","",LRVs!BL755)</f>
        <v>3.8</v>
      </c>
    </row>
    <row r="932" spans="2:7" x14ac:dyDescent="0.3">
      <c r="B932">
        <v>1104</v>
      </c>
      <c r="C932" s="13" t="str">
        <f>_xlfn.XLOOKUP(B932,LRV[id],LRV[source])</f>
        <v>Pundsack et al. (2001)</v>
      </c>
      <c r="D932" s="13" t="str">
        <f>LRVs!C756</f>
        <v>Chlorine</v>
      </c>
      <c r="E932" s="13" t="str">
        <f>LRVs!BG756</f>
        <v>Bacteria</v>
      </c>
      <c r="F932" s="13" t="str">
        <f>IF(LRVs!BH756="","",LRVs!BH756)</f>
        <v>Fecal coliform</v>
      </c>
      <c r="G932">
        <f>IF(LRVs!BL756="","",LRVs!BL756)</f>
        <v>1.9000000000000001</v>
      </c>
    </row>
    <row r="933" spans="2:7" x14ac:dyDescent="0.3">
      <c r="B933">
        <v>1105</v>
      </c>
      <c r="C933" s="13" t="str">
        <f>_xlfn.XLOOKUP(B933,LRV[id],LRV[source])</f>
        <v>Pundsack et al. (2001)</v>
      </c>
      <c r="D933" s="13" t="str">
        <f>LRVs!C757</f>
        <v>Chlorine</v>
      </c>
      <c r="E933" s="13" t="str">
        <f>LRVs!BG757</f>
        <v>Bacteria</v>
      </c>
      <c r="F933" s="13" t="str">
        <f>IF(LRVs!BH757="","",LRVs!BH757)</f>
        <v>Fecal coliform</v>
      </c>
      <c r="G933">
        <f>IF(LRVs!BL757="","",LRVs!BL757)</f>
        <v>1.9000000000000001</v>
      </c>
    </row>
    <row r="934" spans="2:7" x14ac:dyDescent="0.3">
      <c r="B934">
        <v>1106</v>
      </c>
      <c r="C934" s="13" t="str">
        <f>_xlfn.XLOOKUP(B934,LRV[id],LRV[source])</f>
        <v>Pundsack et al. (2001)</v>
      </c>
      <c r="D934" s="13" t="str">
        <f>LRVs!C758</f>
        <v>Chlorine</v>
      </c>
      <c r="E934" s="13" t="str">
        <f>LRVs!BG758</f>
        <v>Bacteria</v>
      </c>
      <c r="F934" s="13" t="str">
        <f>IF(LRVs!BH758="","",LRVs!BH758)</f>
        <v>Fecal coliform</v>
      </c>
      <c r="G934">
        <f>IF(LRVs!BL758="","",LRVs!BL758)</f>
        <v>4.7</v>
      </c>
    </row>
    <row r="935" spans="2:7" x14ac:dyDescent="0.3">
      <c r="B935">
        <v>1107</v>
      </c>
      <c r="C935" s="13" t="str">
        <f>_xlfn.XLOOKUP(B935,LRV[id],LRV[source])</f>
        <v>Pundsack et al. (2001)</v>
      </c>
      <c r="D935" s="13" t="str">
        <f>LRVs!C759</f>
        <v>Chlorine</v>
      </c>
      <c r="E935" s="13" t="str">
        <f>LRVs!BG759</f>
        <v>Bacteria</v>
      </c>
      <c r="F935" s="13" t="str">
        <f>IF(LRVs!BH759="","",LRVs!BH759)</f>
        <v>Fecal coliform</v>
      </c>
      <c r="G935">
        <f>IF(LRVs!BL759="","",LRVs!BL759)</f>
        <v>5.0999999999999996</v>
      </c>
    </row>
    <row r="936" spans="2:7" x14ac:dyDescent="0.3">
      <c r="B936">
        <v>1108</v>
      </c>
      <c r="C936" s="13" t="str">
        <f>_xlfn.XLOOKUP(B936,LRV[id],LRV[source])</f>
        <v>Pundsack et al. (2001)</v>
      </c>
      <c r="D936" s="13" t="str">
        <f>LRVs!C760</f>
        <v>Chlorine</v>
      </c>
      <c r="E936" s="13" t="str">
        <f>LRVs!BG760</f>
        <v>Bacteria</v>
      </c>
      <c r="F936" s="13" t="str">
        <f>IF(LRVs!BH760="","",LRVs!BH760)</f>
        <v>Fecal coliform</v>
      </c>
      <c r="G936">
        <f>IF(LRVs!BL760="","",LRVs!BL760)</f>
        <v>4.7</v>
      </c>
    </row>
    <row r="937" spans="2:7" x14ac:dyDescent="0.3">
      <c r="B937">
        <v>1109</v>
      </c>
      <c r="C937" s="13" t="str">
        <f>_xlfn.XLOOKUP(B937,LRV[id],LRV[source])</f>
        <v>Pundsack et al. (2001)</v>
      </c>
      <c r="D937" s="13" t="str">
        <f>LRVs!C761</f>
        <v>Chlorine</v>
      </c>
      <c r="E937" s="13" t="str">
        <f>LRVs!BG761</f>
        <v>Bacteria</v>
      </c>
      <c r="F937" s="13" t="str">
        <f>IF(LRVs!BH761="","",LRVs!BH761)</f>
        <v>Fecal coliform</v>
      </c>
      <c r="G937">
        <f>IF(LRVs!BL761="","",LRVs!BL761)</f>
        <v>1.4</v>
      </c>
    </row>
    <row r="938" spans="2:7" x14ac:dyDescent="0.3">
      <c r="B938">
        <v>1110</v>
      </c>
      <c r="C938" s="13" t="str">
        <f>_xlfn.XLOOKUP(B938,LRV[id],LRV[source])</f>
        <v>Pundsack et al. (2001)</v>
      </c>
      <c r="D938" s="13" t="str">
        <f>LRVs!C762</f>
        <v>Chlorine</v>
      </c>
      <c r="E938" s="13" t="str">
        <f>LRVs!BG762</f>
        <v>Bacteria</v>
      </c>
      <c r="F938" s="13" t="str">
        <f>IF(LRVs!BH762="","",LRVs!BH762)</f>
        <v>S. aureus</v>
      </c>
      <c r="G938">
        <f>IF(LRVs!BL762="","",LRVs!BL762)</f>
        <v>1.9</v>
      </c>
    </row>
    <row r="939" spans="2:7" x14ac:dyDescent="0.3">
      <c r="B939">
        <v>1111</v>
      </c>
      <c r="C939" s="13" t="str">
        <f>_xlfn.XLOOKUP(B939,LRV[id],LRV[source])</f>
        <v>Pundsack et al. (2001)</v>
      </c>
      <c r="D939" s="13" t="str">
        <f>LRVs!C763</f>
        <v>Chlorine</v>
      </c>
      <c r="E939" s="13" t="str">
        <f>LRVs!BG763</f>
        <v>Bacteria</v>
      </c>
      <c r="F939" s="13" t="str">
        <f>IF(LRVs!BH763="","",LRVs!BH763)</f>
        <v>S. aureus</v>
      </c>
      <c r="G939">
        <f>IF(LRVs!BL763="","",LRVs!BL763)</f>
        <v>1.9</v>
      </c>
    </row>
    <row r="940" spans="2:7" x14ac:dyDescent="0.3">
      <c r="B940">
        <v>1112</v>
      </c>
      <c r="C940" s="13" t="str">
        <f>_xlfn.XLOOKUP(B940,LRV[id],LRV[source])</f>
        <v>Pundsack et al. (2001)</v>
      </c>
      <c r="D940" s="13" t="str">
        <f>LRVs!C764</f>
        <v>Chlorine</v>
      </c>
      <c r="E940" s="13" t="str">
        <f>LRVs!BG764</f>
        <v>Bacteria</v>
      </c>
      <c r="F940" s="13" t="str">
        <f>IF(LRVs!BH764="","",LRVs!BH764)</f>
        <v>P. aeruginosa</v>
      </c>
      <c r="G940">
        <f>IF(LRVs!BL764="","",LRVs!BL764)</f>
        <v>1</v>
      </c>
    </row>
    <row r="941" spans="2:7" x14ac:dyDescent="0.3">
      <c r="B941">
        <v>1113</v>
      </c>
      <c r="C941" s="13" t="str">
        <f>_xlfn.XLOOKUP(B941,LRV[id],LRV[source])</f>
        <v>Pundsack et al. (2001)</v>
      </c>
      <c r="D941" s="13" t="str">
        <f>LRVs!C765</f>
        <v>Chlorine</v>
      </c>
      <c r="E941" s="13" t="str">
        <f>LRVs!BG765</f>
        <v>Bacteria</v>
      </c>
      <c r="F941" s="13" t="str">
        <f>IF(LRVs!BH765="","",LRVs!BH765)</f>
        <v>P. aeruginosa</v>
      </c>
      <c r="G941">
        <f>IF(LRVs!BL765="","",LRVs!BL765)</f>
        <v>1.3</v>
      </c>
    </row>
    <row r="942" spans="2:7" x14ac:dyDescent="0.3">
      <c r="B942">
        <v>1114</v>
      </c>
      <c r="C942" s="13" t="str">
        <f>_xlfn.XLOOKUP(B942,LRV[id],LRV[source])</f>
        <v>Pundsack et al. (2001)</v>
      </c>
      <c r="D942" s="13" t="str">
        <f>LRVs!C766</f>
        <v>Chlorine</v>
      </c>
      <c r="E942" s="13" t="str">
        <f>LRVs!BG766</f>
        <v>Bacteria</v>
      </c>
      <c r="F942" s="13" t="str">
        <f>IF(LRVs!BH766="","",LRVs!BH766)</f>
        <v>Total coliform</v>
      </c>
      <c r="G942">
        <f>IF(LRVs!BL766="","",LRVs!BL766)</f>
        <v>1.5999999999999996</v>
      </c>
    </row>
    <row r="943" spans="2:7" x14ac:dyDescent="0.3">
      <c r="B943">
        <v>1115</v>
      </c>
      <c r="C943" s="13" t="str">
        <f>_xlfn.XLOOKUP(B943,LRV[id],LRV[source])</f>
        <v>Pundsack et al. (2001)</v>
      </c>
      <c r="D943" s="13" t="str">
        <f>LRVs!C767</f>
        <v>Chlorine</v>
      </c>
      <c r="E943" s="13" t="str">
        <f>LRVs!BG767</f>
        <v>Bacteria</v>
      </c>
      <c r="F943" s="13" t="str">
        <f>IF(LRVs!BH767="","",LRVs!BH767)</f>
        <v>Total coliform</v>
      </c>
      <c r="G943">
        <f>IF(LRVs!BL767="","",LRVs!BL767)</f>
        <v>2.8</v>
      </c>
    </row>
    <row r="944" spans="2:7" x14ac:dyDescent="0.3">
      <c r="B944">
        <v>1116</v>
      </c>
      <c r="C944" s="13" t="str">
        <f>_xlfn.XLOOKUP(B944,LRV[id],LRV[source])</f>
        <v>Pundsack et al. (2001)</v>
      </c>
      <c r="D944" s="13" t="str">
        <f>LRVs!C768</f>
        <v>Chlorine</v>
      </c>
      <c r="E944" s="13" t="str">
        <f>LRVs!BG768</f>
        <v>Bacteria</v>
      </c>
      <c r="F944" s="13" t="str">
        <f>IF(LRVs!BH768="","",LRVs!BH768)</f>
        <v>Total coliform</v>
      </c>
      <c r="G944">
        <f>IF(LRVs!BL768="","",LRVs!BL768)</f>
        <v>4.3999999999999995</v>
      </c>
    </row>
    <row r="945" spans="2:7" x14ac:dyDescent="0.3">
      <c r="B945">
        <v>1117</v>
      </c>
      <c r="C945" s="13" t="str">
        <f>_xlfn.XLOOKUP(B945,LRV[id],LRV[source])</f>
        <v>Pundsack et al. (2001)</v>
      </c>
      <c r="D945" s="13" t="str">
        <f>LRVs!C769</f>
        <v>Ozone</v>
      </c>
      <c r="E945" s="13" t="str">
        <f>LRVs!BG769</f>
        <v>Bacteria</v>
      </c>
      <c r="F945" s="13" t="str">
        <f>IF(LRVs!BH769="","",LRVs!BH769)</f>
        <v>Total coliform</v>
      </c>
      <c r="G945">
        <f>IF(LRVs!BL769="","",LRVs!BL769)</f>
        <v>0.76848294855393506</v>
      </c>
    </row>
    <row r="946" spans="2:7" x14ac:dyDescent="0.3">
      <c r="B946">
        <v>1118</v>
      </c>
      <c r="C946" s="13" t="str">
        <f>_xlfn.XLOOKUP(B946,LRV[id],LRV[source])</f>
        <v>Seeger et al. (2016)</v>
      </c>
      <c r="D946" s="13" t="str">
        <f>LRVs!C770</f>
        <v>Ozone</v>
      </c>
      <c r="E946" s="13" t="str">
        <f>LRVs!BG770</f>
        <v>Bacteria</v>
      </c>
      <c r="F946" s="13" t="str">
        <f>IF(LRVs!BH770="","",LRVs!BH770)</f>
        <v>Total coliform</v>
      </c>
      <c r="G946">
        <f>IF(LRVs!BL770="","",LRVs!BL770)</f>
        <v>1.6862389275310972</v>
      </c>
    </row>
    <row r="947" spans="2:7" x14ac:dyDescent="0.3">
      <c r="B947">
        <v>1119</v>
      </c>
      <c r="C947" s="13" t="str">
        <f>_xlfn.XLOOKUP(B947,LRV[id],LRV[source])</f>
        <v>Seeger et al. (2016)</v>
      </c>
      <c r="D947" s="13" t="str">
        <f>LRVs!C771</f>
        <v>Ozone</v>
      </c>
      <c r="E947" s="13" t="str">
        <f>LRVs!BG771</f>
        <v>Bacteria</v>
      </c>
      <c r="F947" s="13" t="str">
        <f>IF(LRVs!BH771="","",LRVs!BH771)</f>
        <v>Total coliform</v>
      </c>
      <c r="G947">
        <f>IF(LRVs!BL771="","",LRVs!BL771)</f>
        <v>0.32283531366052998</v>
      </c>
    </row>
    <row r="948" spans="2:7" x14ac:dyDescent="0.3">
      <c r="B948">
        <v>1120</v>
      </c>
      <c r="C948" s="13" t="str">
        <f>_xlfn.XLOOKUP(B948,LRV[id],LRV[source])</f>
        <v>Seeger et al. (2016)</v>
      </c>
      <c r="D948" s="13" t="str">
        <f>LRVs!C772</f>
        <v>Ozone</v>
      </c>
      <c r="E948" s="13" t="str">
        <f>LRVs!BG772</f>
        <v>Bacteria</v>
      </c>
      <c r="F948" s="13" t="str">
        <f>IF(LRVs!BH772="","",LRVs!BH772)</f>
        <v>Total coliform</v>
      </c>
      <c r="G948">
        <f>IF(LRVs!BL772="","",LRVs!BL772)</f>
        <v>0.51281182621208821</v>
      </c>
    </row>
    <row r="949" spans="2:7" x14ac:dyDescent="0.3">
      <c r="B949">
        <v>1121</v>
      </c>
      <c r="C949" s="13" t="str">
        <f>_xlfn.XLOOKUP(B949,LRV[id],LRV[source])</f>
        <v>Seeger et al. (2016)</v>
      </c>
      <c r="D949" s="13" t="str">
        <f>LRVs!C773</f>
        <v>Ozone</v>
      </c>
      <c r="E949" s="13" t="str">
        <f>LRVs!BG773</f>
        <v>Bacteria</v>
      </c>
      <c r="F949" s="13" t="str">
        <f>IF(LRVs!BH773="","",LRVs!BH773)</f>
        <v>Total coliform</v>
      </c>
      <c r="G949">
        <f>IF(LRVs!BL773="","",LRVs!BL773)</f>
        <v>0.76848294855393506</v>
      </c>
    </row>
    <row r="950" spans="2:7" x14ac:dyDescent="0.3">
      <c r="B950">
        <v>1122</v>
      </c>
      <c r="C950" s="13" t="str">
        <f>_xlfn.XLOOKUP(B950,LRV[id],LRV[source])</f>
        <v>Seeger et al. (2016)</v>
      </c>
      <c r="D950" s="13" t="str">
        <f>LRVs!C774</f>
        <v>Ozone</v>
      </c>
      <c r="E950" s="13" t="str">
        <f>LRVs!BG774</f>
        <v>Bacteria</v>
      </c>
      <c r="F950" s="13" t="str">
        <f>IF(LRVs!BH774="","",LRVs!BH774)</f>
        <v>Total coliform</v>
      </c>
      <c r="G950">
        <f>IF(LRVs!BL774="","",LRVs!BL774)</f>
        <v>2.6404814369704219</v>
      </c>
    </row>
    <row r="951" spans="2:7" x14ac:dyDescent="0.3">
      <c r="B951">
        <v>1123</v>
      </c>
      <c r="C951" s="13" t="str">
        <f>_xlfn.XLOOKUP(B951,LRV[id],LRV[source])</f>
        <v>Seeger et al. (2016)</v>
      </c>
      <c r="D951" s="13" t="str">
        <f>LRVs!C775</f>
        <v>Ozone</v>
      </c>
      <c r="E951" s="13" t="str">
        <f>LRVs!BG775</f>
        <v>Bacteria</v>
      </c>
      <c r="F951" s="13" t="str">
        <f>IF(LRVs!BH775="","",LRVs!BH775)</f>
        <v>Total coliform</v>
      </c>
      <c r="G951">
        <f>IF(LRVs!BL775="","",LRVs!BL775)</f>
        <v>0.82283531366052998</v>
      </c>
    </row>
    <row r="952" spans="2:7" x14ac:dyDescent="0.3">
      <c r="B952">
        <v>1124</v>
      </c>
      <c r="C952" s="13" t="str">
        <f>_xlfn.XLOOKUP(B952,LRV[id],LRV[source])</f>
        <v>Gomez et al. (2006)</v>
      </c>
      <c r="D952" s="13" t="str">
        <f>LRVs!C776</f>
        <v>Ozone</v>
      </c>
      <c r="E952" s="13" t="str">
        <f>LRVs!BG776</f>
        <v>Bacteria</v>
      </c>
      <c r="F952" s="13" t="str">
        <f>IF(LRVs!BH776="","",LRVs!BH776)</f>
        <v>Total coliform</v>
      </c>
      <c r="G952">
        <f>IF(LRVs!BL776="","",LRVs!BL776)</f>
        <v>2.2128118262120879</v>
      </c>
    </row>
    <row r="953" spans="2:7" x14ac:dyDescent="0.3">
      <c r="B953">
        <v>1126</v>
      </c>
      <c r="C953" s="13" t="str">
        <f>_xlfn.XLOOKUP(B953,LRV[id],LRV[source])</f>
        <v>Gomez et al. (2006)</v>
      </c>
      <c r="D953" s="13" t="str">
        <f>LRVs!C777</f>
        <v>Ozone</v>
      </c>
      <c r="E953" s="13" t="str">
        <f>LRVs!BG777</f>
        <v>Bacteria</v>
      </c>
      <c r="F953" s="13" t="str">
        <f>IF(LRVs!BH777="","",LRVs!BH777)</f>
        <v>Total coliform</v>
      </c>
      <c r="G953">
        <f>IF(LRVs!BL777="","",LRVs!BL777)</f>
        <v>2</v>
      </c>
    </row>
    <row r="954" spans="2:7" x14ac:dyDescent="0.3">
      <c r="B954">
        <v>1128</v>
      </c>
      <c r="C954" s="13" t="str">
        <f>_xlfn.XLOOKUP(B954,LRV[id],LRV[source])</f>
        <v>Gomez et al. (2006)</v>
      </c>
      <c r="D954" s="13" t="str">
        <f>LRVs!C778</f>
        <v>Ozone</v>
      </c>
      <c r="E954" s="13" t="str">
        <f>LRVs!BG778</f>
        <v>Bacteria</v>
      </c>
      <c r="F954" s="13" t="str">
        <f>IF(LRVs!BH778="","",LRVs!BH778)</f>
        <v>Total coliform</v>
      </c>
      <c r="G954">
        <f>IF(LRVs!BL778="","",LRVs!BL778)</f>
        <v>2.6404814369704219</v>
      </c>
    </row>
    <row r="955" spans="2:7" x14ac:dyDescent="0.3">
      <c r="B955">
        <v>1129</v>
      </c>
      <c r="C955" s="13" t="str">
        <f>_xlfn.XLOOKUP(B955,LRV[id],LRV[source])</f>
        <v>Gomez et al. (2006)</v>
      </c>
      <c r="D955" s="13" t="str">
        <f>LRVs!C779</f>
        <v>Ozone</v>
      </c>
      <c r="E955" s="13" t="str">
        <f>LRVs!BG779</f>
        <v>Bacteria</v>
      </c>
      <c r="F955" s="13" t="str">
        <f>IF(LRVs!BH779="","",LRVs!BH779)</f>
        <v>Total coliform</v>
      </c>
      <c r="G955">
        <f>IF(LRVs!BL779="","",LRVs!BL779)</f>
        <v>1.8228353136605302</v>
      </c>
    </row>
    <row r="956" spans="2:7" x14ac:dyDescent="0.3">
      <c r="B956">
        <v>1130</v>
      </c>
      <c r="C956" s="13" t="str">
        <f>_xlfn.XLOOKUP(B956,LRV[id],LRV[source])</f>
        <v>Gomez et al. (2006)</v>
      </c>
      <c r="D956" s="13" t="str">
        <f>LRVs!C780</f>
        <v>Ozone</v>
      </c>
      <c r="E956" s="13" t="str">
        <f>LRVs!BG780</f>
        <v>Bacteria</v>
      </c>
      <c r="F956" s="13" t="str">
        <f>IF(LRVs!BH780="","",LRVs!BH780)</f>
        <v>Total coliform</v>
      </c>
      <c r="G956">
        <f>IF(LRVs!BL780="","",LRVs!BL780)</f>
        <v>2.8356905714924254</v>
      </c>
    </row>
    <row r="957" spans="2:7" x14ac:dyDescent="0.3">
      <c r="B957">
        <v>1131</v>
      </c>
      <c r="C957" s="13" t="str">
        <f>_xlfn.XLOOKUP(B957,LRV[id],LRV[source])</f>
        <v>Gomez et al. (2006)</v>
      </c>
      <c r="D957" s="13" t="str">
        <f>LRVs!C781</f>
        <v>UV</v>
      </c>
      <c r="E957" s="13" t="str">
        <f>LRVs!BG781</f>
        <v>Bacteria</v>
      </c>
      <c r="F957" s="13" t="str">
        <f>IF(LRVs!BH781="","",LRVs!BH781)</f>
        <v>Total coliform</v>
      </c>
      <c r="G957">
        <f>IF(LRVs!BL781="","",LRVs!BL781)</f>
        <v>2.6404814369704219</v>
      </c>
    </row>
    <row r="958" spans="2:7" x14ac:dyDescent="0.3">
      <c r="B958">
        <v>1132</v>
      </c>
      <c r="C958" s="13" t="str">
        <f>_xlfn.XLOOKUP(B958,LRV[id],LRV[source])</f>
        <v>Maciel et al. (2021)</v>
      </c>
      <c r="D958" s="13" t="str">
        <f>LRVs!C782</f>
        <v>UV</v>
      </c>
      <c r="E958" s="13" t="str">
        <f>LRVs!BG782</f>
        <v>Bacteria</v>
      </c>
      <c r="F958" s="13" t="str">
        <f>IF(LRVs!BH782="","",LRVs!BH782)</f>
        <v>Total coliform</v>
      </c>
      <c r="G958">
        <f>IF(LRVs!BL782="","",LRVs!BL782)</f>
        <v>3.5228353136605302</v>
      </c>
    </row>
    <row r="959" spans="2:7" x14ac:dyDescent="0.3">
      <c r="B959">
        <v>1133</v>
      </c>
      <c r="C959" s="13" t="str">
        <f>_xlfn.XLOOKUP(B959,LRV[id],LRV[source])</f>
        <v>Maciel et al. (2021)</v>
      </c>
      <c r="D959" s="13" t="str">
        <f>LRVs!C783</f>
        <v>UV</v>
      </c>
      <c r="E959" s="13" t="str">
        <f>LRVs!BG783</f>
        <v>Bacteria</v>
      </c>
      <c r="F959" s="13" t="str">
        <f>IF(LRVs!BH783="","",LRVs!BH783)</f>
        <v>Total coliform</v>
      </c>
      <c r="G959">
        <f>IF(LRVs!BL783="","",LRVs!BL783)</f>
        <v>3.312811826212088</v>
      </c>
    </row>
    <row r="960" spans="2:7" x14ac:dyDescent="0.3">
      <c r="B960">
        <v>1134</v>
      </c>
      <c r="C960" s="13" t="str">
        <f>_xlfn.XLOOKUP(B960,LRV[id],LRV[source])</f>
        <v>Maciel et al. (2021)</v>
      </c>
      <c r="D960" s="13" t="str">
        <f>LRVs!C784</f>
        <v>UV</v>
      </c>
      <c r="E960" s="13" t="str">
        <f>LRVs!BG784</f>
        <v>Bacteria</v>
      </c>
      <c r="F960" s="13" t="str">
        <f>IF(LRVs!BH784="","",LRVs!BH784)</f>
        <v>Total coliform</v>
      </c>
      <c r="G960">
        <f>IF(LRVs!BL784="","",LRVs!BL784)</f>
        <v>1.968482948553935</v>
      </c>
    </row>
    <row r="961" spans="2:7" x14ac:dyDescent="0.3">
      <c r="B961">
        <v>1135</v>
      </c>
      <c r="C961" s="13" t="str">
        <f>_xlfn.XLOOKUP(B961,LRV[id],LRV[source])</f>
        <v>Maciel et al. (2021)</v>
      </c>
      <c r="D961" s="13" t="str">
        <f>LRVs!C785</f>
        <v>UV</v>
      </c>
      <c r="E961" s="13" t="str">
        <f>LRVs!BG785</f>
        <v>Bacteria</v>
      </c>
      <c r="F961" s="13" t="str">
        <f>IF(LRVs!BH785="","",LRVs!BH785)</f>
        <v>Total coliform</v>
      </c>
      <c r="G961">
        <f>IF(LRVs!BL785="","",LRVs!BL785)</f>
        <v>2.6404814369704219</v>
      </c>
    </row>
    <row r="962" spans="2:7" x14ac:dyDescent="0.3">
      <c r="B962">
        <v>1136</v>
      </c>
      <c r="C962" s="13" t="str">
        <f>_xlfn.XLOOKUP(B962,LRV[id],LRV[source])</f>
        <v>Maciel et al. (2021)</v>
      </c>
      <c r="D962" s="13" t="str">
        <f>LRVs!C786</f>
        <v>UV</v>
      </c>
      <c r="E962" s="13" t="str">
        <f>LRVs!BG786</f>
        <v>Bacteria</v>
      </c>
      <c r="F962" s="13" t="str">
        <f>IF(LRVs!BH786="","",LRVs!BH786)</f>
        <v>Total coliform</v>
      </c>
      <c r="G962">
        <f>IF(LRVs!BL786="","",LRVs!BL786)</f>
        <v>3.5228353136605302</v>
      </c>
    </row>
    <row r="963" spans="2:7" x14ac:dyDescent="0.3">
      <c r="B963">
        <v>1137</v>
      </c>
      <c r="C963" s="13" t="str">
        <f>_xlfn.XLOOKUP(B963,LRV[id],LRV[source])</f>
        <v>Maciel et al. (2021)</v>
      </c>
      <c r="D963" s="13" t="str">
        <f>LRVs!C787</f>
        <v>UV</v>
      </c>
      <c r="E963" s="13" t="str">
        <f>LRVs!BG787</f>
        <v>Bacteria</v>
      </c>
      <c r="F963" s="13" t="str">
        <f>IF(LRVs!BH787="","",LRVs!BH787)</f>
        <v>Total coliform</v>
      </c>
      <c r="G963">
        <f>IF(LRVs!BL787="","",LRVs!BL787)</f>
        <v>3.312811826212088</v>
      </c>
    </row>
    <row r="964" spans="2:7" x14ac:dyDescent="0.3">
      <c r="B964">
        <v>1138</v>
      </c>
      <c r="C964" s="13" t="str">
        <f>_xlfn.XLOOKUP(B964,LRV[id],LRV[source])</f>
        <v>Maciel et al. (2021)</v>
      </c>
      <c r="D964" s="13" t="str">
        <f>LRVs!C788</f>
        <v>UV</v>
      </c>
      <c r="E964" s="13" t="str">
        <f>LRVs!BG788</f>
        <v>Bacteria</v>
      </c>
      <c r="F964" s="13" t="str">
        <f>IF(LRVs!BH788="","",LRVs!BH788)</f>
        <v>Total coliform</v>
      </c>
      <c r="G964">
        <f>IF(LRVs!BL788="","",LRVs!BL788)</f>
        <v>1.968482948553935</v>
      </c>
    </row>
    <row r="965" spans="2:7" x14ac:dyDescent="0.3">
      <c r="B965">
        <v>1139</v>
      </c>
      <c r="C965" s="13" t="str">
        <f>_xlfn.XLOOKUP(B965,LRV[id],LRV[source])</f>
        <v>Maciel et al. (2021)</v>
      </c>
      <c r="D965" s="13" t="str">
        <f>LRVs!C789</f>
        <v>UV</v>
      </c>
      <c r="E965" s="13" t="str">
        <f>LRVs!BG789</f>
        <v>Bacteria</v>
      </c>
      <c r="F965" s="13" t="str">
        <f>IF(LRVs!BH789="","",LRVs!BH789)</f>
        <v>Total coliform</v>
      </c>
      <c r="G965">
        <f>IF(LRVs!BL789="","",LRVs!BL789)</f>
        <v>1.968482948553935</v>
      </c>
    </row>
    <row r="966" spans="2:7" x14ac:dyDescent="0.3">
      <c r="B966">
        <v>1140</v>
      </c>
      <c r="C966" s="13" t="str">
        <f>_xlfn.XLOOKUP(B966,LRV[id],LRV[source])</f>
        <v>Maciel et al. (2021)</v>
      </c>
      <c r="D966" s="13" t="str">
        <f>LRVs!C790</f>
        <v>Ozone</v>
      </c>
      <c r="E966" s="13" t="str">
        <f>LRVs!BG790</f>
        <v>Bacteria</v>
      </c>
      <c r="F966" s="13" t="str">
        <f>IF(LRVs!BH790="","",LRVs!BH790)</f>
        <v>Enterococci</v>
      </c>
      <c r="G966">
        <f>IF(LRVs!BL790="","",LRVs!BL790)</f>
        <v>2.9</v>
      </c>
    </row>
    <row r="967" spans="2:7" x14ac:dyDescent="0.3">
      <c r="B967">
        <v>1141</v>
      </c>
      <c r="C967" s="13" t="str">
        <f>_xlfn.XLOOKUP(B967,LRV[id],LRV[source])</f>
        <v>Maciel et al. (2021)</v>
      </c>
      <c r="D967" s="13" t="str">
        <f>LRVs!C791</f>
        <v>Ozone</v>
      </c>
      <c r="E967" s="13" t="str">
        <f>LRVs!BG791</f>
        <v>Bacteria</v>
      </c>
      <c r="F967" s="13" t="str">
        <f>IF(LRVs!BH791="","",LRVs!BH791)</f>
        <v>Enterococci</v>
      </c>
      <c r="G967">
        <f>IF(LRVs!BL791="","",LRVs!BL791)</f>
        <v>1.8450980400142569</v>
      </c>
    </row>
    <row r="968" spans="2:7" x14ac:dyDescent="0.3">
      <c r="B968">
        <v>1142</v>
      </c>
      <c r="C968" s="13" t="str">
        <f>_xlfn.XLOOKUP(B968,LRV[id],LRV[source])</f>
        <v>Maciel et al. (2021)</v>
      </c>
      <c r="D968" s="13" t="str">
        <f>LRVs!C792</f>
        <v>Ozone</v>
      </c>
      <c r="E968" s="13" t="str">
        <f>LRVs!BG792</f>
        <v>Bacteria</v>
      </c>
      <c r="F968" s="13" t="str">
        <f>IF(LRVs!BH792="","",LRVs!BH792)</f>
        <v>Enterococci</v>
      </c>
      <c r="G968">
        <f>IF(LRVs!BL792="","",LRVs!BL792)</f>
        <v>1.8976270912904414</v>
      </c>
    </row>
    <row r="969" spans="2:7" x14ac:dyDescent="0.3">
      <c r="B969">
        <v>1143</v>
      </c>
      <c r="C969" s="13" t="str">
        <f>_xlfn.XLOOKUP(B969,LRV[id],LRV[source])</f>
        <v>Maciel et al. (2021)</v>
      </c>
      <c r="D969" s="13" t="str">
        <f>LRVs!C793</f>
        <v>Ozone</v>
      </c>
      <c r="E969" s="13" t="str">
        <f>LRVs!BG793</f>
        <v>Bacteria</v>
      </c>
      <c r="F969" s="13" t="str">
        <f>IF(LRVs!BH793="","",LRVs!BH793)</f>
        <v>Enterococci</v>
      </c>
      <c r="G969">
        <f>IF(LRVs!BL793="","",LRVs!BL793)</f>
        <v>1.9084850188786497</v>
      </c>
    </row>
    <row r="970" spans="2:7" x14ac:dyDescent="0.3">
      <c r="B970">
        <v>1144</v>
      </c>
      <c r="C970" s="13" t="str">
        <f>_xlfn.XLOOKUP(B970,LRV[id],LRV[source])</f>
        <v>Schang et al. (2021)</v>
      </c>
      <c r="D970" s="13" t="str">
        <f>LRVs!C794</f>
        <v>UV</v>
      </c>
      <c r="E970" s="13" t="str">
        <f>LRVs!BG794</f>
        <v>Bacteria</v>
      </c>
      <c r="F970" s="13" t="str">
        <f>IF(LRVs!BH794="","",LRVs!BH794)</f>
        <v>Enterococci</v>
      </c>
      <c r="G970">
        <f>IF(LRVs!BL794="","",LRVs!BL794)</f>
        <v>1.8450980400142569</v>
      </c>
    </row>
    <row r="971" spans="2:7" x14ac:dyDescent="0.3">
      <c r="B971">
        <v>1145</v>
      </c>
      <c r="C971" s="13" t="str">
        <f>_xlfn.XLOOKUP(B971,LRV[id],LRV[source])</f>
        <v>Schang et al. (2021)</v>
      </c>
      <c r="D971" s="13" t="str">
        <f>LRVs!C795</f>
        <v>UV</v>
      </c>
      <c r="E971" s="13" t="str">
        <f>LRVs!BG795</f>
        <v>Bacteria</v>
      </c>
      <c r="F971" s="13" t="str">
        <f>IF(LRVs!BH795="","",LRVs!BH795)</f>
        <v>Enterococci</v>
      </c>
      <c r="G971">
        <f>IF(LRVs!BL795="","",LRVs!BL795)</f>
        <v>1.8976270912904414</v>
      </c>
    </row>
    <row r="972" spans="2:7" x14ac:dyDescent="0.3">
      <c r="B972">
        <v>1146</v>
      </c>
      <c r="C972" s="13" t="str">
        <f>_xlfn.XLOOKUP(B972,LRV[id],LRV[source])</f>
        <v>Schang et al. (2021)</v>
      </c>
      <c r="D972" s="13" t="str">
        <f>LRVs!C796</f>
        <v>UV</v>
      </c>
      <c r="E972" s="13" t="str">
        <f>LRVs!BG796</f>
        <v>Bacteria</v>
      </c>
      <c r="F972" s="13" t="str">
        <f>IF(LRVs!BH796="","",LRVs!BH796)</f>
        <v>Enterococci</v>
      </c>
      <c r="G972">
        <f>IF(LRVs!BL796="","",LRVs!BL796)</f>
        <v>1.9084850188786497</v>
      </c>
    </row>
    <row r="973" spans="2:7" x14ac:dyDescent="0.3">
      <c r="B973">
        <v>1147</v>
      </c>
      <c r="C973" s="13" t="str">
        <f>_xlfn.XLOOKUP(B973,LRV[id],LRV[source])</f>
        <v>Schang et al. (2021)</v>
      </c>
      <c r="D973" s="13" t="str">
        <f>LRVs!C797</f>
        <v>UV</v>
      </c>
      <c r="E973" s="13" t="str">
        <f>LRVs!BG797</f>
        <v>Bacteria</v>
      </c>
      <c r="F973" s="13" t="str">
        <f>IF(LRVs!BH797="","",LRVs!BH797)</f>
        <v>Enterococci</v>
      </c>
      <c r="G973">
        <f>IF(LRVs!BL797="","",LRVs!BL797)</f>
        <v>2.8615344108590377</v>
      </c>
    </row>
    <row r="974" spans="2:7" x14ac:dyDescent="0.3">
      <c r="B974">
        <v>1148</v>
      </c>
      <c r="C974" s="13" t="str">
        <f>_xlfn.XLOOKUP(B974,LRV[id],LRV[source])</f>
        <v>Schang et al. (2021)</v>
      </c>
      <c r="D974" s="13" t="str">
        <f>LRVs!C798</f>
        <v>Ozone</v>
      </c>
      <c r="E974" s="13" t="str">
        <f>LRVs!BG798</f>
        <v>Virus</v>
      </c>
      <c r="F974" s="13" t="str">
        <f>IF(LRVs!BH798="","",LRVs!BH798)</f>
        <v>MS2</v>
      </c>
      <c r="G974">
        <f>IF(LRVs!BL798="","",LRVs!BL798)</f>
        <v>5.6</v>
      </c>
    </row>
    <row r="975" spans="2:7" x14ac:dyDescent="0.3">
      <c r="B975">
        <v>1149</v>
      </c>
      <c r="C975" s="13" t="str">
        <f>_xlfn.XLOOKUP(B975,LRV[id],LRV[source])</f>
        <v>Schang et al. (2021)</v>
      </c>
      <c r="D975" s="13" t="str">
        <f>LRVs!C799</f>
        <v>Ozone</v>
      </c>
      <c r="E975" s="13" t="str">
        <f>LRVs!BG799</f>
        <v>Virus</v>
      </c>
      <c r="F975" s="13" t="str">
        <f>IF(LRVs!BH799="","",LRVs!BH799)</f>
        <v>MS2</v>
      </c>
      <c r="G975">
        <f>IF(LRVs!BL799="","",LRVs!BL799)</f>
        <v>2</v>
      </c>
    </row>
    <row r="976" spans="2:7" x14ac:dyDescent="0.3">
      <c r="B976">
        <v>1150</v>
      </c>
      <c r="C976" s="13" t="str">
        <f>_xlfn.XLOOKUP(B976,LRV[id],LRV[source])</f>
        <v>Schang et al. (2021)</v>
      </c>
      <c r="D976" s="13" t="str">
        <f>LRVs!C800</f>
        <v>Ozone</v>
      </c>
      <c r="E976" s="13" t="str">
        <f>LRVs!BG800</f>
        <v>Virus</v>
      </c>
      <c r="F976" s="13" t="str">
        <f>IF(LRVs!BH800="","",LRVs!BH800)</f>
        <v>MS2</v>
      </c>
      <c r="G976">
        <f>IF(LRVs!BL800="","",LRVs!BL800)</f>
        <v>3.2</v>
      </c>
    </row>
    <row r="977" spans="2:7" x14ac:dyDescent="0.3">
      <c r="B977">
        <v>1151</v>
      </c>
      <c r="C977" s="13" t="str">
        <f>_xlfn.XLOOKUP(B977,LRV[id],LRV[source])</f>
        <v>Schang et al. (2021)</v>
      </c>
      <c r="D977" s="13" t="str">
        <f>LRVs!C801</f>
        <v>Ozone</v>
      </c>
      <c r="E977" s="13" t="str">
        <f>LRVs!BG801</f>
        <v>Virus</v>
      </c>
      <c r="F977" s="13" t="str">
        <f>IF(LRVs!BH801="","",LRVs!BH801)</f>
        <v>MS2</v>
      </c>
      <c r="G977">
        <f>IF(LRVs!BL801="","",LRVs!BL801)</f>
        <v>2</v>
      </c>
    </row>
    <row r="978" spans="2:7" x14ac:dyDescent="0.3">
      <c r="B978">
        <v>1152</v>
      </c>
      <c r="C978" s="13" t="str">
        <f>_xlfn.XLOOKUP(B978,LRV[id],LRV[source])</f>
        <v>Schang et al. (2021)</v>
      </c>
      <c r="D978" s="13" t="str">
        <f>LRVs!C802</f>
        <v>Ozone</v>
      </c>
      <c r="E978" s="13" t="str">
        <f>LRVs!BG802</f>
        <v>Virus</v>
      </c>
      <c r="F978" s="13" t="str">
        <f>IF(LRVs!BH802="","",LRVs!BH802)</f>
        <v>MS2</v>
      </c>
      <c r="G978">
        <f>IF(LRVs!BL802="","",LRVs!BL802)</f>
        <v>3</v>
      </c>
    </row>
    <row r="979" spans="2:7" x14ac:dyDescent="0.3">
      <c r="B979">
        <v>1153</v>
      </c>
      <c r="C979" s="13" t="str">
        <f>_xlfn.XLOOKUP(B979,LRV[id],LRV[source])</f>
        <v>Schang et al. (2021)</v>
      </c>
      <c r="D979" s="13" t="str">
        <f>LRVs!C803</f>
        <v>Ozone</v>
      </c>
      <c r="E979" s="13" t="str">
        <f>LRVs!BG803</f>
        <v>Virus</v>
      </c>
      <c r="F979" s="13" t="str">
        <f>IF(LRVs!BH803="","",LRVs!BH803)</f>
        <v>MS2</v>
      </c>
      <c r="G979">
        <f>IF(LRVs!BL803="","",LRVs!BL803)</f>
        <v>5</v>
      </c>
    </row>
    <row r="980" spans="2:7" x14ac:dyDescent="0.3">
      <c r="B980">
        <v>1154</v>
      </c>
      <c r="C980" s="13" t="str">
        <f>_xlfn.XLOOKUP(B980,LRV[id],LRV[source])</f>
        <v>Schang et al. (2021)</v>
      </c>
      <c r="D980" s="13" t="str">
        <f>LRVs!C804</f>
        <v>Ozone</v>
      </c>
      <c r="E980" s="13" t="str">
        <f>LRVs!BG804</f>
        <v>Virus</v>
      </c>
      <c r="F980" s="13" t="str">
        <f>IF(LRVs!BH804="","",LRVs!BH804)</f>
        <v>MS2</v>
      </c>
      <c r="G980">
        <f>IF(LRVs!BL804="","",LRVs!BL804)</f>
        <v>0.2</v>
      </c>
    </row>
    <row r="981" spans="2:7" x14ac:dyDescent="0.3">
      <c r="B981">
        <v>1155</v>
      </c>
      <c r="C981" s="13" t="str">
        <f>_xlfn.XLOOKUP(B981,LRV[id],LRV[source])</f>
        <v>Schang et al. (2021)</v>
      </c>
      <c r="D981" s="13" t="str">
        <f>LRVs!C805</f>
        <v>Ozone</v>
      </c>
      <c r="E981" s="13" t="str">
        <f>LRVs!BG805</f>
        <v>Virus</v>
      </c>
      <c r="F981" s="13" t="str">
        <f>IF(LRVs!BH805="","",LRVs!BH805)</f>
        <v>MS2</v>
      </c>
      <c r="G981">
        <f>IF(LRVs!BL805="","",LRVs!BL805)</f>
        <v>2</v>
      </c>
    </row>
    <row r="982" spans="2:7" x14ac:dyDescent="0.3">
      <c r="B982">
        <v>1156</v>
      </c>
      <c r="C982" s="13" t="str">
        <f>_xlfn.XLOOKUP(B982,LRV[id],LRV[source])</f>
        <v>Schang et al. (2021)</v>
      </c>
      <c r="D982" s="13" t="str">
        <f>LRVs!C806</f>
        <v>Ozone</v>
      </c>
      <c r="E982" s="13" t="str">
        <f>LRVs!BG806</f>
        <v>Virus</v>
      </c>
      <c r="F982" s="13" t="str">
        <f>IF(LRVs!BH806="","",LRVs!BH806)</f>
        <v>MS2</v>
      </c>
      <c r="G982">
        <f>IF(LRVs!BL806="","",LRVs!BL806)</f>
        <v>5</v>
      </c>
    </row>
    <row r="983" spans="2:7" x14ac:dyDescent="0.3">
      <c r="B983">
        <v>1157</v>
      </c>
      <c r="C983" s="13" t="str">
        <f>_xlfn.XLOOKUP(B983,LRV[id],LRV[source])</f>
        <v>Schang et al. (2021)</v>
      </c>
      <c r="D983" s="13" t="str">
        <f>LRVs!C807</f>
        <v>Ozone</v>
      </c>
      <c r="E983" s="13" t="str">
        <f>LRVs!BG807</f>
        <v>Virus</v>
      </c>
      <c r="F983" s="13" t="str">
        <f>IF(LRVs!BH807="","",LRVs!BH807)</f>
        <v>MS2</v>
      </c>
      <c r="G983">
        <f>IF(LRVs!BL807="","",LRVs!BL807)</f>
        <v>5.6</v>
      </c>
    </row>
    <row r="984" spans="2:7" x14ac:dyDescent="0.3">
      <c r="B984">
        <v>1158</v>
      </c>
      <c r="C984" s="13" t="str">
        <f>_xlfn.XLOOKUP(B984,LRV[id],LRV[source])</f>
        <v>Schang et al. (2021)</v>
      </c>
      <c r="D984" s="13" t="str">
        <f>LRVs!C808</f>
        <v>UV</v>
      </c>
      <c r="E984" s="13" t="str">
        <f>LRVs!BG808</f>
        <v>Virus</v>
      </c>
      <c r="F984" s="13" t="str">
        <f>IF(LRVs!BH808="","",LRVs!BH808)</f>
        <v>MS2</v>
      </c>
      <c r="G984">
        <f>IF(LRVs!BL808="","",LRVs!BL808)</f>
        <v>1.5</v>
      </c>
    </row>
    <row r="985" spans="2:7" x14ac:dyDescent="0.3">
      <c r="B985">
        <v>1159</v>
      </c>
      <c r="C985" s="13" t="str">
        <f>_xlfn.XLOOKUP(B985,LRV[id],LRV[source])</f>
        <v>Schang et al. (2021)</v>
      </c>
      <c r="D985" s="13" t="str">
        <f>LRVs!C809</f>
        <v>UV</v>
      </c>
      <c r="E985" s="13" t="str">
        <f>LRVs!BG809</f>
        <v>Virus</v>
      </c>
      <c r="F985" s="13" t="str">
        <f>IF(LRVs!BH809="","",LRVs!BH809)</f>
        <v>MS2</v>
      </c>
      <c r="G985">
        <f>IF(LRVs!BL809="","",LRVs!BL809)</f>
        <v>1.2</v>
      </c>
    </row>
    <row r="986" spans="2:7" x14ac:dyDescent="0.3">
      <c r="B986">
        <v>1160</v>
      </c>
      <c r="C986" s="13" t="str">
        <f>_xlfn.XLOOKUP(B986,LRV[id],LRV[source])</f>
        <v>Schang et al. (2021)</v>
      </c>
      <c r="D986" s="13" t="str">
        <f>LRVs!C810</f>
        <v>UV</v>
      </c>
      <c r="E986" s="13" t="str">
        <f>LRVs!BG810</f>
        <v>Virus</v>
      </c>
      <c r="F986" s="13" t="str">
        <f>IF(LRVs!BH810="","",LRVs!BH810)</f>
        <v>MS2</v>
      </c>
      <c r="G986">
        <f>IF(LRVs!BL810="","",LRVs!BL810)</f>
        <v>1.8</v>
      </c>
    </row>
    <row r="987" spans="2:7" x14ac:dyDescent="0.3">
      <c r="B987">
        <v>1161</v>
      </c>
      <c r="C987" s="13" t="str">
        <f>_xlfn.XLOOKUP(B987,LRV[id],LRV[source])</f>
        <v>Schang et al. (2021)</v>
      </c>
      <c r="D987" s="13" t="str">
        <f>LRVs!C811</f>
        <v>UV</v>
      </c>
      <c r="E987" s="13" t="str">
        <f>LRVs!BG811</f>
        <v>Virus</v>
      </c>
      <c r="F987" s="13" t="str">
        <f>IF(LRVs!BH811="","",LRVs!BH811)</f>
        <v>MS2</v>
      </c>
      <c r="G987">
        <f>IF(LRVs!BL811="","",LRVs!BL811)</f>
        <v>1.2</v>
      </c>
    </row>
    <row r="988" spans="2:7" x14ac:dyDescent="0.3">
      <c r="B988">
        <v>1162</v>
      </c>
      <c r="C988" s="13" t="str">
        <f>_xlfn.XLOOKUP(B988,LRV[id],LRV[source])</f>
        <v>Schang et al. (2021)</v>
      </c>
      <c r="D988" s="13" t="str">
        <f>LRVs!C812</f>
        <v>UV</v>
      </c>
      <c r="E988" s="13" t="str">
        <f>LRVs!BG812</f>
        <v>Virus</v>
      </c>
      <c r="F988" s="13" t="str">
        <f>IF(LRVs!BH812="","",LRVs!BH812)</f>
        <v>MS2</v>
      </c>
      <c r="G988">
        <f>IF(LRVs!BL812="","",LRVs!BL812)</f>
        <v>2.5</v>
      </c>
    </row>
    <row r="989" spans="2:7" x14ac:dyDescent="0.3">
      <c r="B989">
        <v>1163</v>
      </c>
      <c r="C989" s="13" t="str">
        <f>_xlfn.XLOOKUP(B989,LRV[id],LRV[source])</f>
        <v>Schang et al. (2021)</v>
      </c>
      <c r="D989" s="13" t="str">
        <f>LRVs!C813</f>
        <v>UV</v>
      </c>
      <c r="E989" s="13" t="str">
        <f>LRVs!BG813</f>
        <v>Virus</v>
      </c>
      <c r="F989" s="13" t="str">
        <f>IF(LRVs!BH813="","",LRVs!BH813)</f>
        <v>MS2</v>
      </c>
      <c r="G989">
        <f>IF(LRVs!BL813="","",LRVs!BL813)</f>
        <v>3</v>
      </c>
    </row>
    <row r="990" spans="2:7" x14ac:dyDescent="0.3">
      <c r="B990">
        <v>1164</v>
      </c>
      <c r="C990" s="13" t="str">
        <f>_xlfn.XLOOKUP(B990,LRV[id],LRV[source])</f>
        <v>Schang et al. (2021)</v>
      </c>
      <c r="D990" s="13" t="str">
        <f>LRVs!C814</f>
        <v>UV</v>
      </c>
      <c r="E990" s="13" t="str">
        <f>LRVs!BG814</f>
        <v>Virus</v>
      </c>
      <c r="F990" s="13" t="str">
        <f>IF(LRVs!BH814="","",LRVs!BH814)</f>
        <v>MS2</v>
      </c>
      <c r="G990">
        <f>IF(LRVs!BL814="","",LRVs!BL814)</f>
        <v>2.8</v>
      </c>
    </row>
    <row r="991" spans="2:7" x14ac:dyDescent="0.3">
      <c r="B991">
        <v>1165</v>
      </c>
      <c r="C991" s="13" t="str">
        <f>_xlfn.XLOOKUP(B991,LRV[id],LRV[source])</f>
        <v>Schang et al. (2021)</v>
      </c>
      <c r="D991" s="13" t="str">
        <f>LRVs!C815</f>
        <v>UV</v>
      </c>
      <c r="E991" s="13" t="str">
        <f>LRVs!BG815</f>
        <v>Virus</v>
      </c>
      <c r="F991" s="13" t="str">
        <f>IF(LRVs!BH815="","",LRVs!BH815)</f>
        <v>MS2</v>
      </c>
      <c r="G991">
        <f>IF(LRVs!BL815="","",LRVs!BL815)</f>
        <v>2.2000000000000002</v>
      </c>
    </row>
    <row r="992" spans="2:7" x14ac:dyDescent="0.3">
      <c r="B992">
        <v>1166</v>
      </c>
      <c r="C992" s="13" t="str">
        <f>_xlfn.XLOOKUP(B992,LRV[id],LRV[source])</f>
        <v>Schang et al. (2021)</v>
      </c>
      <c r="D992" s="13" t="str">
        <f>LRVs!C816</f>
        <v>UV</v>
      </c>
      <c r="E992" s="13" t="str">
        <f>LRVs!BG816</f>
        <v>Virus</v>
      </c>
      <c r="F992" s="13" t="str">
        <f>IF(LRVs!BH816="","",LRVs!BH816)</f>
        <v>MS2</v>
      </c>
      <c r="G992">
        <f>IF(LRVs!BL816="","",LRVs!BL816)</f>
        <v>5.6</v>
      </c>
    </row>
    <row r="993" spans="2:7" x14ac:dyDescent="0.3">
      <c r="B993">
        <v>1167</v>
      </c>
      <c r="C993" s="13" t="str">
        <f>_xlfn.XLOOKUP(B993,LRV[id],LRV[source])</f>
        <v>Schang et al. (2021)</v>
      </c>
      <c r="D993" s="13" t="str">
        <f>LRVs!C817</f>
        <v>UV</v>
      </c>
      <c r="E993" s="13" t="str">
        <f>LRVs!BG817</f>
        <v>Virus</v>
      </c>
      <c r="F993" s="13" t="str">
        <f>IF(LRVs!BH817="","",LRVs!BH817)</f>
        <v>MS2</v>
      </c>
      <c r="G993">
        <f>IF(LRVs!BL817="","",LRVs!BL817)</f>
        <v>5.8</v>
      </c>
    </row>
    <row r="994" spans="2:7" x14ac:dyDescent="0.3">
      <c r="B994">
        <v>1168</v>
      </c>
      <c r="C994" s="13" t="str">
        <f>_xlfn.XLOOKUP(B994,LRV[id],LRV[source])</f>
        <v>Schang et al. (2021)</v>
      </c>
      <c r="D994" s="13" t="str">
        <f>LRVs!C818</f>
        <v>UV</v>
      </c>
      <c r="E994" s="13" t="str">
        <f>LRVs!BG818</f>
        <v>Virus</v>
      </c>
      <c r="F994" s="13" t="str">
        <f>IF(LRVs!BH818="","",LRVs!BH818)</f>
        <v>MS2</v>
      </c>
      <c r="G994">
        <f>IF(LRVs!BL818="","",LRVs!BL818)</f>
        <v>4.0999999999999996</v>
      </c>
    </row>
    <row r="995" spans="2:7" x14ac:dyDescent="0.3">
      <c r="B995">
        <v>1169</v>
      </c>
      <c r="C995" s="13" t="str">
        <f>_xlfn.XLOOKUP(B995,LRV[id],LRV[source])</f>
        <v>Schang et al. (2021)</v>
      </c>
      <c r="D995" s="13" t="str">
        <f>LRVs!C819</f>
        <v>UV</v>
      </c>
      <c r="E995" s="13" t="str">
        <f>LRVs!BG819</f>
        <v>Virus</v>
      </c>
      <c r="F995" s="13" t="str">
        <f>IF(LRVs!BH819="","",LRVs!BH819)</f>
        <v>MS2</v>
      </c>
      <c r="G995">
        <f>IF(LRVs!BL819="","",LRVs!BL819)</f>
        <v>3.9</v>
      </c>
    </row>
    <row r="996" spans="2:7" x14ac:dyDescent="0.3">
      <c r="B996">
        <v>1170</v>
      </c>
      <c r="C996" s="13" t="str">
        <f>_xlfn.XLOOKUP(B996,LRV[id],LRV[source])</f>
        <v>Schang et al. (2021)</v>
      </c>
      <c r="D996" s="13" t="str">
        <f>LRVs!C820</f>
        <v>UV</v>
      </c>
      <c r="E996" s="13" t="str">
        <f>LRVs!BG820</f>
        <v>Bacteria</v>
      </c>
      <c r="F996" s="13" t="str">
        <f>IF(LRVs!BH820="","",LRVs!BH820)</f>
        <v>Fecal coliform</v>
      </c>
      <c r="G996">
        <f>IF(LRVs!BL820="","",LRVs!BL820)</f>
        <v>4.0413926851582254</v>
      </c>
    </row>
    <row r="997" spans="2:7" x14ac:dyDescent="0.3">
      <c r="B997">
        <v>1171</v>
      </c>
      <c r="C997" s="13" t="str">
        <f>_xlfn.XLOOKUP(B997,LRV[id],LRV[source])</f>
        <v>Schang et al. (2021)</v>
      </c>
      <c r="D997" s="13" t="str">
        <f>LRVs!C821</f>
        <v>UV</v>
      </c>
      <c r="E997" s="13" t="str">
        <f>LRVs!BG821</f>
        <v>Bacteria</v>
      </c>
      <c r="F997" s="13" t="str">
        <f>IF(LRVs!BH821="","",LRVs!BH821)</f>
        <v>Escherichia coli</v>
      </c>
      <c r="G997">
        <f>IF(LRVs!BL821="","",LRVs!BL821)</f>
        <v>5.5</v>
      </c>
    </row>
    <row r="998" spans="2:7" x14ac:dyDescent="0.3">
      <c r="B998">
        <v>1172</v>
      </c>
      <c r="C998" s="13" t="str">
        <f>_xlfn.XLOOKUP(B998,LRV[id],LRV[source])</f>
        <v>Schang et al. (2021)</v>
      </c>
      <c r="D998" s="13" t="str">
        <f>LRVs!C822</f>
        <v>UV</v>
      </c>
      <c r="E998" s="13" t="str">
        <f>LRVs!BG822</f>
        <v>Bacteria</v>
      </c>
      <c r="F998" s="13" t="str">
        <f>IF(LRVs!BH822="","",LRVs!BH822)</f>
        <v>Escherichia coli</v>
      </c>
      <c r="G998">
        <f>IF(LRVs!BL822="","",LRVs!BL822)</f>
        <v>5.5</v>
      </c>
    </row>
    <row r="999" spans="2:7" x14ac:dyDescent="0.3">
      <c r="B999">
        <v>1173</v>
      </c>
      <c r="C999" s="13" t="str">
        <f>_xlfn.XLOOKUP(B999,LRV[id],LRV[source])</f>
        <v>Schang et al. (2021)</v>
      </c>
      <c r="D999" s="13" t="str">
        <f>LRVs!C823</f>
        <v>UV</v>
      </c>
      <c r="E999" s="13" t="str">
        <f>LRVs!BG823</f>
        <v>Bacteria</v>
      </c>
      <c r="F999" s="13" t="str">
        <f>IF(LRVs!BH823="","",LRVs!BH823)</f>
        <v>Escherichia coli</v>
      </c>
      <c r="G999">
        <f>IF(LRVs!BL823="","",LRVs!BL823)</f>
        <v>5.6</v>
      </c>
    </row>
    <row r="1000" spans="2:7" x14ac:dyDescent="0.3">
      <c r="B1000">
        <v>1174</v>
      </c>
      <c r="C1000" s="13" t="str">
        <f>_xlfn.XLOOKUP(B1000,LRV[id],LRV[source])</f>
        <v>Schang et al. (2021)</v>
      </c>
      <c r="D1000" s="13" t="str">
        <f>LRVs!C824</f>
        <v>UV</v>
      </c>
      <c r="E1000" s="13" t="str">
        <f>LRVs!BG824</f>
        <v>Bacteria</v>
      </c>
      <c r="F1000" s="13" t="str">
        <f>IF(LRVs!BH824="","",LRVs!BH824)</f>
        <v>Salmonella enterica</v>
      </c>
      <c r="G1000">
        <f>IF(LRVs!BL824="","",LRVs!BL824)</f>
        <v>7.4</v>
      </c>
    </row>
    <row r="1001" spans="2:7" x14ac:dyDescent="0.3">
      <c r="B1001">
        <v>1175</v>
      </c>
      <c r="C1001" s="13" t="str">
        <f>_xlfn.XLOOKUP(B1001,LRV[id],LRV[source])</f>
        <v>Schang et al. (2021)</v>
      </c>
      <c r="D1001" s="13" t="str">
        <f>LRVs!C825</f>
        <v>UV</v>
      </c>
      <c r="E1001" s="13" t="str">
        <f>LRVs!BG825</f>
        <v>Bacteria</v>
      </c>
      <c r="F1001" s="13" t="str">
        <f>IF(LRVs!BH825="","",LRVs!BH825)</f>
        <v>Salmonella enterica</v>
      </c>
      <c r="G1001">
        <f>IF(LRVs!BL825="","",LRVs!BL825)</f>
        <v>8.3000000000000007</v>
      </c>
    </row>
    <row r="1002" spans="2:7" x14ac:dyDescent="0.3">
      <c r="B1002">
        <v>1176</v>
      </c>
      <c r="C1002" s="13" t="str">
        <f>_xlfn.XLOOKUP(B1002,LRV[id],LRV[source])</f>
        <v>Schang et al. (2021)</v>
      </c>
      <c r="D1002" s="13" t="str">
        <f>LRVs!C826</f>
        <v>UV</v>
      </c>
      <c r="E1002" s="13" t="str">
        <f>LRVs!BG826</f>
        <v>Bacteria</v>
      </c>
      <c r="F1002" s="13" t="str">
        <f>IF(LRVs!BH826="","",LRVs!BH826)</f>
        <v>Salmonella enterica</v>
      </c>
      <c r="G1002">
        <f>IF(LRVs!BL826="","",LRVs!BL826)</f>
        <v>8</v>
      </c>
    </row>
    <row r="1003" spans="2:7" x14ac:dyDescent="0.3">
      <c r="B1003">
        <v>1177</v>
      </c>
      <c r="C1003" s="13" t="str">
        <f>_xlfn.XLOOKUP(B1003,LRV[id],LRV[source])</f>
        <v>Schang et al. (2021)</v>
      </c>
      <c r="D1003" s="13" t="str">
        <f>LRVs!C827</f>
        <v>UV</v>
      </c>
      <c r="E1003" s="13" t="str">
        <f>LRVs!BG827</f>
        <v>Bacteria</v>
      </c>
      <c r="F1003" s="13" t="str">
        <f>IF(LRVs!BH827="","",LRVs!BH827)</f>
        <v>P. aeruginosa</v>
      </c>
      <c r="G1003">
        <f>IF(LRVs!BL827="","",LRVs!BL827)</f>
        <v>7.1</v>
      </c>
    </row>
    <row r="1004" spans="2:7" x14ac:dyDescent="0.3">
      <c r="B1004">
        <v>1178</v>
      </c>
      <c r="C1004" s="13" t="str">
        <f>_xlfn.XLOOKUP(B1004,LRV[id],LRV[source])</f>
        <v>Schang et al. (2021)</v>
      </c>
      <c r="D1004" s="13" t="str">
        <f>LRVs!C828</f>
        <v>UV</v>
      </c>
      <c r="E1004" s="13" t="str">
        <f>LRVs!BG828</f>
        <v>Virus</v>
      </c>
      <c r="F1004" s="13" t="str">
        <f>IF(LRVs!BH828="","",LRVs!BH828)</f>
        <v>MS2</v>
      </c>
      <c r="G1004">
        <f>IF(LRVs!BL828="","",LRVs!BL828)</f>
        <v>2.7</v>
      </c>
    </row>
    <row r="1005" spans="2:7" x14ac:dyDescent="0.3">
      <c r="B1005">
        <v>1179</v>
      </c>
      <c r="C1005" s="13" t="str">
        <f>_xlfn.XLOOKUP(B1005,LRV[id],LRV[source])</f>
        <v>Ghayeni et al. (1999)</v>
      </c>
      <c r="D1005" s="13" t="str">
        <f>LRVs!C829</f>
        <v>UV</v>
      </c>
      <c r="E1005" s="13" t="str">
        <f>LRVs!BG829</f>
        <v>Bacteria</v>
      </c>
      <c r="F1005" s="13" t="str">
        <f>IF(LRVs!BH829="","",LRVs!BH829)</f>
        <v>Fecal coliform</v>
      </c>
      <c r="G1005">
        <f>IF(LRVs!BL829="","",LRVs!BL829)</f>
        <v>0.79999999999999982</v>
      </c>
    </row>
    <row r="1006" spans="2:7" x14ac:dyDescent="0.3">
      <c r="B1006">
        <v>1180</v>
      </c>
      <c r="C1006" s="13" t="str">
        <f>_xlfn.XLOOKUP(B1006,LRV[id],LRV[source])</f>
        <v>Ghayeni et al. (1999)</v>
      </c>
      <c r="D1006" s="13" t="str">
        <f>LRVs!C830</f>
        <v>UV</v>
      </c>
      <c r="E1006" s="13" t="str">
        <f>LRVs!BG830</f>
        <v>Bacteria</v>
      </c>
      <c r="F1006" s="13" t="str">
        <f>IF(LRVs!BH830="","",LRVs!BH830)</f>
        <v>Fecal coliform</v>
      </c>
      <c r="G1006">
        <f>IF(LRVs!BL830="","",LRVs!BL830)</f>
        <v>1.7999999999999998</v>
      </c>
    </row>
    <row r="1007" spans="2:7" x14ac:dyDescent="0.3">
      <c r="B1007">
        <v>1181</v>
      </c>
      <c r="C1007" s="13" t="str">
        <f>_xlfn.XLOOKUP(B1007,LRV[id],LRV[source])</f>
        <v>Ghayeni et al. (1999)</v>
      </c>
      <c r="D1007" s="13" t="str">
        <f>LRVs!C831</f>
        <v>UV</v>
      </c>
      <c r="E1007" s="13" t="str">
        <f>LRVs!BG831</f>
        <v>Bacteria</v>
      </c>
      <c r="F1007" s="13" t="str">
        <f>IF(LRVs!BH831="","",LRVs!BH831)</f>
        <v>Fecal coliform</v>
      </c>
      <c r="G1007">
        <f>IF(LRVs!BL831="","",LRVs!BL831)</f>
        <v>1.6999999999999997</v>
      </c>
    </row>
    <row r="1008" spans="2:7" x14ac:dyDescent="0.3">
      <c r="B1008">
        <v>1182</v>
      </c>
      <c r="C1008" s="13" t="str">
        <f>_xlfn.XLOOKUP(B1008,LRV[id],LRV[source])</f>
        <v>Ghayeni et al. (1999)</v>
      </c>
      <c r="D1008" s="13" t="str">
        <f>LRVs!C832</f>
        <v>UV</v>
      </c>
      <c r="E1008" s="13" t="str">
        <f>LRVs!BG832</f>
        <v>Bacteria</v>
      </c>
      <c r="F1008" s="13" t="str">
        <f>IF(LRVs!BH832="","",LRVs!BH832)</f>
        <v>Fecal coliform</v>
      </c>
      <c r="G1008">
        <f>IF(LRVs!BL832="","",LRVs!BL832)</f>
        <v>2.8</v>
      </c>
    </row>
    <row r="1009" spans="2:7" x14ac:dyDescent="0.3">
      <c r="B1009">
        <v>1183</v>
      </c>
      <c r="C1009" s="13" t="str">
        <f>_xlfn.XLOOKUP(B1009,LRV[id],LRV[source])</f>
        <v>Ghayeni et al. (1999)</v>
      </c>
      <c r="D1009" s="13" t="str">
        <f>LRVs!C833</f>
        <v>UV</v>
      </c>
      <c r="E1009" s="13" t="str">
        <f>LRVs!BG833</f>
        <v>Bacteria</v>
      </c>
      <c r="F1009" s="13" t="str">
        <f>IF(LRVs!BH833="","",LRVs!BH833)</f>
        <v>Fecal coliform</v>
      </c>
      <c r="G1009">
        <f>IF(LRVs!BL833="","",LRVs!BL833)</f>
        <v>2.8</v>
      </c>
    </row>
    <row r="1010" spans="2:7" x14ac:dyDescent="0.3">
      <c r="B1010">
        <v>1184</v>
      </c>
      <c r="C1010" s="13" t="str">
        <f>_xlfn.XLOOKUP(B1010,LRV[id],LRV[source])</f>
        <v>Ghayeni et al. (1999)</v>
      </c>
      <c r="D1010" s="13" t="str">
        <f>LRVs!C834</f>
        <v>UV</v>
      </c>
      <c r="E1010" s="13" t="str">
        <f>LRVs!BG834</f>
        <v>Bacteria</v>
      </c>
      <c r="F1010" s="13" t="str">
        <f>IF(LRVs!BH834="","",LRVs!BH834)</f>
        <v>Fecal coliform</v>
      </c>
      <c r="G1010">
        <f>IF(LRVs!BL834="","",LRVs!BL834)</f>
        <v>2.8</v>
      </c>
    </row>
    <row r="1011" spans="2:7" x14ac:dyDescent="0.3">
      <c r="B1011">
        <v>1185</v>
      </c>
      <c r="C1011" s="13" t="str">
        <f>_xlfn.XLOOKUP(B1011,LRV[id],LRV[source])</f>
        <v>Ghayeni et al. (1999)</v>
      </c>
      <c r="D1011" s="13" t="str">
        <f>LRVs!C835</f>
        <v>UV</v>
      </c>
      <c r="E1011" s="13" t="str">
        <f>LRVs!BG835</f>
        <v>Bacteria</v>
      </c>
      <c r="F1011" s="13" t="str">
        <f>IF(LRVs!BH835="","",LRVs!BH835)</f>
        <v>S. aureus</v>
      </c>
      <c r="G1011">
        <f>IF(LRVs!BL835="","",LRVs!BL835)</f>
        <v>1.9</v>
      </c>
    </row>
    <row r="1012" spans="2:7" x14ac:dyDescent="0.3">
      <c r="B1012">
        <v>1186</v>
      </c>
      <c r="C1012" s="13" t="str">
        <f>_xlfn.XLOOKUP(B1012,LRV[id],LRV[source])</f>
        <v>Ghayeni et al. (1999)</v>
      </c>
      <c r="D1012" s="13" t="str">
        <f>LRVs!C836</f>
        <v>UV</v>
      </c>
      <c r="E1012" s="13" t="str">
        <f>LRVs!BG836</f>
        <v>Bacteria</v>
      </c>
      <c r="F1012" s="13" t="str">
        <f>IF(LRVs!BH836="","",LRVs!BH836)</f>
        <v>S. aureus</v>
      </c>
      <c r="G1012">
        <f>IF(LRVs!BL836="","",LRVs!BL836)</f>
        <v>1.9</v>
      </c>
    </row>
    <row r="1013" spans="2:7" x14ac:dyDescent="0.3">
      <c r="B1013">
        <v>1187</v>
      </c>
      <c r="C1013" s="13" t="str">
        <f>_xlfn.XLOOKUP(B1013,LRV[id],LRV[source])</f>
        <v>Ghayeni et al. (1999)</v>
      </c>
      <c r="D1013" s="13" t="str">
        <f>LRVs!C837</f>
        <v>UV</v>
      </c>
      <c r="E1013" s="13" t="str">
        <f>LRVs!BG837</f>
        <v>Bacteria</v>
      </c>
      <c r="F1013" s="13" t="str">
        <f>IF(LRVs!BH837="","",LRVs!BH837)</f>
        <v>S. aureus</v>
      </c>
      <c r="G1013">
        <f>IF(LRVs!BL837="","",LRVs!BL837)</f>
        <v>1.9</v>
      </c>
    </row>
    <row r="1014" spans="2:7" x14ac:dyDescent="0.3">
      <c r="B1014">
        <v>1188</v>
      </c>
      <c r="C1014" s="13" t="str">
        <f>_xlfn.XLOOKUP(B1014,LRV[id],LRV[source])</f>
        <v>Ghayeni et al. (1999)</v>
      </c>
      <c r="D1014" s="13" t="str">
        <f>LRVs!C838</f>
        <v>UV</v>
      </c>
      <c r="E1014" s="13" t="str">
        <f>LRVs!BG838</f>
        <v>Bacteria</v>
      </c>
      <c r="F1014" s="13" t="str">
        <f>IF(LRVs!BH838="","",LRVs!BH838)</f>
        <v>S. aureus</v>
      </c>
      <c r="G1014">
        <f>IF(LRVs!BL838="","",LRVs!BL838)</f>
        <v>1.9</v>
      </c>
    </row>
    <row r="1015" spans="2:7" x14ac:dyDescent="0.3">
      <c r="B1015">
        <v>1189</v>
      </c>
      <c r="C1015" s="13" t="str">
        <f>_xlfn.XLOOKUP(B1015,LRV[id],LRV[source])</f>
        <v>Ghayeni et al. (1999)</v>
      </c>
      <c r="D1015" s="13" t="str">
        <f>LRVs!C839</f>
        <v>UV</v>
      </c>
      <c r="E1015" s="13" t="str">
        <f>LRVs!BG839</f>
        <v>Bacteria</v>
      </c>
      <c r="F1015" s="13" t="str">
        <f>IF(LRVs!BH839="","",LRVs!BH839)</f>
        <v>S. aureus</v>
      </c>
      <c r="G1015">
        <f>IF(LRVs!BL839="","",LRVs!BL839)</f>
        <v>1.9</v>
      </c>
    </row>
    <row r="1016" spans="2:7" x14ac:dyDescent="0.3">
      <c r="B1016">
        <v>1190</v>
      </c>
      <c r="C1016" s="13" t="str">
        <f>_xlfn.XLOOKUP(B1016,LRV[id],LRV[source])</f>
        <v>Ghayeni et al. (1999)</v>
      </c>
      <c r="D1016" s="13" t="str">
        <f>LRVs!C840</f>
        <v>UV</v>
      </c>
      <c r="E1016" s="13" t="str">
        <f>LRVs!BG840</f>
        <v>Bacteria</v>
      </c>
      <c r="F1016" s="13" t="str">
        <f>IF(LRVs!BH840="","",LRVs!BH840)</f>
        <v>S. aureus</v>
      </c>
      <c r="G1016">
        <f>IF(LRVs!BL840="","",LRVs!BL840)</f>
        <v>1.9</v>
      </c>
    </row>
    <row r="1017" spans="2:7" x14ac:dyDescent="0.3">
      <c r="B1017">
        <v>1191</v>
      </c>
      <c r="C1017" s="13" t="str">
        <f>_xlfn.XLOOKUP(B1017,LRV[id],LRV[source])</f>
        <v>Ghayeni et al. (1999)</v>
      </c>
      <c r="D1017" s="13" t="str">
        <f>LRVs!C841</f>
        <v>UV</v>
      </c>
      <c r="E1017" s="13" t="str">
        <f>LRVs!BG841</f>
        <v>Bacteria</v>
      </c>
      <c r="F1017" s="13" t="str">
        <f>IF(LRVs!BH841="","",LRVs!BH841)</f>
        <v>P. aeruginosa</v>
      </c>
      <c r="G1017">
        <f>IF(LRVs!BL841="","",LRVs!BL841)</f>
        <v>1.1000000000000001</v>
      </c>
    </row>
    <row r="1018" spans="2:7" x14ac:dyDescent="0.3">
      <c r="B1018">
        <v>1192</v>
      </c>
      <c r="C1018" s="13" t="str">
        <f>_xlfn.XLOOKUP(B1018,LRV[id],LRV[source])</f>
        <v>Ghayeni et al. (1999)</v>
      </c>
      <c r="D1018" s="13" t="str">
        <f>LRVs!C842</f>
        <v>UV</v>
      </c>
      <c r="E1018" s="13" t="str">
        <f>LRVs!BG842</f>
        <v>Bacteria</v>
      </c>
      <c r="F1018" s="13" t="str">
        <f>IF(LRVs!BH842="","",LRVs!BH842)</f>
        <v>P. aeruginosa</v>
      </c>
      <c r="G1018">
        <f>IF(LRVs!BL842="","",LRVs!BL842)</f>
        <v>2.1</v>
      </c>
    </row>
    <row r="1019" spans="2:7" x14ac:dyDescent="0.3">
      <c r="B1019">
        <v>1193</v>
      </c>
      <c r="C1019" s="13" t="str">
        <f>_xlfn.XLOOKUP(B1019,LRV[id],LRV[source])</f>
        <v>Ghayeni et al. (1999)</v>
      </c>
      <c r="D1019" s="13" t="str">
        <f>LRVs!C843</f>
        <v>UV</v>
      </c>
      <c r="E1019" s="13" t="str">
        <f>LRVs!BG843</f>
        <v>Bacteria</v>
      </c>
      <c r="F1019" s="13" t="str">
        <f>IF(LRVs!BH843="","",LRVs!BH843)</f>
        <v>P. aeruginosa</v>
      </c>
      <c r="G1019">
        <f>IF(LRVs!BL843="","",LRVs!BL843)</f>
        <v>2.1</v>
      </c>
    </row>
    <row r="1020" spans="2:7" x14ac:dyDescent="0.3">
      <c r="B1020">
        <v>1194</v>
      </c>
      <c r="C1020" s="13" t="str">
        <f>_xlfn.XLOOKUP(B1020,LRV[id],LRV[source])</f>
        <v>Ghayeni et al. (1999)</v>
      </c>
      <c r="D1020" s="13" t="str">
        <f>LRVs!C844</f>
        <v>UV</v>
      </c>
      <c r="E1020" s="13" t="str">
        <f>LRVs!BG844</f>
        <v>Bacteria</v>
      </c>
      <c r="F1020" s="13" t="str">
        <f>IF(LRVs!BH844="","",LRVs!BH844)</f>
        <v>P. aeruginosa</v>
      </c>
      <c r="G1020">
        <f>IF(LRVs!BL844="","",LRVs!BL844)</f>
        <v>2.1</v>
      </c>
    </row>
    <row r="1021" spans="2:7" x14ac:dyDescent="0.3">
      <c r="B1021">
        <v>1195</v>
      </c>
      <c r="C1021" s="13" t="str">
        <f>_xlfn.XLOOKUP(B1021,LRV[id],LRV[source])</f>
        <v>Ghayeni et al. (1999)</v>
      </c>
      <c r="D1021" s="13" t="str">
        <f>LRVs!C845</f>
        <v>UV</v>
      </c>
      <c r="E1021" s="13" t="str">
        <f>LRVs!BG845</f>
        <v>Bacteria</v>
      </c>
      <c r="F1021" s="13" t="str">
        <f>IF(LRVs!BH845="","",LRVs!BH845)</f>
        <v>P. aeruginosa</v>
      </c>
      <c r="G1021">
        <f>IF(LRVs!BL845="","",LRVs!BL845)</f>
        <v>2.1</v>
      </c>
    </row>
    <row r="1022" spans="2:7" x14ac:dyDescent="0.3">
      <c r="B1022">
        <v>1196</v>
      </c>
      <c r="C1022" s="13" t="str">
        <f>_xlfn.XLOOKUP(B1022,LRV[id],LRV[source])</f>
        <v>Ghayeni et al. (1999)</v>
      </c>
      <c r="D1022" s="13" t="str">
        <f>LRVs!C846</f>
        <v>UV</v>
      </c>
      <c r="E1022" s="13" t="str">
        <f>LRVs!BG846</f>
        <v>Bacteria</v>
      </c>
      <c r="F1022" s="13" t="str">
        <f>IF(LRVs!BH846="","",LRVs!BH846)</f>
        <v>P. aeruginosa</v>
      </c>
      <c r="G1022">
        <f>IF(LRVs!BL846="","",LRVs!BL846)</f>
        <v>2.1</v>
      </c>
    </row>
    <row r="1023" spans="2:7" x14ac:dyDescent="0.3">
      <c r="B1023">
        <v>1197</v>
      </c>
      <c r="C1023" s="13" t="str">
        <f>_xlfn.XLOOKUP(B1023,LRV[id],LRV[source])</f>
        <v>Ghayeni et al. (1999)</v>
      </c>
      <c r="D1023" s="13" t="str">
        <f>LRVs!C847</f>
        <v>UV</v>
      </c>
      <c r="E1023" s="13" t="str">
        <f>LRVs!BG847</f>
        <v>Bacteria</v>
      </c>
      <c r="F1023" s="13" t="str">
        <f>IF(LRVs!BH847="","",LRVs!BH847)</f>
        <v>Fecal coliform</v>
      </c>
      <c r="G1023">
        <f>IF(LRVs!BL847="","",LRVs!BL847)</f>
        <v>0.5</v>
      </c>
    </row>
    <row r="1024" spans="2:7" x14ac:dyDescent="0.3">
      <c r="B1024">
        <v>1198</v>
      </c>
      <c r="C1024" s="13" t="str">
        <f>_xlfn.XLOOKUP(B1024,LRV[id],LRV[source])</f>
        <v>Ghayeni et al. (1999)</v>
      </c>
      <c r="D1024" s="13" t="str">
        <f>LRVs!C848</f>
        <v>UV</v>
      </c>
      <c r="E1024" s="13" t="str">
        <f>LRVs!BG848</f>
        <v>Bacteria</v>
      </c>
      <c r="F1024" s="13" t="str">
        <f>IF(LRVs!BH848="","",LRVs!BH848)</f>
        <v>S. aureus</v>
      </c>
      <c r="G1024">
        <f>IF(LRVs!BL848="","",LRVs!BL848)</f>
        <v>1.4</v>
      </c>
    </row>
    <row r="1025" spans="2:7" x14ac:dyDescent="0.3">
      <c r="B1025">
        <v>1199</v>
      </c>
      <c r="C1025" s="13" t="str">
        <f>_xlfn.XLOOKUP(B1025,LRV[id],LRV[source])</f>
        <v>Ghayeni et al. (1999)</v>
      </c>
      <c r="D1025" s="13" t="str">
        <f>LRVs!C849</f>
        <v>UV</v>
      </c>
      <c r="E1025" s="13" t="str">
        <f>LRVs!BG849</f>
        <v>Bacteria</v>
      </c>
      <c r="F1025" s="13" t="str">
        <f>IF(LRVs!BH849="","",LRVs!BH849)</f>
        <v>P. aeruginosa</v>
      </c>
      <c r="G1025">
        <f>IF(LRVs!BL849="","",LRVs!BL849)</f>
        <v>-0.1</v>
      </c>
    </row>
    <row r="1026" spans="2:7" x14ac:dyDescent="0.3">
      <c r="B1026">
        <v>1200</v>
      </c>
      <c r="C1026" s="13" t="str">
        <f>_xlfn.XLOOKUP(B1026,LRV[id],LRV[source])</f>
        <v>Ghayeni et al. (1999)</v>
      </c>
      <c r="D1026" s="13" t="str">
        <f>LRVs!C850</f>
        <v>UV</v>
      </c>
      <c r="E1026" s="13" t="str">
        <f>LRVs!BG850</f>
        <v>Virus</v>
      </c>
      <c r="F1026" s="13" t="str">
        <f>IF(LRVs!BH850="","",LRVs!BH850)</f>
        <v>MS2</v>
      </c>
      <c r="G1026">
        <f>IF(LRVs!BL850="","",LRVs!BL850)</f>
        <v>4.9000000000000004</v>
      </c>
    </row>
    <row r="1027" spans="2:7" x14ac:dyDescent="0.3">
      <c r="B1027">
        <v>1201</v>
      </c>
      <c r="C1027" s="13" t="str">
        <f>_xlfn.XLOOKUP(B1027,LRV[id],LRV[source])</f>
        <v>Oliveira et al. (2022)</v>
      </c>
      <c r="D1027" s="13" t="str">
        <f>LRVs!C851</f>
        <v>UV</v>
      </c>
      <c r="E1027" s="13" t="str">
        <f>LRVs!BG851</f>
        <v>Bacteria</v>
      </c>
      <c r="F1027" s="13" t="str">
        <f>IF(LRVs!BH851="","",LRVs!BH851)</f>
        <v>Total coliform</v>
      </c>
      <c r="G1027">
        <f>IF(LRVs!BL851="","",LRVs!BL851)</f>
        <v>3.2</v>
      </c>
    </row>
    <row r="1028" spans="2:7" x14ac:dyDescent="0.3">
      <c r="B1028">
        <v>1202</v>
      </c>
      <c r="C1028" s="13" t="str">
        <f>_xlfn.XLOOKUP(B1028,LRV[id],LRV[source])</f>
        <v>Oliveira et al. (2022)</v>
      </c>
      <c r="D1028" s="13" t="str">
        <f>LRVs!C852</f>
        <v>UV</v>
      </c>
      <c r="E1028" s="13" t="str">
        <f>LRVs!BG852</f>
        <v>Bacteria</v>
      </c>
      <c r="F1028" s="13" t="str">
        <f>IF(LRVs!BH852="","",LRVs!BH852)</f>
        <v>Total coliform</v>
      </c>
      <c r="G1028">
        <f>IF(LRVs!BL852="","",LRVs!BL852)</f>
        <v>4.0999999999999996</v>
      </c>
    </row>
    <row r="1029" spans="2:7" x14ac:dyDescent="0.3">
      <c r="B1029">
        <v>1203</v>
      </c>
      <c r="C1029" s="13" t="str">
        <f>_xlfn.XLOOKUP(B1029,LRV[id],LRV[source])</f>
        <v>Oliveira et al. (2022)</v>
      </c>
      <c r="D1029" s="13" t="str">
        <f>LRVs!C853</f>
        <v>UV</v>
      </c>
      <c r="E1029" s="13" t="str">
        <f>LRVs!BG853</f>
        <v>Bacteria</v>
      </c>
      <c r="F1029" s="13" t="str">
        <f>IF(LRVs!BH853="","",LRVs!BH853)</f>
        <v>Total coliform</v>
      </c>
      <c r="G1029">
        <f>IF(LRVs!BL853="","",LRVs!BL853)</f>
        <v>4.8</v>
      </c>
    </row>
    <row r="1030" spans="2:7" x14ac:dyDescent="0.3">
      <c r="B1030">
        <v>1204</v>
      </c>
      <c r="C1030" s="13" t="str">
        <f>_xlfn.XLOOKUP(B1030,LRV[id],LRV[source])</f>
        <v>Sigmon et al., 2015</v>
      </c>
      <c r="D1030" s="13" t="str">
        <f>LRVs!C854</f>
        <v>UV</v>
      </c>
      <c r="E1030" s="13" t="str">
        <f>LRVs!BG854</f>
        <v>Bacteria</v>
      </c>
      <c r="F1030" s="13" t="str">
        <f>IF(LRVs!BH854="","",LRVs!BH854)</f>
        <v>Total coliform</v>
      </c>
      <c r="G1030">
        <f>IF(LRVs!BL854="","",LRVs!BL854)</f>
        <v>2.4</v>
      </c>
    </row>
    <row r="1031" spans="2:7" x14ac:dyDescent="0.3">
      <c r="B1031">
        <v>1205</v>
      </c>
      <c r="C1031" s="13" t="str">
        <f>_xlfn.XLOOKUP(B1031,LRV[id],LRV[source])</f>
        <v>Sigmon et al., 2015</v>
      </c>
      <c r="D1031" s="13" t="str">
        <f>LRVs!C855</f>
        <v>UV</v>
      </c>
      <c r="E1031" s="13" t="str">
        <f>LRVs!BG855</f>
        <v>Bacteria</v>
      </c>
      <c r="F1031" s="13" t="str">
        <f>IF(LRVs!BH855="","",LRVs!BH855)</f>
        <v>Total coliform</v>
      </c>
      <c r="G1031">
        <f>IF(LRVs!BL855="","",LRVs!BL855)</f>
        <v>2.6</v>
      </c>
    </row>
    <row r="1032" spans="2:7" x14ac:dyDescent="0.3">
      <c r="B1032">
        <v>1206</v>
      </c>
      <c r="C1032" s="13" t="str">
        <f>_xlfn.XLOOKUP(B1032,LRV[id],LRV[source])</f>
        <v>Sigmon et al., 2015</v>
      </c>
      <c r="D1032" s="13" t="str">
        <f>LRVs!C856</f>
        <v>UV</v>
      </c>
      <c r="E1032" s="13" t="str">
        <f>LRVs!BG856</f>
        <v>Bacteria</v>
      </c>
      <c r="F1032" s="13" t="str">
        <f>IF(LRVs!BH856="","",LRVs!BH856)</f>
        <v>Total coliform</v>
      </c>
      <c r="G1032">
        <f>IF(LRVs!BL856="","",LRVs!BL856)</f>
        <v>2.6</v>
      </c>
    </row>
    <row r="1033" spans="2:7" x14ac:dyDescent="0.3">
      <c r="B1033">
        <v>1207</v>
      </c>
      <c r="C1033" s="13" t="str">
        <f>_xlfn.XLOOKUP(B1033,LRV[id],LRV[source])</f>
        <v>Sigmon et al., 2015</v>
      </c>
      <c r="D1033" s="13" t="str">
        <f>LRVs!C857</f>
        <v>UV</v>
      </c>
      <c r="E1033" s="13" t="str">
        <f>LRVs!BG857</f>
        <v>Bacteria</v>
      </c>
      <c r="F1033" s="13" t="str">
        <f>IF(LRVs!BH857="","",LRVs!BH857)</f>
        <v>Escherichia coli</v>
      </c>
      <c r="G1033">
        <f>IF(LRVs!BL857="","",LRVs!BL857)</f>
        <v>2.4</v>
      </c>
    </row>
    <row r="1034" spans="2:7" x14ac:dyDescent="0.3">
      <c r="B1034">
        <v>1208</v>
      </c>
      <c r="C1034" s="13" t="str">
        <f>_xlfn.XLOOKUP(B1034,LRV[id],LRV[source])</f>
        <v>Sigmon et al., 2015</v>
      </c>
      <c r="D1034" s="13" t="str">
        <f>LRVs!C858</f>
        <v>UV</v>
      </c>
      <c r="E1034" s="13" t="str">
        <f>LRVs!BG858</f>
        <v>Bacteria</v>
      </c>
      <c r="F1034" s="13" t="str">
        <f>IF(LRVs!BH858="","",LRVs!BH858)</f>
        <v>Escherichia coli</v>
      </c>
      <c r="G1034">
        <f>IF(LRVs!BL858="","",LRVs!BL858)</f>
        <v>2.5</v>
      </c>
    </row>
    <row r="1035" spans="2:7" x14ac:dyDescent="0.3">
      <c r="B1035">
        <v>1209</v>
      </c>
      <c r="C1035" s="13" t="str">
        <f>_xlfn.XLOOKUP(B1035,LRV[id],LRV[source])</f>
        <v>Sigmon et al., 2015</v>
      </c>
      <c r="D1035" s="13" t="str">
        <f>LRVs!C859</f>
        <v>UV</v>
      </c>
      <c r="E1035" s="13" t="str">
        <f>LRVs!BG859</f>
        <v>Bacteria</v>
      </c>
      <c r="F1035" s="13" t="str">
        <f>IF(LRVs!BH859="","",LRVs!BH859)</f>
        <v>Escherichia coli</v>
      </c>
      <c r="G1035">
        <f>IF(LRVs!BL859="","",LRVs!BL859)</f>
        <v>2.6</v>
      </c>
    </row>
    <row r="1036" spans="2:7" x14ac:dyDescent="0.3">
      <c r="B1036">
        <v>1210</v>
      </c>
      <c r="C1036" s="13" t="str">
        <f>_xlfn.XLOOKUP(B1036,LRV[id],LRV[source])</f>
        <v>Sigmon et al., 2015</v>
      </c>
      <c r="D1036" s="13" t="str">
        <f>LRVs!C860</f>
        <v>UV</v>
      </c>
      <c r="E1036" s="13" t="str">
        <f>LRVs!BG860</f>
        <v>Bacteria</v>
      </c>
      <c r="F1036" s="13" t="str">
        <f>IF(LRVs!BH860="","",LRVs!BH860)</f>
        <v>Enterococci</v>
      </c>
      <c r="G1036">
        <f>IF(LRVs!BL860="","",LRVs!BL860)</f>
        <v>3</v>
      </c>
    </row>
    <row r="1037" spans="2:7" x14ac:dyDescent="0.3">
      <c r="B1037">
        <v>1211</v>
      </c>
      <c r="C1037" s="13" t="str">
        <f>_xlfn.XLOOKUP(B1037,LRV[id],LRV[source])</f>
        <v>Sigmon et al., 2015</v>
      </c>
      <c r="D1037" s="13" t="str">
        <f>LRVs!C861</f>
        <v>UV</v>
      </c>
      <c r="E1037" s="13" t="str">
        <f>LRVs!BG861</f>
        <v>Bacteria</v>
      </c>
      <c r="F1037" s="13" t="str">
        <f>IF(LRVs!BH861="","",LRVs!BH861)</f>
        <v>Enterococci</v>
      </c>
      <c r="G1037">
        <f>IF(LRVs!BL861="","",LRVs!BL861)</f>
        <v>3.4</v>
      </c>
    </row>
    <row r="1038" spans="2:7" x14ac:dyDescent="0.3">
      <c r="B1038">
        <v>1212</v>
      </c>
      <c r="C1038" s="13" t="str">
        <f>_xlfn.XLOOKUP(B1038,LRV[id],LRV[source])</f>
        <v>Sigmon et al., 2015</v>
      </c>
      <c r="D1038" s="13" t="str">
        <f>LRVs!C862</f>
        <v>UV</v>
      </c>
      <c r="E1038" s="13" t="str">
        <f>LRVs!BG862</f>
        <v>Bacteria</v>
      </c>
      <c r="F1038" s="13" t="str">
        <f>IF(LRVs!BH862="","",LRVs!BH862)</f>
        <v>Enterococci</v>
      </c>
      <c r="G1038">
        <f>IF(LRVs!BL862="","",LRVs!BL862)</f>
        <v>3.8</v>
      </c>
    </row>
    <row r="1039" spans="2:7" x14ac:dyDescent="0.3">
      <c r="B1039">
        <v>1213</v>
      </c>
      <c r="C1039" s="13" t="str">
        <f>_xlfn.XLOOKUP(B1039,LRV[id],LRV[source])</f>
        <v>Sigmon et al., 2015</v>
      </c>
      <c r="D1039" s="13" t="str">
        <f>LRVs!C863</f>
        <v>Storage</v>
      </c>
      <c r="E1039" s="13" t="str">
        <f>LRVs!BG863</f>
        <v>Bacteria</v>
      </c>
      <c r="F1039" s="13" t="str">
        <f>IF(LRVs!BH863="","",LRVs!BH863)</f>
        <v>Escherichia coli</v>
      </c>
      <c r="G1039">
        <f>IF(LRVs!BL863="","",LRVs!BL863)</f>
        <v>1.9</v>
      </c>
    </row>
    <row r="1040" spans="2:7" x14ac:dyDescent="0.3">
      <c r="B1040">
        <v>1214</v>
      </c>
      <c r="C1040" s="13" t="str">
        <f>_xlfn.XLOOKUP(B1040,LRV[id],LRV[source])</f>
        <v>Sigmon et al., 2015</v>
      </c>
      <c r="D1040" s="13" t="str">
        <f>LRVs!C864</f>
        <v>Storage</v>
      </c>
      <c r="E1040" s="13" t="str">
        <f>LRVs!BG864</f>
        <v>Bacteria</v>
      </c>
      <c r="F1040" s="13" t="str">
        <f>IF(LRVs!BH864="","",LRVs!BH864)</f>
        <v>Escherichia coli</v>
      </c>
      <c r="G1040">
        <f>IF(LRVs!BL864="","",LRVs!BL864)</f>
        <v>2</v>
      </c>
    </row>
    <row r="1041" spans="2:7" x14ac:dyDescent="0.3">
      <c r="B1041">
        <v>1215</v>
      </c>
      <c r="C1041" s="13" t="str">
        <f>_xlfn.XLOOKUP(B1041,LRV[id],LRV[source])</f>
        <v>Sigmon et al., 2015</v>
      </c>
      <c r="D1041" s="13" t="str">
        <f>LRVs!C865</f>
        <v>Storage</v>
      </c>
      <c r="E1041" s="13" t="str">
        <f>LRVs!BG865</f>
        <v>Bacteria</v>
      </c>
      <c r="F1041" s="13" t="str">
        <f>IF(LRVs!BH865="","",LRVs!BH865)</f>
        <v>Escherichia coli</v>
      </c>
      <c r="G1041">
        <f>IF(LRVs!BL865="","",LRVs!BL865)</f>
        <v>1.9</v>
      </c>
    </row>
    <row r="1042" spans="2:7" x14ac:dyDescent="0.3">
      <c r="B1042">
        <v>1216</v>
      </c>
      <c r="C1042" s="13" t="str">
        <f>_xlfn.XLOOKUP(B1042,LRV[id],LRV[source])</f>
        <v>Sigmon et al., 2015</v>
      </c>
      <c r="D1042" s="13" t="str">
        <f>LRVs!C866</f>
        <v>Storage</v>
      </c>
      <c r="E1042" s="13" t="str">
        <f>LRVs!BG866</f>
        <v>Bacteria</v>
      </c>
      <c r="F1042" s="13" t="str">
        <f>IF(LRVs!BH866="","",LRVs!BH866)</f>
        <v>Total coliform</v>
      </c>
      <c r="G1042">
        <f>IF(LRVs!BL866="","",LRVs!BL866)</f>
        <v>1.8</v>
      </c>
    </row>
    <row r="1043" spans="2:7" x14ac:dyDescent="0.3">
      <c r="B1043">
        <v>1217</v>
      </c>
      <c r="C1043" s="13" t="str">
        <f>_xlfn.XLOOKUP(B1043,LRV[id],LRV[source])</f>
        <v>Sigmon et al., 2015</v>
      </c>
      <c r="D1043" s="13" t="str">
        <f>LRVs!C867</f>
        <v>Storage</v>
      </c>
      <c r="E1043" s="13" t="str">
        <f>LRVs!BG867</f>
        <v>Bacteria</v>
      </c>
      <c r="F1043" s="13" t="str">
        <f>IF(LRVs!BH867="","",LRVs!BH867)</f>
        <v>Total coliform</v>
      </c>
      <c r="G1043">
        <f>IF(LRVs!BL867="","",LRVs!BL867)</f>
        <v>1.8</v>
      </c>
    </row>
    <row r="1044" spans="2:7" x14ac:dyDescent="0.3">
      <c r="B1044">
        <v>1218</v>
      </c>
      <c r="C1044" s="13" t="str">
        <f>_xlfn.XLOOKUP(B1044,LRV[id],LRV[source])</f>
        <v>Sigmon et al., 2015</v>
      </c>
      <c r="D1044" s="13" t="str">
        <f>LRVs!C868</f>
        <v>Storage</v>
      </c>
      <c r="E1044" s="13" t="str">
        <f>LRVs!BG868</f>
        <v>Bacteria</v>
      </c>
      <c r="F1044" s="13" t="str">
        <f>IF(LRVs!BH868="","",LRVs!BH868)</f>
        <v>Total coliform</v>
      </c>
      <c r="G1044">
        <f>IF(LRVs!BL868="","",LRVs!BL868)</f>
        <v>1.7</v>
      </c>
    </row>
    <row r="1045" spans="2:7" x14ac:dyDescent="0.3">
      <c r="B1045">
        <v>1219</v>
      </c>
      <c r="C1045" s="13" t="str">
        <f>_xlfn.XLOOKUP(B1045,LRV[id],LRV[source])</f>
        <v>Sigmon et al., 2015</v>
      </c>
      <c r="D1045" s="13" t="str">
        <f>LRVs!C869</f>
        <v>Storage</v>
      </c>
      <c r="E1045" s="13" t="str">
        <f>LRVs!BG869</f>
        <v>Bacteria</v>
      </c>
      <c r="F1045" s="13" t="str">
        <f>IF(LRVs!BH869="","",LRVs!BH869)</f>
        <v>Enterococci</v>
      </c>
      <c r="G1045">
        <f>IF(LRVs!BL869="","",LRVs!BL869)</f>
        <v>1</v>
      </c>
    </row>
    <row r="1046" spans="2:7" x14ac:dyDescent="0.3">
      <c r="B1046">
        <v>1220</v>
      </c>
      <c r="C1046" s="13" t="str">
        <f>_xlfn.XLOOKUP(B1046,LRV[id],LRV[source])</f>
        <v>Sigmon et al., 2015</v>
      </c>
      <c r="D1046" s="13" t="str">
        <f>LRVs!C870</f>
        <v>Storage</v>
      </c>
      <c r="E1046" s="13" t="str">
        <f>LRVs!BG870</f>
        <v>Bacteria</v>
      </c>
      <c r="F1046" s="13" t="str">
        <f>IF(LRVs!BH870="","",LRVs!BH870)</f>
        <v>Enterococci</v>
      </c>
      <c r="G1046">
        <f>IF(LRVs!BL870="","",LRVs!BL870)</f>
        <v>0.9</v>
      </c>
    </row>
    <row r="1047" spans="2:7" x14ac:dyDescent="0.3">
      <c r="B1047">
        <v>1221</v>
      </c>
      <c r="C1047" s="13" t="str">
        <f>_xlfn.XLOOKUP(B1047,LRV[id],LRV[source])</f>
        <v>Sigmon et al., 2015</v>
      </c>
      <c r="D1047" s="13" t="str">
        <f>LRVs!C871</f>
        <v>Storage</v>
      </c>
      <c r="E1047" s="13" t="str">
        <f>LRVs!BG871</f>
        <v>Bacteria</v>
      </c>
      <c r="F1047" s="13" t="str">
        <f>IF(LRVs!BH871="","",LRVs!BH871)</f>
        <v>Enterococci</v>
      </c>
      <c r="G1047">
        <f>IF(LRVs!BL871="","",LRVs!BL871)</f>
        <v>1.1000000000000001</v>
      </c>
    </row>
    <row r="1048" spans="2:7" x14ac:dyDescent="0.3">
      <c r="B1048">
        <v>1222</v>
      </c>
      <c r="C1048" s="13" t="str">
        <f>_xlfn.XLOOKUP(B1048,LRV[id],LRV[source])</f>
        <v>Sigmon et al., 2015</v>
      </c>
      <c r="D1048" s="13" t="str">
        <f>LRVs!C872</f>
        <v>Storage</v>
      </c>
      <c r="E1048" s="13" t="str">
        <f>LRVs!BG872</f>
        <v>Virus</v>
      </c>
      <c r="F1048" s="13" t="str">
        <f>IF(LRVs!BH872="","",LRVs!BH872)</f>
        <v>Somatic coliphage</v>
      </c>
      <c r="G1048">
        <f>IF(LRVs!BL872="","",LRVs!BL872)</f>
        <v>1</v>
      </c>
    </row>
    <row r="1049" spans="2:7" x14ac:dyDescent="0.3">
      <c r="B1049">
        <v>1223</v>
      </c>
      <c r="C1049" s="13" t="str">
        <f>_xlfn.XLOOKUP(B1049,LRV[id],LRV[source])</f>
        <v>Sigmon et al., 2015</v>
      </c>
      <c r="D1049" s="13" t="str">
        <f>LRVs!C873</f>
        <v>Storage</v>
      </c>
      <c r="E1049" s="13" t="str">
        <f>LRVs!BG873</f>
        <v>Virus</v>
      </c>
      <c r="F1049" s="13" t="str">
        <f>IF(LRVs!BH873="","",LRVs!BH873)</f>
        <v>Somatic coliphage</v>
      </c>
      <c r="G1049">
        <f>IF(LRVs!BL873="","",LRVs!BL873)</f>
        <v>1.1000000000000001</v>
      </c>
    </row>
    <row r="1050" spans="2:7" x14ac:dyDescent="0.3">
      <c r="B1050">
        <v>1224</v>
      </c>
      <c r="C1050" s="13" t="str">
        <f>_xlfn.XLOOKUP(B1050,LRV[id],LRV[source])</f>
        <v>Sigmon et al., 2015</v>
      </c>
      <c r="D1050" s="13" t="str">
        <f>LRVs!C874</f>
        <v>Storage</v>
      </c>
      <c r="E1050" s="13" t="str">
        <f>LRVs!BG874</f>
        <v>Virus</v>
      </c>
      <c r="F1050" s="13" t="str">
        <f>IF(LRVs!BH874="","",LRVs!BH874)</f>
        <v>Somatic coliphage</v>
      </c>
      <c r="G1050">
        <f>IF(LRVs!BL874="","",LRVs!BL874)</f>
        <v>1</v>
      </c>
    </row>
    <row r="1051" spans="2:7" x14ac:dyDescent="0.3">
      <c r="B1051">
        <v>1225</v>
      </c>
      <c r="C1051" s="13" t="str">
        <f>_xlfn.XLOOKUP(B1051,LRV[id],LRV[source])</f>
        <v>Sigmon et al., 2015</v>
      </c>
      <c r="D1051" s="13" t="str">
        <f>LRVs!C875</f>
        <v>Storage</v>
      </c>
      <c r="E1051" s="13" t="str">
        <f>LRVs!BG875</f>
        <v>Protozoa</v>
      </c>
      <c r="F1051" s="13" t="str">
        <f>IF(LRVs!BH875="","",LRVs!BH875)</f>
        <v>Clostridium perfringens</v>
      </c>
      <c r="G1051">
        <f>IF(LRVs!BL875="","",LRVs!BL875)</f>
        <v>0.2</v>
      </c>
    </row>
    <row r="1052" spans="2:7" x14ac:dyDescent="0.3">
      <c r="B1052">
        <v>1226</v>
      </c>
      <c r="C1052" s="13" t="str">
        <f>_xlfn.XLOOKUP(B1052,LRV[id],LRV[source])</f>
        <v>Sigmon et al., 2015</v>
      </c>
      <c r="D1052" s="13" t="str">
        <f>LRVs!C876</f>
        <v>Storage</v>
      </c>
      <c r="E1052" s="13" t="str">
        <f>LRVs!BG876</f>
        <v>Protozoa</v>
      </c>
      <c r="F1052" s="13" t="str">
        <f>IF(LRVs!BH876="","",LRVs!BH876)</f>
        <v>Clostridium perfringens</v>
      </c>
      <c r="G1052">
        <f>IF(LRVs!BL876="","",LRVs!BL876)</f>
        <v>0.1</v>
      </c>
    </row>
    <row r="1053" spans="2:7" x14ac:dyDescent="0.3">
      <c r="B1053">
        <v>1227</v>
      </c>
      <c r="C1053" s="13" t="str">
        <f>_xlfn.XLOOKUP(B1053,LRV[id],LRV[source])</f>
        <v>Sigmon et al., 2015</v>
      </c>
      <c r="D1053" s="13" t="str">
        <f>LRVs!C877</f>
        <v>Storage</v>
      </c>
      <c r="E1053" s="13" t="str">
        <f>LRVs!BG877</f>
        <v>Protozoa</v>
      </c>
      <c r="F1053" s="13" t="str">
        <f>IF(LRVs!BH877="","",LRVs!BH877)</f>
        <v>Clostridium perfringens</v>
      </c>
      <c r="G1053">
        <f>IF(LRVs!BL877="","",LRVs!BL877)</f>
        <v>0.3</v>
      </c>
    </row>
    <row r="1054" spans="2:7" x14ac:dyDescent="0.3">
      <c r="B1054">
        <v>1228</v>
      </c>
      <c r="C1054" s="13" t="str">
        <f>_xlfn.XLOOKUP(B1054,LRV[id],LRV[source])</f>
        <v>Bohrerova et al.,2008</v>
      </c>
      <c r="D1054" s="13" t="str">
        <f>LRVs!C878</f>
        <v>UV</v>
      </c>
      <c r="E1054" s="13" t="str">
        <f>LRVs!BG878</f>
        <v>Bacteria</v>
      </c>
      <c r="F1054" s="13" t="str">
        <f>IF(LRVs!BH878="","",LRVs!BH878)</f>
        <v>Escherichia coli</v>
      </c>
      <c r="G1054">
        <f>IF(LRVs!BL878="","",LRVs!BL878)</f>
        <v>3</v>
      </c>
    </row>
    <row r="1055" spans="2:7" x14ac:dyDescent="0.3">
      <c r="B1055">
        <v>1229</v>
      </c>
      <c r="C1055" s="13" t="str">
        <f>_xlfn.XLOOKUP(B1055,LRV[id],LRV[source])</f>
        <v>Bohrerova et al.,2008</v>
      </c>
      <c r="D1055" s="13" t="str">
        <f>LRVs!C879</f>
        <v>UV</v>
      </c>
      <c r="E1055" s="13" t="str">
        <f>LRVs!BG879</f>
        <v>Bacteria</v>
      </c>
      <c r="F1055" s="13" t="str">
        <f>IF(LRVs!BH879="","",LRVs!BH879)</f>
        <v>Escherichia coli</v>
      </c>
      <c r="G1055">
        <f>IF(LRVs!BL879="","",LRVs!BL879)</f>
        <v>2.5</v>
      </c>
    </row>
    <row r="1056" spans="2:7" x14ac:dyDescent="0.3">
      <c r="B1056">
        <v>1230</v>
      </c>
      <c r="C1056" s="13" t="str">
        <f>_xlfn.XLOOKUP(B1056,LRV[id],LRV[source])</f>
        <v>Bohrerova et al.,2008</v>
      </c>
      <c r="D1056" s="13" t="str">
        <f>LRVs!C880</f>
        <v>UV</v>
      </c>
      <c r="E1056" s="13" t="str">
        <f>LRVs!BG880</f>
        <v>Bacteria</v>
      </c>
      <c r="F1056" s="13" t="str">
        <f>IF(LRVs!BH880="","",LRVs!BH880)</f>
        <v>Escherichia coli</v>
      </c>
      <c r="G1056">
        <f>IF(LRVs!BL880="","",LRVs!BL880)</f>
        <v>2.8</v>
      </c>
    </row>
    <row r="1057" spans="2:7" x14ac:dyDescent="0.3">
      <c r="B1057">
        <v>1231</v>
      </c>
      <c r="C1057" s="13" t="str">
        <f>_xlfn.XLOOKUP(B1057,LRV[id],LRV[source])</f>
        <v>Bohrerova et al.,2008</v>
      </c>
      <c r="D1057" s="13" t="str">
        <f>LRVs!C881</f>
        <v>UV</v>
      </c>
      <c r="E1057" s="13" t="str">
        <f>LRVs!BG881</f>
        <v>Bacteria</v>
      </c>
      <c r="F1057" s="13" t="str">
        <f>IF(LRVs!BH881="","",LRVs!BH881)</f>
        <v>Total coliform</v>
      </c>
      <c r="G1057">
        <f>IF(LRVs!BL881="","",LRVs!BL881)</f>
        <v>3.1</v>
      </c>
    </row>
    <row r="1058" spans="2:7" x14ac:dyDescent="0.3">
      <c r="B1058">
        <v>1232</v>
      </c>
      <c r="C1058" s="13" t="str">
        <f>_xlfn.XLOOKUP(B1058,LRV[id],LRV[source])</f>
        <v>Bohrerova et al.,2008</v>
      </c>
      <c r="D1058" s="13" t="str">
        <f>LRVs!C882</f>
        <v>UV</v>
      </c>
      <c r="E1058" s="13" t="str">
        <f>LRVs!BG882</f>
        <v>Bacteria</v>
      </c>
      <c r="F1058" s="13" t="str">
        <f>IF(LRVs!BH882="","",LRVs!BH882)</f>
        <v>Total coliform</v>
      </c>
      <c r="G1058">
        <f>IF(LRVs!BL882="","",LRVs!BL882)</f>
        <v>2.9</v>
      </c>
    </row>
    <row r="1059" spans="2:7" x14ac:dyDescent="0.3">
      <c r="B1059">
        <v>1233</v>
      </c>
      <c r="C1059" s="13" t="str">
        <f>_xlfn.XLOOKUP(B1059,LRV[id],LRV[source])</f>
        <v>Bohrerova et al.,2008</v>
      </c>
      <c r="D1059" s="13" t="str">
        <f>LRVs!C883</f>
        <v>UV</v>
      </c>
      <c r="E1059" s="13" t="str">
        <f>LRVs!BG883</f>
        <v>Bacteria</v>
      </c>
      <c r="F1059" s="13" t="str">
        <f>IF(LRVs!BH883="","",LRVs!BH883)</f>
        <v>Total coliform</v>
      </c>
      <c r="G1059">
        <f>IF(LRVs!BL883="","",LRVs!BL883)</f>
        <v>3</v>
      </c>
    </row>
    <row r="1060" spans="2:7" x14ac:dyDescent="0.3">
      <c r="B1060">
        <v>1234</v>
      </c>
      <c r="C1060" s="13" t="str">
        <f>_xlfn.XLOOKUP(B1060,LRV[id],LRV[source])</f>
        <v>Bohrerova et al.,2008</v>
      </c>
      <c r="D1060" s="13" t="str">
        <f>LRVs!C884</f>
        <v>UV</v>
      </c>
      <c r="E1060" s="13" t="str">
        <f>LRVs!BG884</f>
        <v>Bacteria</v>
      </c>
      <c r="F1060" s="13" t="str">
        <f>IF(LRVs!BH884="","",LRVs!BH884)</f>
        <v>Enterococci</v>
      </c>
      <c r="G1060">
        <f>IF(LRVs!BL884="","",LRVs!BL884)</f>
        <v>1.8</v>
      </c>
    </row>
    <row r="1061" spans="2:7" x14ac:dyDescent="0.3">
      <c r="B1061">
        <v>1235</v>
      </c>
      <c r="C1061" s="13" t="str">
        <f>_xlfn.XLOOKUP(B1061,LRV[id],LRV[source])</f>
        <v>Bohrerova et al.,2008</v>
      </c>
      <c r="D1061" s="13" t="str">
        <f>LRVs!C885</f>
        <v>UV</v>
      </c>
      <c r="E1061" s="13" t="str">
        <f>LRVs!BG885</f>
        <v>Bacteria</v>
      </c>
      <c r="F1061" s="13" t="str">
        <f>IF(LRVs!BH885="","",LRVs!BH885)</f>
        <v>Enterococci</v>
      </c>
      <c r="G1061">
        <f>IF(LRVs!BL885="","",LRVs!BL885)</f>
        <v>1.9</v>
      </c>
    </row>
    <row r="1062" spans="2:7" x14ac:dyDescent="0.3">
      <c r="B1062">
        <v>1236</v>
      </c>
      <c r="C1062" s="13" t="str">
        <f>_xlfn.XLOOKUP(B1062,LRV[id],LRV[source])</f>
        <v>Bohrerova et al.,2008</v>
      </c>
      <c r="D1062" s="13" t="str">
        <f>LRVs!C886</f>
        <v>UV</v>
      </c>
      <c r="E1062" s="13" t="str">
        <f>LRVs!BG886</f>
        <v>Bacteria</v>
      </c>
      <c r="F1062" s="13" t="str">
        <f>IF(LRVs!BH886="","",LRVs!BH886)</f>
        <v>Enterococci</v>
      </c>
      <c r="G1062">
        <f>IF(LRVs!BL886="","",LRVs!BL886)</f>
        <v>1.7</v>
      </c>
    </row>
    <row r="1063" spans="2:7" x14ac:dyDescent="0.3">
      <c r="B1063">
        <v>1237</v>
      </c>
      <c r="C1063" s="13" t="str">
        <f>_xlfn.XLOOKUP(B1063,LRV[id],LRV[source])</f>
        <v>Bohrerova et al.,2008</v>
      </c>
      <c r="D1063" s="13" t="str">
        <f>LRVs!C887</f>
        <v>UV</v>
      </c>
      <c r="E1063" s="13" t="str">
        <f>LRVs!BG887</f>
        <v>Virus</v>
      </c>
      <c r="F1063" s="13" t="str">
        <f>IF(LRVs!BH887="","",LRVs!BH887)</f>
        <v>Somatic coliphage</v>
      </c>
      <c r="G1063">
        <f>IF(LRVs!BL887="","",LRVs!BL887)</f>
        <v>1.2</v>
      </c>
    </row>
    <row r="1064" spans="2:7" x14ac:dyDescent="0.3">
      <c r="B1064">
        <v>1238</v>
      </c>
      <c r="C1064" s="13" t="str">
        <f>_xlfn.XLOOKUP(B1064,LRV[id],LRV[source])</f>
        <v>Bohrerova et al.,2008</v>
      </c>
      <c r="D1064" s="13" t="str">
        <f>LRVs!C888</f>
        <v>UV</v>
      </c>
      <c r="E1064" s="13" t="str">
        <f>LRVs!BG888</f>
        <v>Virus</v>
      </c>
      <c r="F1064" s="13" t="str">
        <f>IF(LRVs!BH888="","",LRVs!BH888)</f>
        <v>Somatic coliphage</v>
      </c>
      <c r="G1064">
        <f>IF(LRVs!BL888="","",LRVs!BL888)</f>
        <v>1.2</v>
      </c>
    </row>
    <row r="1065" spans="2:7" x14ac:dyDescent="0.3">
      <c r="B1065">
        <v>1239</v>
      </c>
      <c r="C1065" s="13" t="str">
        <f>_xlfn.XLOOKUP(B1065,LRV[id],LRV[source])</f>
        <v>Bohrerova et al.,2008</v>
      </c>
      <c r="D1065" s="13" t="str">
        <f>LRVs!C889</f>
        <v>UV</v>
      </c>
      <c r="E1065" s="13" t="str">
        <f>LRVs!BG889</f>
        <v>Virus</v>
      </c>
      <c r="F1065" s="13" t="str">
        <f>IF(LRVs!BH889="","",LRVs!BH889)</f>
        <v>Somatic coliphage</v>
      </c>
      <c r="G1065">
        <f>IF(LRVs!BL889="","",LRVs!BL889)</f>
        <v>1.1000000000000001</v>
      </c>
    </row>
    <row r="1066" spans="2:7" x14ac:dyDescent="0.3">
      <c r="B1066">
        <v>1240</v>
      </c>
      <c r="C1066" s="13" t="str">
        <f>_xlfn.XLOOKUP(B1066,LRV[id],LRV[source])</f>
        <v>Bohrerova et al.,2008</v>
      </c>
      <c r="D1066" s="13" t="str">
        <f>LRVs!C890</f>
        <v>UV</v>
      </c>
      <c r="E1066" s="13" t="str">
        <f>LRVs!BG890</f>
        <v>Protozoa</v>
      </c>
      <c r="F1066" s="13" t="str">
        <f>IF(LRVs!BH890="","",LRVs!BH890)</f>
        <v>Clostridium perfringens</v>
      </c>
      <c r="G1066">
        <f>IF(LRVs!BL890="","",LRVs!BL890)</f>
        <v>0.1</v>
      </c>
    </row>
    <row r="1067" spans="2:7" x14ac:dyDescent="0.3">
      <c r="B1067">
        <v>1241</v>
      </c>
      <c r="C1067" s="13" t="str">
        <f>_xlfn.XLOOKUP(B1067,LRV[id],LRV[source])</f>
        <v>Bohrerova et al.,2008</v>
      </c>
      <c r="D1067" s="13" t="str">
        <f>LRVs!C891</f>
        <v>UV</v>
      </c>
      <c r="E1067" s="13" t="str">
        <f>LRVs!BG891</f>
        <v>Protozoa</v>
      </c>
      <c r="F1067" s="13" t="str">
        <f>IF(LRVs!BH891="","",LRVs!BH891)</f>
        <v>Clostridium perfringens</v>
      </c>
      <c r="G1067">
        <f>IF(LRVs!BL891="","",LRVs!BL891)</f>
        <v>0.2</v>
      </c>
    </row>
    <row r="1068" spans="2:7" x14ac:dyDescent="0.3">
      <c r="B1068">
        <v>1242</v>
      </c>
      <c r="C1068" s="13" t="str">
        <f>_xlfn.XLOOKUP(B1068,LRV[id],LRV[source])</f>
        <v>Bohrerova et al.,2008</v>
      </c>
      <c r="D1068" s="13" t="str">
        <f>LRVs!C892</f>
        <v>UV</v>
      </c>
      <c r="E1068" s="13" t="str">
        <f>LRVs!BG892</f>
        <v>Protozoa</v>
      </c>
      <c r="F1068" s="13" t="str">
        <f>IF(LRVs!BH892="","",LRVs!BH892)</f>
        <v>Clostridium perfringens</v>
      </c>
      <c r="G1068">
        <f>IF(LRVs!BL892="","",LRVs!BL892)</f>
        <v>0.2</v>
      </c>
    </row>
    <row r="1069" spans="2:7" x14ac:dyDescent="0.3">
      <c r="B1069">
        <v>1243</v>
      </c>
      <c r="C1069" s="13" t="str">
        <f>_xlfn.XLOOKUP(B1069,LRV[id],LRV[source])</f>
        <v>Bohrerova et al.,2008</v>
      </c>
      <c r="D1069" s="13" t="str">
        <f>LRVs!C893</f>
        <v>Primary sedimentation</v>
      </c>
      <c r="E1069" s="13" t="str">
        <f>LRVs!BG893</f>
        <v>Bacteria</v>
      </c>
      <c r="F1069" s="13" t="str">
        <f>IF(LRVs!BH893="","",LRVs!BH893)</f>
        <v>Fecal coliform</v>
      </c>
      <c r="G1069">
        <f>IF(LRVs!BL893="","",LRVs!BL893)</f>
        <v>0.39</v>
      </c>
    </row>
    <row r="1070" spans="2:7" x14ac:dyDescent="0.3">
      <c r="B1070">
        <v>1244</v>
      </c>
      <c r="C1070" s="13" t="str">
        <f>_xlfn.XLOOKUP(B1070,LRV[id],LRV[source])</f>
        <v>Bohrerova et al.,2008</v>
      </c>
      <c r="D1070" s="13" t="str">
        <f>LRVs!C894</f>
        <v>Primary sedimentation</v>
      </c>
      <c r="E1070" s="13" t="str">
        <f>LRVs!BG894</f>
        <v>Bacteria</v>
      </c>
      <c r="F1070" s="13" t="str">
        <f>IF(LRVs!BH894="","",LRVs!BH894)</f>
        <v>Escherichia coli</v>
      </c>
      <c r="G1070">
        <f>IF(LRVs!BL894="","",LRVs!BL894)</f>
        <v>0.34</v>
      </c>
    </row>
    <row r="1071" spans="2:7" x14ac:dyDescent="0.3">
      <c r="B1071">
        <v>1245</v>
      </c>
      <c r="C1071" s="13" t="str">
        <f>_xlfn.XLOOKUP(B1071,LRV[id],LRV[source])</f>
        <v>Bohrerova et al.,2008</v>
      </c>
      <c r="D1071" s="13" t="str">
        <f>LRVs!C895</f>
        <v>Primary sedimentation</v>
      </c>
      <c r="E1071" s="13" t="str">
        <f>LRVs!BG895</f>
        <v>Bacteria</v>
      </c>
      <c r="F1071" s="13" t="str">
        <f>IF(LRVs!BH895="","",LRVs!BH895)</f>
        <v>Enterococci</v>
      </c>
      <c r="G1071">
        <f>IF(LRVs!BL895="","",LRVs!BL895)</f>
        <v>0.35</v>
      </c>
    </row>
    <row r="1072" spans="2:7" x14ac:dyDescent="0.3">
      <c r="B1072">
        <v>1246</v>
      </c>
      <c r="C1072" s="13" t="str">
        <f>_xlfn.XLOOKUP(B1072,LRV[id],LRV[source])</f>
        <v>Bohrerova et al.,2008</v>
      </c>
      <c r="D1072" s="13" t="str">
        <f>LRVs!C896</f>
        <v>Primary sedimentation</v>
      </c>
      <c r="E1072" s="13" t="str">
        <f>LRVs!BG896</f>
        <v>Virus</v>
      </c>
      <c r="F1072" s="13" t="str">
        <f>IF(LRVs!BH896="","",LRVs!BH896)</f>
        <v>Somatic coliphage</v>
      </c>
      <c r="G1072">
        <f>IF(LRVs!BL896="","",LRVs!BL896)</f>
        <v>0.33</v>
      </c>
    </row>
    <row r="1073" spans="2:7" x14ac:dyDescent="0.3">
      <c r="B1073">
        <v>1247</v>
      </c>
      <c r="C1073" s="13" t="str">
        <f>_xlfn.XLOOKUP(B1073,LRV[id],LRV[source])</f>
        <v>Bohrerova et al.,2008</v>
      </c>
      <c r="D1073" s="13" t="str">
        <f>LRVs!C897</f>
        <v>Primary sedimentation</v>
      </c>
      <c r="E1073" s="13" t="str">
        <f>LRVs!BG897</f>
        <v>Virus</v>
      </c>
      <c r="F1073" s="13" t="str">
        <f>IF(LRVs!BH897="","",LRVs!BH897)</f>
        <v>F-RNA phage</v>
      </c>
      <c r="G1073">
        <f>IF(LRVs!BL897="","",LRVs!BL897)</f>
        <v>0.32</v>
      </c>
    </row>
    <row r="1074" spans="2:7" x14ac:dyDescent="0.3">
      <c r="B1074">
        <v>1248</v>
      </c>
      <c r="C1074" s="13" t="str">
        <f>_xlfn.XLOOKUP(B1074,LRV[id],LRV[source])</f>
        <v>Bohrerova et al.,2008</v>
      </c>
      <c r="D1074" s="13" t="str">
        <f>LRVs!C898</f>
        <v>Primary sedimentation</v>
      </c>
      <c r="E1074" s="13" t="str">
        <f>LRVs!BG898</f>
        <v>Virus</v>
      </c>
      <c r="F1074" s="13" t="str">
        <f>IF(LRVs!BH898="","",LRVs!BH898)</f>
        <v>GB124 phage</v>
      </c>
      <c r="G1074">
        <f>IF(LRVs!BL898="","",LRVs!BL898)</f>
        <v>0.19</v>
      </c>
    </row>
    <row r="1075" spans="2:7" x14ac:dyDescent="0.3">
      <c r="B1075">
        <v>1249</v>
      </c>
      <c r="C1075" s="13" t="str">
        <f>_xlfn.XLOOKUP(B1075,LRV[id],LRV[source])</f>
        <v>Bohrerova et al.,2008</v>
      </c>
      <c r="D1075" s="13" t="str">
        <f>LRVs!C899</f>
        <v>Trickling filter</v>
      </c>
      <c r="E1075" s="13" t="str">
        <f>LRVs!BG899</f>
        <v>Bacteria</v>
      </c>
      <c r="F1075" s="13" t="str">
        <f>IF(LRVs!BH899="","",LRVs!BH899)</f>
        <v>Fecal coliform</v>
      </c>
      <c r="G1075">
        <f>IF(LRVs!BL899="","",LRVs!BL899)</f>
        <v>1.23</v>
      </c>
    </row>
    <row r="1076" spans="2:7" x14ac:dyDescent="0.3">
      <c r="B1076">
        <v>1250</v>
      </c>
      <c r="C1076" s="13" t="str">
        <f>_xlfn.XLOOKUP(B1076,LRV[id],LRV[source])</f>
        <v>Bohrerova et al.,2008</v>
      </c>
      <c r="D1076" s="13" t="str">
        <f>LRVs!C900</f>
        <v>Trickling filter</v>
      </c>
      <c r="E1076" s="13" t="str">
        <f>LRVs!BG900</f>
        <v>Bacteria</v>
      </c>
      <c r="F1076" s="13" t="str">
        <f>IF(LRVs!BH900="","",LRVs!BH900)</f>
        <v>Escherichia coli</v>
      </c>
      <c r="G1076">
        <f>IF(LRVs!BL900="","",LRVs!BL900)</f>
        <v>1.22</v>
      </c>
    </row>
    <row r="1077" spans="2:7" x14ac:dyDescent="0.3">
      <c r="B1077">
        <v>1251</v>
      </c>
      <c r="C1077" s="13" t="str">
        <f>_xlfn.XLOOKUP(B1077,LRV[id],LRV[source])</f>
        <v>Bohrerova et al.,2008</v>
      </c>
      <c r="D1077" s="13" t="str">
        <f>LRVs!C901</f>
        <v>Trickling filter</v>
      </c>
      <c r="E1077" s="13" t="str">
        <f>LRVs!BG901</f>
        <v>Bacteria</v>
      </c>
      <c r="F1077" s="13" t="str">
        <f>IF(LRVs!BH901="","",LRVs!BH901)</f>
        <v>Enterococci</v>
      </c>
      <c r="G1077">
        <f>IF(LRVs!BL901="","",LRVs!BL901)</f>
        <v>1.19</v>
      </c>
    </row>
    <row r="1078" spans="2:7" x14ac:dyDescent="0.3">
      <c r="B1078">
        <v>1252</v>
      </c>
      <c r="C1078" s="13" t="str">
        <f>_xlfn.XLOOKUP(B1078,LRV[id],LRV[source])</f>
        <v>Bohrerova et al.,2008</v>
      </c>
      <c r="D1078" s="13" t="str">
        <f>LRVs!C902</f>
        <v>Trickling filter</v>
      </c>
      <c r="E1078" s="13" t="str">
        <f>LRVs!BG902</f>
        <v>Virus</v>
      </c>
      <c r="F1078" s="13" t="str">
        <f>IF(LRVs!BH902="","",LRVs!BH902)</f>
        <v>Somatic coliphage</v>
      </c>
      <c r="G1078">
        <f>IF(LRVs!BL902="","",LRVs!BL902)</f>
        <v>0.73</v>
      </c>
    </row>
    <row r="1079" spans="2:7" x14ac:dyDescent="0.3">
      <c r="B1079">
        <v>1253</v>
      </c>
      <c r="C1079" s="13" t="str">
        <f>_xlfn.XLOOKUP(B1079,LRV[id],LRV[source])</f>
        <v>Bohrerova et al.,2008</v>
      </c>
      <c r="D1079" s="13" t="str">
        <f>LRVs!C903</f>
        <v>Trickling filter</v>
      </c>
      <c r="E1079" s="13" t="str">
        <f>LRVs!BG903</f>
        <v>Virus</v>
      </c>
      <c r="F1079" s="13" t="str">
        <f>IF(LRVs!BH903="","",LRVs!BH903)</f>
        <v>F-RNA phage</v>
      </c>
      <c r="G1079">
        <f>IF(LRVs!BL903="","",LRVs!BL903)</f>
        <v>0.66</v>
      </c>
    </row>
    <row r="1080" spans="2:7" x14ac:dyDescent="0.3">
      <c r="B1080">
        <v>1254</v>
      </c>
      <c r="C1080" s="13" t="str">
        <f>_xlfn.XLOOKUP(B1080,LRV[id],LRV[source])</f>
        <v>Bohrerova et al.,2008</v>
      </c>
      <c r="D1080" s="13" t="str">
        <f>LRVs!C904</f>
        <v>Trickling filter</v>
      </c>
      <c r="E1080" s="13" t="str">
        <f>LRVs!BG904</f>
        <v>Virus</v>
      </c>
      <c r="F1080" s="13" t="str">
        <f>IF(LRVs!BH904="","",LRVs!BH904)</f>
        <v>GB124 phage</v>
      </c>
      <c r="G1080">
        <f>IF(LRVs!BL904="","",LRVs!BL904)</f>
        <v>0.69</v>
      </c>
    </row>
    <row r="1081" spans="2:7" x14ac:dyDescent="0.3">
      <c r="B1081">
        <v>1340</v>
      </c>
      <c r="C1081" s="13" t="str">
        <f>_xlfn.XLOOKUP(B1081,LRV[id],LRV[source])</f>
        <v>Katz et al. (2017)</v>
      </c>
      <c r="D1081" s="13" t="str">
        <f>LRVs!C905</f>
        <v>Secondary sedimentation</v>
      </c>
      <c r="E1081" s="13" t="str">
        <f>LRVs!BG905</f>
        <v>Bacteria</v>
      </c>
      <c r="F1081" s="13" t="str">
        <f>IF(LRVs!BH905="","",LRVs!BH905)</f>
        <v>Fecal coliform</v>
      </c>
      <c r="G1081">
        <f>IF(LRVs!BL905="","",LRVs!BL905)</f>
        <v>0.6</v>
      </c>
    </row>
    <row r="1082" spans="2:7" x14ac:dyDescent="0.3">
      <c r="B1082">
        <v>1341</v>
      </c>
      <c r="C1082" s="13" t="str">
        <f>_xlfn.XLOOKUP(B1082,LRV[id],LRV[source])</f>
        <v>Katz et al. (2017)</v>
      </c>
      <c r="D1082" s="13" t="str">
        <f>LRVs!C906</f>
        <v>Secondary sedimentation</v>
      </c>
      <c r="E1082" s="13" t="str">
        <f>LRVs!BG906</f>
        <v>Bacteria</v>
      </c>
      <c r="F1082" s="13" t="str">
        <f>IF(LRVs!BH906="","",LRVs!BH906)</f>
        <v>Escherichia coli</v>
      </c>
      <c r="G1082">
        <f>IF(LRVs!BL906="","",LRVs!BL906)</f>
        <v>0.73</v>
      </c>
    </row>
    <row r="1083" spans="2:7" x14ac:dyDescent="0.3">
      <c r="B1083">
        <v>1342</v>
      </c>
      <c r="C1083" s="13" t="str">
        <f>_xlfn.XLOOKUP(B1083,LRV[id],LRV[source])</f>
        <v>Katz et al. (2017)</v>
      </c>
      <c r="D1083" s="13" t="str">
        <f>LRVs!C907</f>
        <v>Secondary sedimentation</v>
      </c>
      <c r="E1083" s="13" t="str">
        <f>LRVs!BG907</f>
        <v>Bacteria</v>
      </c>
      <c r="F1083" s="13" t="str">
        <f>IF(LRVs!BH907="","",LRVs!BH907)</f>
        <v>Enterococci</v>
      </c>
      <c r="G1083">
        <f>IF(LRVs!BL907="","",LRVs!BL907)</f>
        <v>0.8</v>
      </c>
    </row>
    <row r="1084" spans="2:7" x14ac:dyDescent="0.3">
      <c r="B1084">
        <v>1343</v>
      </c>
      <c r="C1084" s="13" t="str">
        <f>_xlfn.XLOOKUP(B1084,LRV[id],LRV[source])</f>
        <v>Katz et al. (2017)</v>
      </c>
      <c r="D1084" s="13" t="str">
        <f>LRVs!C908</f>
        <v>Secondary sedimentation</v>
      </c>
      <c r="E1084" s="13" t="str">
        <f>LRVs!BG908</f>
        <v>Virus</v>
      </c>
      <c r="F1084" s="13" t="str">
        <f>IF(LRVs!BH908="","",LRVs!BH908)</f>
        <v>Somatic coliphage</v>
      </c>
      <c r="G1084">
        <f>IF(LRVs!BL908="","",LRVs!BL908)</f>
        <v>0.24</v>
      </c>
    </row>
    <row r="1085" spans="2:7" x14ac:dyDescent="0.3">
      <c r="B1085">
        <v>1344</v>
      </c>
      <c r="C1085" s="13" t="str">
        <f>_xlfn.XLOOKUP(B1085,LRV[id],LRV[source])</f>
        <v>Katz et al. (2017)</v>
      </c>
      <c r="D1085" s="13" t="str">
        <f>LRVs!C909</f>
        <v>Secondary sedimentation</v>
      </c>
      <c r="E1085" s="13" t="str">
        <f>LRVs!BG909</f>
        <v>Virus</v>
      </c>
      <c r="F1085" s="13" t="str">
        <f>IF(LRVs!BH909="","",LRVs!BH909)</f>
        <v>F-RNA phage</v>
      </c>
      <c r="G1085">
        <f>IF(LRVs!BL909="","",LRVs!BL909)</f>
        <v>0.18</v>
      </c>
    </row>
    <row r="1086" spans="2:7" x14ac:dyDescent="0.3">
      <c r="B1086">
        <v>1345</v>
      </c>
      <c r="C1086" s="13" t="str">
        <f>_xlfn.XLOOKUP(B1086,LRV[id],LRV[source])</f>
        <v>Katz et al. (2017)</v>
      </c>
      <c r="D1086" s="13" t="str">
        <f>LRVs!C910</f>
        <v>Secondary sedimentation</v>
      </c>
      <c r="E1086" s="13" t="str">
        <f>LRVs!BG910</f>
        <v>Virus</v>
      </c>
      <c r="F1086" s="13" t="str">
        <f>IF(LRVs!BH910="","",LRVs!BH910)</f>
        <v>GB124 phage</v>
      </c>
      <c r="G1086">
        <f>IF(LRVs!BL910="","",LRVs!BL910)</f>
        <v>0.17</v>
      </c>
    </row>
    <row r="1087" spans="2:7" x14ac:dyDescent="0.3">
      <c r="B1087">
        <v>1346</v>
      </c>
      <c r="C1087" s="13" t="str">
        <f>_xlfn.XLOOKUP(B1087,LRV[id],LRV[source])</f>
        <v>Katz et al. (2017)</v>
      </c>
      <c r="D1087" s="13" t="str">
        <f>LRVs!C911</f>
        <v>Sand filter</v>
      </c>
      <c r="E1087" s="13" t="str">
        <f>LRVs!BG911</f>
        <v>Bacteria</v>
      </c>
      <c r="F1087" s="13" t="str">
        <f>IF(LRVs!BH911="","",LRVs!BH911)</f>
        <v>Total coliform</v>
      </c>
      <c r="G1087">
        <f>IF(LRVs!BL911="","",LRVs!BL911)</f>
        <v>1.1000000000000001</v>
      </c>
    </row>
    <row r="1088" spans="2:7" x14ac:dyDescent="0.3">
      <c r="B1088">
        <v>1347</v>
      </c>
      <c r="C1088" s="13" t="str">
        <f>_xlfn.XLOOKUP(B1088,LRV[id],LRV[source])</f>
        <v>Katz et al. (2017)</v>
      </c>
      <c r="D1088" s="13" t="str">
        <f>LRVs!C912</f>
        <v>Sand filter</v>
      </c>
      <c r="E1088" s="13" t="str">
        <f>LRVs!BG912</f>
        <v>Bacteria</v>
      </c>
      <c r="F1088" s="13" t="str">
        <f>IF(LRVs!BH912="","",LRVs!BH912)</f>
        <v>Escherichia coli</v>
      </c>
      <c r="G1088">
        <f>IF(LRVs!BL912="","",LRVs!BL912)</f>
        <v>1</v>
      </c>
    </row>
    <row r="1089" spans="2:7" x14ac:dyDescent="0.3">
      <c r="B1089">
        <v>1348</v>
      </c>
      <c r="C1089" s="13" t="str">
        <f>_xlfn.XLOOKUP(B1089,LRV[id],LRV[source])</f>
        <v>Katz et al. (2017)</v>
      </c>
      <c r="D1089" s="13" t="str">
        <f>LRVs!C913</f>
        <v>Sand filter</v>
      </c>
      <c r="E1089" s="13" t="str">
        <f>LRVs!BG913</f>
        <v>Bacteria</v>
      </c>
      <c r="F1089" s="13" t="str">
        <f>IF(LRVs!BH913="","",LRVs!BH913)</f>
        <v>Enterococci</v>
      </c>
      <c r="G1089">
        <f>IF(LRVs!BL913="","",LRVs!BL913)</f>
        <v>0.7</v>
      </c>
    </row>
    <row r="1090" spans="2:7" x14ac:dyDescent="0.3">
      <c r="B1090">
        <v>1349</v>
      </c>
      <c r="C1090" s="13" t="str">
        <f>_xlfn.XLOOKUP(B1090,LRV[id],LRV[source])</f>
        <v>Katz et al. (2017)</v>
      </c>
      <c r="D1090" s="13" t="str">
        <f>LRVs!C914</f>
        <v>Sand filter</v>
      </c>
      <c r="E1090" s="13" t="str">
        <f>LRVs!BG914</f>
        <v>Bacteria</v>
      </c>
      <c r="F1090" s="13" t="str">
        <f>IF(LRVs!BH914="","",LRVs!BH914)</f>
        <v>Total coliform</v>
      </c>
      <c r="G1090">
        <f>IF(LRVs!BL914="","",LRVs!BL914)</f>
        <v>0.9</v>
      </c>
    </row>
    <row r="1091" spans="2:7" x14ac:dyDescent="0.3">
      <c r="B1091">
        <v>1350</v>
      </c>
      <c r="C1091" s="13" t="str">
        <f>_xlfn.XLOOKUP(B1091,LRV[id],LRV[source])</f>
        <v>Katz et al. (2017)</v>
      </c>
      <c r="D1091" s="13" t="str">
        <f>LRVs!C915</f>
        <v>Sand filter</v>
      </c>
      <c r="E1091" s="13" t="str">
        <f>LRVs!BG915</f>
        <v>Bacteria</v>
      </c>
      <c r="F1091" s="13" t="str">
        <f>IF(LRVs!BH915="","",LRVs!BH915)</f>
        <v>Escherichia coli</v>
      </c>
      <c r="G1091">
        <f>IF(LRVs!BL915="","",LRVs!BL915)</f>
        <v>0.9</v>
      </c>
    </row>
    <row r="1092" spans="2:7" x14ac:dyDescent="0.3">
      <c r="B1092">
        <v>1351</v>
      </c>
      <c r="C1092" s="13" t="str">
        <f>_xlfn.XLOOKUP(B1092,LRV[id],LRV[source])</f>
        <v>Katz et al. (2017)</v>
      </c>
      <c r="D1092" s="13" t="str">
        <f>LRVs!C916</f>
        <v>Sand filter</v>
      </c>
      <c r="E1092" s="13" t="str">
        <f>LRVs!BG916</f>
        <v>Virus</v>
      </c>
      <c r="F1092" s="13" t="str">
        <f>IF(LRVs!BH916="","",LRVs!BH916)</f>
        <v>MS2</v>
      </c>
      <c r="G1092">
        <f>IF(LRVs!BL916="","",LRVs!BL916)</f>
        <v>1.42</v>
      </c>
    </row>
    <row r="1093" spans="2:7" x14ac:dyDescent="0.3">
      <c r="B1093">
        <v>1352</v>
      </c>
      <c r="C1093" s="13" t="str">
        <f>_xlfn.XLOOKUP(B1093,LRV[id],LRV[source])</f>
        <v>Katz et al. (2017)</v>
      </c>
      <c r="D1093" s="13" t="str">
        <f>LRVs!C917</f>
        <v>Sand filter</v>
      </c>
      <c r="E1093" s="13" t="str">
        <f>LRVs!BG917</f>
        <v>Bacteria</v>
      </c>
      <c r="F1093" s="13" t="str">
        <f>IF(LRVs!BH917="","",LRVs!BH917)</f>
        <v>Enterococci</v>
      </c>
      <c r="G1093">
        <f>IF(LRVs!BL917="","",LRVs!BL917)</f>
        <v>1</v>
      </c>
    </row>
    <row r="1094" spans="2:7" x14ac:dyDescent="0.3">
      <c r="B1094">
        <v>1353</v>
      </c>
      <c r="C1094" s="13" t="str">
        <f>_xlfn.XLOOKUP(B1094,LRV[id],LRV[source])</f>
        <v>Katz et al. (2017)</v>
      </c>
      <c r="D1094" s="13" t="str">
        <f>LRVs!C918</f>
        <v>Membrane bioreactor</v>
      </c>
      <c r="E1094" s="13" t="str">
        <f>LRVs!BG918</f>
        <v>Virus</v>
      </c>
      <c r="F1094" s="13" t="str">
        <f>IF(LRVs!BH918="","",LRVs!BH918)</f>
        <v>Adenovirus</v>
      </c>
      <c r="G1094">
        <f>IF(LRVs!BL918="","",LRVs!BL918)</f>
        <v>4.6314144707637643</v>
      </c>
    </row>
    <row r="1095" spans="2:7" x14ac:dyDescent="0.3">
      <c r="B1095">
        <v>1354</v>
      </c>
      <c r="C1095" s="13" t="str">
        <f>_xlfn.XLOOKUP(B1095,LRV[id],LRV[source])</f>
        <v>Katz et al. (2017)</v>
      </c>
      <c r="D1095" s="13" t="str">
        <f>LRVs!C919</f>
        <v>Membrane bioreactor</v>
      </c>
      <c r="E1095" s="13" t="str">
        <f>LRVs!BG919</f>
        <v>Virus</v>
      </c>
      <c r="F1095" s="13" t="str">
        <f>IF(LRVs!BH919="","",LRVs!BH919)</f>
        <v>Norovirus</v>
      </c>
      <c r="G1095">
        <f>IF(LRVs!BL919="","",LRVs!BL919)</f>
        <v>5.1205468457968433</v>
      </c>
    </row>
    <row r="1096" spans="2:7" x14ac:dyDescent="0.3">
      <c r="B1096">
        <v>1355</v>
      </c>
      <c r="C1096" s="13" t="str">
        <f>_xlfn.XLOOKUP(B1096,LRV[id],LRV[source])</f>
        <v>Katz et al. (2017)</v>
      </c>
      <c r="D1096" s="13" t="str">
        <f>LRVs!C920</f>
        <v>Membrane bioreactor</v>
      </c>
      <c r="E1096" s="13" t="str">
        <f>LRVs!BG920</f>
        <v>Virus</v>
      </c>
      <c r="F1096" s="13" t="str">
        <f>IF(LRVs!BH920="","",LRVs!BH920)</f>
        <v>F-specific coliphage</v>
      </c>
      <c r="G1096">
        <f>IF(LRVs!BL920="","",LRVs!BL920)</f>
        <v>6.1919302321650882</v>
      </c>
    </row>
    <row r="1097" spans="2:7" x14ac:dyDescent="0.3">
      <c r="B1097">
        <v>1356</v>
      </c>
      <c r="C1097" s="13" t="str">
        <f>_xlfn.XLOOKUP(B1097,LRV[id],LRV[source])</f>
        <v>Katz et al. (2017)</v>
      </c>
      <c r="D1097" s="13" t="str">
        <f>LRVs!C921</f>
        <v>Peat Filter</v>
      </c>
      <c r="E1097" s="13" t="str">
        <f>LRVs!BG921</f>
        <v>Virus</v>
      </c>
      <c r="F1097" s="13" t="str">
        <f>IF(LRVs!BH921="","",LRVs!BH921)</f>
        <v>MS2</v>
      </c>
      <c r="G1097">
        <f>IF(LRVs!BL921="","",LRVs!BL921)</f>
        <v>6.9</v>
      </c>
    </row>
    <row r="1098" spans="2:7" x14ac:dyDescent="0.3">
      <c r="B1098">
        <v>1357</v>
      </c>
      <c r="C1098" s="13" t="str">
        <f>_xlfn.XLOOKUP(B1098,LRV[id],LRV[source])</f>
        <v>Katz et al. (2017)</v>
      </c>
      <c r="D1098" s="13" t="str">
        <f>LRVs!C922</f>
        <v>Peat Filter</v>
      </c>
      <c r="E1098" s="13" t="str">
        <f>LRVs!BG922</f>
        <v>Virus</v>
      </c>
      <c r="F1098" s="13" t="str">
        <f>IF(LRVs!BH922="","",LRVs!BH922)</f>
        <v>MS2</v>
      </c>
      <c r="G1098">
        <f>IF(LRVs!BL922="","",LRVs!BL922)</f>
        <v>7</v>
      </c>
    </row>
    <row r="1099" spans="2:7" x14ac:dyDescent="0.3">
      <c r="B1099">
        <v>1358</v>
      </c>
      <c r="C1099" s="13" t="str">
        <f>_xlfn.XLOOKUP(B1099,LRV[id],LRV[source])</f>
        <v>Katz et al. (2017)</v>
      </c>
      <c r="D1099" s="13" t="str">
        <f>LRVs!C923</f>
        <v>Peat Filter</v>
      </c>
      <c r="E1099" s="13" t="str">
        <f>LRVs!BG923</f>
        <v>Bacteria</v>
      </c>
      <c r="F1099" s="13" t="str">
        <f>IF(LRVs!BH923="","",LRVs!BH923)</f>
        <v>Fecal coliform</v>
      </c>
      <c r="G1099">
        <f>IF(LRVs!BL923="","",LRVs!BL923)</f>
        <v>4.5999999999999996</v>
      </c>
    </row>
    <row r="1100" spans="2:7" x14ac:dyDescent="0.3">
      <c r="B1100">
        <v>1359</v>
      </c>
      <c r="C1100" s="13" t="str">
        <f>_xlfn.XLOOKUP(B1100,LRV[id],LRV[source])</f>
        <v>Katz et al. (2017)</v>
      </c>
      <c r="D1100" s="13" t="str">
        <f>LRVs!C924</f>
        <v>Peat Filter</v>
      </c>
      <c r="E1100" s="13" t="str">
        <f>LRVs!BG924</f>
        <v>Bacteria</v>
      </c>
      <c r="F1100" s="13" t="str">
        <f>IF(LRVs!BH924="","",LRVs!BH924)</f>
        <v>Fecal coliform</v>
      </c>
      <c r="G1100">
        <f>IF(LRVs!BL924="","",LRVs!BL924)</f>
        <v>4.5999999999999996</v>
      </c>
    </row>
    <row r="1101" spans="2:7" x14ac:dyDescent="0.3">
      <c r="B1101">
        <v>1360</v>
      </c>
      <c r="C1101" s="13" t="str">
        <f>_xlfn.XLOOKUP(B1101,LRV[id],LRV[source])</f>
        <v>Katz et al. (2017)</v>
      </c>
      <c r="D1101" s="13" t="str">
        <f>LRVs!C925</f>
        <v>Peat Filter</v>
      </c>
      <c r="E1101" s="13" t="str">
        <f>LRVs!BG925</f>
        <v>Virus</v>
      </c>
      <c r="F1101" s="13" t="str">
        <f>IF(LRVs!BH925="","",LRVs!BH925)</f>
        <v>Somatic coliphage</v>
      </c>
      <c r="G1101">
        <f>IF(LRVs!BL925="","",LRVs!BL925)</f>
        <v>2.8</v>
      </c>
    </row>
    <row r="1102" spans="2:7" x14ac:dyDescent="0.3">
      <c r="B1102">
        <v>1361</v>
      </c>
      <c r="C1102" s="13" t="str">
        <f>_xlfn.XLOOKUP(B1102,LRV[id],LRV[source])</f>
        <v>Katz et al. (2017)</v>
      </c>
      <c r="D1102" s="13" t="str">
        <f>LRVs!C926</f>
        <v>Peat Filter</v>
      </c>
      <c r="E1102" s="13" t="str">
        <f>LRVs!BG926</f>
        <v>Virus</v>
      </c>
      <c r="F1102" s="13" t="str">
        <f>IF(LRVs!BH926="","",LRVs!BH926)</f>
        <v>Somatic coliphage</v>
      </c>
      <c r="G1102">
        <f>IF(LRVs!BL926="","",LRVs!BL926)</f>
        <v>3.4</v>
      </c>
    </row>
    <row r="1103" spans="2:7" x14ac:dyDescent="0.3">
      <c r="B1103">
        <v>1362</v>
      </c>
      <c r="C1103" s="13" t="str">
        <f>_xlfn.XLOOKUP(B1103,LRV[id],LRV[source])</f>
        <v>Katz et al. (2017)</v>
      </c>
      <c r="D1103" s="13" t="str">
        <f>LRVs!C927</f>
        <v>Sand Filter</v>
      </c>
      <c r="E1103" s="13" t="str">
        <f>LRVs!BG927</f>
        <v>Virus</v>
      </c>
      <c r="F1103" s="13" t="str">
        <f>IF(LRVs!BH927="","",LRVs!BH927)</f>
        <v>MS2</v>
      </c>
      <c r="G1103">
        <f>IF(LRVs!BL927="","",LRVs!BL927)</f>
        <v>1.8</v>
      </c>
    </row>
    <row r="1104" spans="2:7" x14ac:dyDescent="0.3">
      <c r="B1104">
        <v>1363</v>
      </c>
      <c r="C1104" s="13" t="str">
        <f>_xlfn.XLOOKUP(B1104,LRV[id],LRV[source])</f>
        <v>Katz et al. (2017)</v>
      </c>
      <c r="D1104" s="13" t="str">
        <f>LRVs!C928</f>
        <v>Sand Filter</v>
      </c>
      <c r="E1104" s="13" t="str">
        <f>LRVs!BG928</f>
        <v>Virus</v>
      </c>
      <c r="F1104" s="13" t="str">
        <f>IF(LRVs!BH928="","",LRVs!BH928)</f>
        <v>MS2</v>
      </c>
      <c r="G1104">
        <f>IF(LRVs!BL928="","",LRVs!BL928)</f>
        <v>2.7</v>
      </c>
    </row>
    <row r="1105" spans="2:7" x14ac:dyDescent="0.3">
      <c r="B1105">
        <v>1364</v>
      </c>
      <c r="C1105" s="13" t="str">
        <f>_xlfn.XLOOKUP(B1105,LRV[id],LRV[source])</f>
        <v>Katz et al. (2017)</v>
      </c>
      <c r="D1105" s="13" t="str">
        <f>LRVs!C929</f>
        <v>Sand Filter</v>
      </c>
      <c r="E1105" s="13" t="str">
        <f>LRVs!BG929</f>
        <v>Bacteria</v>
      </c>
      <c r="F1105" s="13" t="str">
        <f>IF(LRVs!BH929="","",LRVs!BH929)</f>
        <v>Fecal coliform</v>
      </c>
      <c r="G1105">
        <f>IF(LRVs!BL929="","",LRVs!BL929)</f>
        <v>2</v>
      </c>
    </row>
    <row r="1106" spans="2:7" x14ac:dyDescent="0.3">
      <c r="B1106">
        <v>1365</v>
      </c>
      <c r="C1106" s="13" t="str">
        <f>_xlfn.XLOOKUP(B1106,LRV[id],LRV[source])</f>
        <v>Katz et al. (2017)</v>
      </c>
      <c r="D1106" s="13" t="str">
        <f>LRVs!C930</f>
        <v>Sand Filter</v>
      </c>
      <c r="E1106" s="13" t="str">
        <f>LRVs!BG930</f>
        <v>Bacteria</v>
      </c>
      <c r="F1106" s="13" t="str">
        <f>IF(LRVs!BH930="","",LRVs!BH930)</f>
        <v>Fecal coliform</v>
      </c>
      <c r="G1106">
        <f>IF(LRVs!BL930="","",LRVs!BL930)</f>
        <v>2.9</v>
      </c>
    </row>
    <row r="1107" spans="2:7" x14ac:dyDescent="0.3">
      <c r="B1107">
        <v>1366</v>
      </c>
      <c r="C1107" s="13" t="str">
        <f>_xlfn.XLOOKUP(B1107,LRV[id],LRV[source])</f>
        <v>Katz et al. (2017)</v>
      </c>
      <c r="D1107" s="13" t="str">
        <f>LRVs!C931</f>
        <v>Sand Filter</v>
      </c>
      <c r="E1107" s="13" t="str">
        <f>LRVs!BG931</f>
        <v>Virus</v>
      </c>
      <c r="F1107" s="13" t="str">
        <f>IF(LRVs!BH931="","",LRVs!BH931)</f>
        <v>Somatic coliphage</v>
      </c>
      <c r="G1107">
        <f>IF(LRVs!BL931="","",LRVs!BL931)</f>
        <v>1.5</v>
      </c>
    </row>
    <row r="1108" spans="2:7" x14ac:dyDescent="0.3">
      <c r="B1108">
        <v>1367</v>
      </c>
      <c r="C1108" s="13" t="str">
        <f>_xlfn.XLOOKUP(B1108,LRV[id],LRV[source])</f>
        <v>Katz et al. (2017)</v>
      </c>
      <c r="D1108" s="13" t="str">
        <f>LRVs!C932</f>
        <v>Sand Filter</v>
      </c>
      <c r="E1108" s="13" t="str">
        <f>LRVs!BG932</f>
        <v>Virus</v>
      </c>
      <c r="F1108" s="13" t="str">
        <f>IF(LRVs!BH932="","",LRVs!BH932)</f>
        <v>Somatic coliphage</v>
      </c>
      <c r="G1108">
        <f>IF(LRVs!BL932="","",LRVs!BL932)</f>
        <v>2.6</v>
      </c>
    </row>
    <row r="1109" spans="2:7" x14ac:dyDescent="0.3">
      <c r="B1109">
        <v>1368</v>
      </c>
      <c r="C1109" s="13" t="str">
        <f>_xlfn.XLOOKUP(B1109,LRV[id],LRV[source])</f>
        <v>Katz et al. (2017)</v>
      </c>
      <c r="D1109" s="13" t="str">
        <f>LRVs!C933</f>
        <v>Sand Filter</v>
      </c>
      <c r="E1109" s="13" t="str">
        <f>LRVs!BG933</f>
        <v>Bacteria</v>
      </c>
      <c r="F1109" s="13" t="str">
        <f>IF(LRVs!BH933="","",LRVs!BH933)</f>
        <v>Salmonella</v>
      </c>
      <c r="G1109">
        <f>IF(LRVs!BL933="","",LRVs!BL933)</f>
        <v>7.6</v>
      </c>
    </row>
    <row r="1110" spans="2:7" x14ac:dyDescent="0.3">
      <c r="B1110">
        <v>1369</v>
      </c>
      <c r="C1110" s="13" t="str">
        <f>_xlfn.XLOOKUP(B1110,LRV[id],LRV[source])</f>
        <v>Katz et al. (2017)</v>
      </c>
      <c r="D1110" s="13" t="str">
        <f>LRVs!C934</f>
        <v>Sand Filter</v>
      </c>
      <c r="E1110" s="13" t="str">
        <f>LRVs!BG934</f>
        <v>Bacteria</v>
      </c>
      <c r="F1110" s="13" t="str">
        <f>IF(LRVs!BH934="","",LRVs!BH934)</f>
        <v>Salmonella</v>
      </c>
      <c r="G1110">
        <f>IF(LRVs!BL934="","",LRVs!BL934)</f>
        <v>8.5</v>
      </c>
    </row>
    <row r="1111" spans="2:7" x14ac:dyDescent="0.3">
      <c r="B1111">
        <v>1370</v>
      </c>
      <c r="C1111" s="13" t="str">
        <f>_xlfn.XLOOKUP(B1111,LRV[id],LRV[source])</f>
        <v>Katz et al. (2017)</v>
      </c>
      <c r="D1111" s="13" t="str">
        <f>LRVs!C935</f>
        <v>Peat Filter</v>
      </c>
      <c r="E1111" s="13" t="str">
        <f>LRVs!BG935</f>
        <v>Bacteria</v>
      </c>
      <c r="F1111" s="13" t="str">
        <f>IF(LRVs!BH935="","",LRVs!BH935)</f>
        <v>Salmonella</v>
      </c>
      <c r="G1111">
        <f>IF(LRVs!BL935="","",LRVs!BL935)</f>
        <v>8.9</v>
      </c>
    </row>
    <row r="1112" spans="2:7" x14ac:dyDescent="0.3">
      <c r="B1112">
        <v>1371</v>
      </c>
      <c r="C1112" s="13" t="str">
        <f>_xlfn.XLOOKUP(B1112,LRV[id],LRV[source])</f>
        <v>Katz et al. (2017)</v>
      </c>
      <c r="D1112" s="13" t="str">
        <f>LRVs!C936</f>
        <v>Peat Filter</v>
      </c>
      <c r="E1112" s="13" t="str">
        <f>LRVs!BG936</f>
        <v>Bacteria</v>
      </c>
      <c r="F1112" s="13" t="str">
        <f>IF(LRVs!BH936="","",LRVs!BH936)</f>
        <v>Salmonella</v>
      </c>
      <c r="G1112">
        <f>IF(LRVs!BL936="","",LRVs!BL936)</f>
        <v>8.9</v>
      </c>
    </row>
    <row r="1113" spans="2:7" x14ac:dyDescent="0.3">
      <c r="B1113">
        <v>1372</v>
      </c>
      <c r="C1113" s="13" t="str">
        <f>_xlfn.XLOOKUP(B1113,LRV[id],LRV[source])</f>
        <v>Katz et al. (2017)</v>
      </c>
      <c r="D1113" s="13" t="str">
        <f>LRVs!C937</f>
        <v>Sand Filter</v>
      </c>
      <c r="E1113" s="13" t="str">
        <f>LRVs!BG937</f>
        <v>Bacteria</v>
      </c>
      <c r="F1113" s="13" t="str">
        <f>IF(LRVs!BH937="","",LRVs!BH937)</f>
        <v>Salmonella</v>
      </c>
      <c r="G1113">
        <f>IF(LRVs!BL937="","",LRVs!BL937)</f>
        <v>1.4</v>
      </c>
    </row>
    <row r="1114" spans="2:7" x14ac:dyDescent="0.3">
      <c r="B1114">
        <v>1373</v>
      </c>
      <c r="C1114" s="13" t="str">
        <f>_xlfn.XLOOKUP(B1114,LRV[id],LRV[source])</f>
        <v>Katz et al. (2017)</v>
      </c>
      <c r="D1114" s="13" t="str">
        <f>LRVs!C938</f>
        <v>Sand Filter</v>
      </c>
      <c r="E1114" s="13" t="str">
        <f>LRVs!BG938</f>
        <v>Bacteria</v>
      </c>
      <c r="F1114" s="13" t="str">
        <f>IF(LRVs!BH938="","",LRVs!BH938)</f>
        <v>Salmonella</v>
      </c>
      <c r="G1114">
        <f>IF(LRVs!BL938="","",LRVs!BL938)</f>
        <v>3.1</v>
      </c>
    </row>
    <row r="1115" spans="2:7" x14ac:dyDescent="0.3">
      <c r="B1115">
        <v>1374</v>
      </c>
      <c r="C1115" s="13" t="str">
        <f>_xlfn.XLOOKUP(B1115,LRV[id],LRV[source])</f>
        <v>Katz et al. (2017)</v>
      </c>
      <c r="D1115" s="13" t="str">
        <f>LRVs!C939</f>
        <v>Peat Filter</v>
      </c>
      <c r="E1115" s="13" t="str">
        <f>LRVs!BG939</f>
        <v>Bacteria</v>
      </c>
      <c r="F1115" s="13" t="str">
        <f>IF(LRVs!BH939="","",LRVs!BH939)</f>
        <v>Salmonella</v>
      </c>
      <c r="G1115">
        <f>IF(LRVs!BL939="","",LRVs!BL939)</f>
        <v>5.6</v>
      </c>
    </row>
    <row r="1116" spans="2:7" x14ac:dyDescent="0.3">
      <c r="B1116">
        <v>1375</v>
      </c>
      <c r="C1116" s="13" t="str">
        <f>_xlfn.XLOOKUP(B1116,LRV[id],LRV[source])</f>
        <v>Katz et al. (2017)</v>
      </c>
      <c r="D1116" s="13" t="str">
        <f>LRVs!C940</f>
        <v>Sand Filter</v>
      </c>
      <c r="E1116" s="13" t="str">
        <f>LRVs!BG940</f>
        <v>Bacteria</v>
      </c>
      <c r="F1116" s="13" t="str">
        <f>IF(LRVs!BH940="","",LRVs!BH940)</f>
        <v>Fecal coliform</v>
      </c>
      <c r="G1116">
        <f>IF(LRVs!BL940="","",LRVs!BL940)</f>
        <v>4.0999999999999996</v>
      </c>
    </row>
    <row r="1117" spans="2:7" x14ac:dyDescent="0.3">
      <c r="B1117">
        <v>1376</v>
      </c>
      <c r="C1117" s="13" t="str">
        <f>_xlfn.XLOOKUP(B1117,LRV[id],LRV[source])</f>
        <v>Katz et al. (2017)</v>
      </c>
      <c r="D1117" s="13" t="str">
        <f>LRVs!C941</f>
        <v>Sand Filter</v>
      </c>
      <c r="E1117" s="13" t="str">
        <f>LRVs!BG941</f>
        <v>Bacteria</v>
      </c>
      <c r="F1117" s="13" t="str">
        <f>IF(LRVs!BH941="","",LRVs!BH941)</f>
        <v>Fecal coliform</v>
      </c>
      <c r="G1117">
        <f>IF(LRVs!BL941="","",LRVs!BL941)</f>
        <v>3.9</v>
      </c>
    </row>
    <row r="1118" spans="2:7" x14ac:dyDescent="0.3">
      <c r="B1118">
        <v>1377</v>
      </c>
      <c r="C1118" s="13" t="str">
        <f>_xlfn.XLOOKUP(B1118,LRV[id],LRV[source])</f>
        <v>Katz et al. (2017)</v>
      </c>
      <c r="D1118" s="13" t="str">
        <f>LRVs!C942</f>
        <v>Peat Filter</v>
      </c>
      <c r="E1118" s="13" t="str">
        <f>LRVs!BG942</f>
        <v>Bacteria</v>
      </c>
      <c r="F1118" s="13" t="str">
        <f>IF(LRVs!BH942="","",LRVs!BH942)</f>
        <v>Fecal coliform</v>
      </c>
      <c r="G1118">
        <f>IF(LRVs!BL942="","",LRVs!BL942)</f>
        <v>4.5</v>
      </c>
    </row>
    <row r="1119" spans="2:7" x14ac:dyDescent="0.3">
      <c r="B1119">
        <v>1378</v>
      </c>
      <c r="C1119" s="13" t="str">
        <f>_xlfn.XLOOKUP(B1119,LRV[id],LRV[source])</f>
        <v>Katz et al. (2017)</v>
      </c>
      <c r="D1119" s="13" t="str">
        <f>LRVs!C943</f>
        <v>Peat Filter</v>
      </c>
      <c r="E1119" s="13" t="str">
        <f>LRVs!BG943</f>
        <v>Bacteria</v>
      </c>
      <c r="F1119" s="13" t="str">
        <f>IF(LRVs!BH943="","",LRVs!BH943)</f>
        <v>Fecal coliform</v>
      </c>
      <c r="G1119">
        <f>IF(LRVs!BL943="","",LRVs!BL943)</f>
        <v>4.5</v>
      </c>
    </row>
    <row r="1120" spans="2:7" x14ac:dyDescent="0.3">
      <c r="B1120">
        <v>1379</v>
      </c>
      <c r="C1120" s="13" t="str">
        <f>_xlfn.XLOOKUP(B1120,LRV[id],LRV[source])</f>
        <v>Katz et al. (2017)</v>
      </c>
      <c r="D1120" s="13" t="str">
        <f>LRVs!C944</f>
        <v>Sand Filter</v>
      </c>
      <c r="E1120" s="13" t="str">
        <f>LRVs!BG944</f>
        <v>Bacteria</v>
      </c>
      <c r="F1120" s="13" t="str">
        <f>IF(LRVs!BH944="","",LRVs!BH944)</f>
        <v>Fecal coliform</v>
      </c>
      <c r="G1120">
        <f>IF(LRVs!BL944="","",LRVs!BL944)</f>
        <v>3.4</v>
      </c>
    </row>
    <row r="1121" spans="2:7" x14ac:dyDescent="0.3">
      <c r="B1121">
        <v>1380</v>
      </c>
      <c r="C1121" s="13" t="str">
        <f>_xlfn.XLOOKUP(B1121,LRV[id],LRV[source])</f>
        <v>Katz et al. (2017)</v>
      </c>
      <c r="D1121" s="13" t="str">
        <f>LRVs!C945</f>
        <v>Sand Filter</v>
      </c>
      <c r="E1121" s="13" t="str">
        <f>LRVs!BG945</f>
        <v>Bacteria</v>
      </c>
      <c r="F1121" s="13" t="str">
        <f>IF(LRVs!BH945="","",LRVs!BH945)</f>
        <v>Fecal coliform</v>
      </c>
      <c r="G1121">
        <f>IF(LRVs!BL945="","",LRVs!BL945)</f>
        <v>3.3</v>
      </c>
    </row>
    <row r="1122" spans="2:7" x14ac:dyDescent="0.3">
      <c r="B1122">
        <v>1381</v>
      </c>
      <c r="C1122" s="13" t="str">
        <f>_xlfn.XLOOKUP(B1122,LRV[id],LRV[source])</f>
        <v>Katz et al. (2017)</v>
      </c>
      <c r="D1122" s="13" t="str">
        <f>LRVs!C946</f>
        <v>Peat Filter</v>
      </c>
      <c r="E1122" s="13" t="str">
        <f>LRVs!BG946</f>
        <v>Bacteria</v>
      </c>
      <c r="F1122" s="13" t="str">
        <f>IF(LRVs!BH946="","",LRVs!BH946)</f>
        <v>Fecal coliform</v>
      </c>
      <c r="G1122">
        <f>IF(LRVs!BL946="","",LRVs!BL946)</f>
        <v>4.9000000000000004</v>
      </c>
    </row>
    <row r="1123" spans="2:7" x14ac:dyDescent="0.3">
      <c r="B1123">
        <v>1382</v>
      </c>
      <c r="C1123" s="13" t="str">
        <f>_xlfn.XLOOKUP(B1123,LRV[id],LRV[source])</f>
        <v>Katz et al. (2017)</v>
      </c>
      <c r="D1123" s="13" t="str">
        <f>LRVs!C947</f>
        <v>Peat Filter</v>
      </c>
      <c r="E1123" s="13" t="str">
        <f>LRVs!BG947</f>
        <v>Bacteria</v>
      </c>
      <c r="F1123" s="13" t="str">
        <f>IF(LRVs!BH947="","",LRVs!BH947)</f>
        <v>Fecal coliform</v>
      </c>
      <c r="G1123">
        <f>IF(LRVs!BL947="","",LRVs!BL947)</f>
        <v>4.8</v>
      </c>
    </row>
    <row r="1124" spans="2:7" x14ac:dyDescent="0.3">
      <c r="B1124">
        <v>1383</v>
      </c>
      <c r="C1124" s="13" t="str">
        <f>_xlfn.XLOOKUP(B1124,LRV[id],LRV[source])</f>
        <v>Katz et al. (2017)</v>
      </c>
      <c r="D1124" s="13" t="str">
        <f>LRVs!C948</f>
        <v>Slow sand filtration</v>
      </c>
      <c r="E1124" s="13" t="str">
        <f>LRVs!BG948</f>
        <v>Bacteria</v>
      </c>
      <c r="F1124" s="13" t="str">
        <f>IF(LRVs!BH948="","",LRVs!BH948)</f>
        <v>Escherichia coli</v>
      </c>
      <c r="G1124">
        <f>IF(LRVs!BL948="","",LRVs!BL948)</f>
        <v>2.7</v>
      </c>
    </row>
    <row r="1125" spans="2:7" x14ac:dyDescent="0.3">
      <c r="B1125">
        <v>1384</v>
      </c>
      <c r="C1125" s="13" t="str">
        <f>_xlfn.XLOOKUP(B1125,LRV[id],LRV[source])</f>
        <v>Katz et al. (2017)</v>
      </c>
      <c r="D1125" s="13" t="str">
        <f>LRVs!C949</f>
        <v>Slow sand filtration</v>
      </c>
      <c r="E1125" s="13" t="str">
        <f>LRVs!BG949</f>
        <v>Bacteria</v>
      </c>
      <c r="F1125" s="13" t="str">
        <f>IF(LRVs!BH949="","",LRVs!BH949)</f>
        <v>Escherichia coli</v>
      </c>
      <c r="G1125">
        <f>IF(LRVs!BL949="","",LRVs!BL949)</f>
        <v>3.9</v>
      </c>
    </row>
    <row r="1126" spans="2:7" x14ac:dyDescent="0.3">
      <c r="B1126">
        <v>1385</v>
      </c>
      <c r="C1126" s="13" t="str">
        <f>_xlfn.XLOOKUP(B1126,LRV[id],LRV[source])</f>
        <v>Katz et al. (2017)</v>
      </c>
      <c r="D1126" s="13" t="str">
        <f>LRVs!C950</f>
        <v>Slow sand filtration</v>
      </c>
      <c r="E1126" s="13" t="str">
        <f>LRVs!BG950</f>
        <v>Bacteria</v>
      </c>
      <c r="F1126" s="13" t="str">
        <f>IF(LRVs!BH950="","",LRVs!BH950)</f>
        <v>Escherichia coli</v>
      </c>
      <c r="G1126">
        <f>IF(LRVs!BL950="","",LRVs!BL950)</f>
        <v>4.7</v>
      </c>
    </row>
    <row r="1127" spans="2:7" x14ac:dyDescent="0.3">
      <c r="B1127">
        <v>1386</v>
      </c>
      <c r="C1127" s="13" t="str">
        <f>_xlfn.XLOOKUP(B1127,LRV[id],LRV[source])</f>
        <v>Katz et al. (2017)</v>
      </c>
      <c r="D1127" s="13" t="str">
        <f>LRVs!C951</f>
        <v>Slow sand filtration</v>
      </c>
      <c r="E1127" s="13" t="str">
        <f>LRVs!BG951</f>
        <v>Bacteria</v>
      </c>
      <c r="F1127" s="13" t="str">
        <f>IF(LRVs!BH951="","",LRVs!BH951)</f>
        <v>Enterococci</v>
      </c>
      <c r="G1127">
        <f>IF(LRVs!BL951="","",LRVs!BL951)</f>
        <v>2.4</v>
      </c>
    </row>
    <row r="1128" spans="2:7" x14ac:dyDescent="0.3">
      <c r="B1128">
        <v>1387</v>
      </c>
      <c r="C1128" s="13" t="str">
        <f>_xlfn.XLOOKUP(B1128,LRV[id],LRV[source])</f>
        <v>Katz et al. (2017)</v>
      </c>
      <c r="D1128" s="13" t="str">
        <f>LRVs!C952</f>
        <v>Slow sand filtration</v>
      </c>
      <c r="E1128" s="13" t="str">
        <f>LRVs!BG952</f>
        <v>Bacteria</v>
      </c>
      <c r="F1128" s="13" t="str">
        <f>IF(LRVs!BH952="","",LRVs!BH952)</f>
        <v>Enterococci</v>
      </c>
      <c r="G1128">
        <f>IF(LRVs!BL952="","",LRVs!BL952)</f>
        <v>2.1</v>
      </c>
    </row>
    <row r="1129" spans="2:7" x14ac:dyDescent="0.3">
      <c r="B1129">
        <v>1388</v>
      </c>
      <c r="C1129" s="13" t="str">
        <f>_xlfn.XLOOKUP(B1129,LRV[id],LRV[source])</f>
        <v>Katz et al. (2017)</v>
      </c>
      <c r="D1129" s="13" t="str">
        <f>LRVs!C953</f>
        <v>Slow sand filtration</v>
      </c>
      <c r="E1129" s="13" t="str">
        <f>LRVs!BG953</f>
        <v>Bacteria</v>
      </c>
      <c r="F1129" s="13" t="str">
        <f>IF(LRVs!BH953="","",LRVs!BH953)</f>
        <v>Enterococci</v>
      </c>
      <c r="G1129">
        <f>IF(LRVs!BL953="","",LRVs!BL953)</f>
        <v>2.1</v>
      </c>
    </row>
    <row r="1130" spans="2:7" x14ac:dyDescent="0.3">
      <c r="B1130">
        <v>1389</v>
      </c>
      <c r="C1130" s="13" t="str">
        <f>_xlfn.XLOOKUP(B1130,LRV[id],LRV[source])</f>
        <v>Katz et al. (2017)</v>
      </c>
      <c r="D1130" s="13" t="str">
        <f>LRVs!C954</f>
        <v>Ultrafiltration</v>
      </c>
      <c r="E1130" s="13" t="str">
        <f>LRVs!BG954</f>
        <v>Bacteria</v>
      </c>
      <c r="F1130" s="13" t="str">
        <f>IF(LRVs!BH954="","",LRVs!BH954)</f>
        <v>Fecal coliform</v>
      </c>
      <c r="G1130">
        <f>IF(LRVs!BL954="","",LRVs!BL954)</f>
        <v>4.6989700043379949</v>
      </c>
    </row>
    <row r="1131" spans="2:7" x14ac:dyDescent="0.3">
      <c r="B1131">
        <v>1390</v>
      </c>
      <c r="C1131" s="13" t="str">
        <f>_xlfn.XLOOKUP(B1131,LRV[id],LRV[source])</f>
        <v>Katz et al. (2017)</v>
      </c>
      <c r="D1131" s="13" t="e">
        <f>LRVs!#REF!</f>
        <v>#REF!</v>
      </c>
      <c r="E1131" s="13" t="e">
        <f>LRVs!#REF!</f>
        <v>#REF!</v>
      </c>
      <c r="F1131" s="13" t="e">
        <f>IF(LRVs!#REF!="","",LRVs!#REF!)</f>
        <v>#REF!</v>
      </c>
      <c r="G1131" t="e">
        <f>IF(LRVs!#REF!="","",LRVs!#REF!)</f>
        <v>#REF!</v>
      </c>
    </row>
    <row r="1132" spans="2:7" x14ac:dyDescent="0.3">
      <c r="B1132">
        <v>1391</v>
      </c>
      <c r="C1132" s="13" t="str">
        <f>_xlfn.XLOOKUP(B1132,LRV[id],LRV[source])</f>
        <v>Katz et al. (2017)</v>
      </c>
      <c r="D1132" s="13" t="str">
        <f>LRVs!C955</f>
        <v>Microfiltration</v>
      </c>
      <c r="E1132" s="13" t="str">
        <f>LRVs!BG955</f>
        <v>Bacteria</v>
      </c>
      <c r="F1132" s="13" t="str">
        <f>IF(LRVs!BH955="","",LRVs!BH955)</f>
        <v>Fecal coliform</v>
      </c>
      <c r="G1132">
        <f>IF(LRVs!BL955="","",LRVs!BL955)</f>
        <v>2.721246399047168</v>
      </c>
    </row>
    <row r="1133" spans="2:7" x14ac:dyDescent="0.3">
      <c r="B1133">
        <v>1392</v>
      </c>
      <c r="C1133" s="13" t="str">
        <f>_xlfn.XLOOKUP(B1133,LRV[id],LRV[source])</f>
        <v>Katz et al. (2017)</v>
      </c>
      <c r="D1133" s="13" t="e">
        <f>LRVs!#REF!</f>
        <v>#REF!</v>
      </c>
      <c r="E1133" s="13" t="e">
        <f>LRVs!#REF!</f>
        <v>#REF!</v>
      </c>
      <c r="F1133" s="13" t="e">
        <f>IF(LRVs!#REF!="","",LRVs!#REF!)</f>
        <v>#REF!</v>
      </c>
      <c r="G1133" t="e">
        <f>IF(LRVs!#REF!="","",LRVs!#REF!)</f>
        <v>#REF!</v>
      </c>
    </row>
    <row r="1134" spans="2:7" x14ac:dyDescent="0.3">
      <c r="B1134">
        <v>1393</v>
      </c>
      <c r="C1134" s="13" t="str">
        <f>_xlfn.XLOOKUP(B1134,LRV[id],LRV[source])</f>
        <v>Katz et al. (2017)</v>
      </c>
      <c r="D1134" s="13" t="str">
        <f>LRVs!C956</f>
        <v>Sand filter</v>
      </c>
      <c r="E1134" s="13" t="str">
        <f>LRVs!BG956</f>
        <v>Bacteria</v>
      </c>
      <c r="F1134" s="13" t="str">
        <f>IF(LRVs!BH956="","",LRVs!BH956)</f>
        <v>Fecal coliform</v>
      </c>
      <c r="G1134">
        <f>IF(LRVs!BL956="","",LRVs!BL956)</f>
        <v>0.19983300979863614</v>
      </c>
    </row>
    <row r="1135" spans="2:7" x14ac:dyDescent="0.3">
      <c r="B1135">
        <v>1394</v>
      </c>
      <c r="C1135" s="13" t="str">
        <f>_xlfn.XLOOKUP(B1135,LRV[id],LRV[source])</f>
        <v>Katz et al. (2017)</v>
      </c>
      <c r="D1135" s="13" t="str">
        <f>LRVs!C957</f>
        <v>Sand filter</v>
      </c>
      <c r="E1135" s="13" t="str">
        <f>LRVs!BG957</f>
        <v>Bacteria</v>
      </c>
      <c r="F1135" s="13" t="str">
        <f>IF(LRVs!BH957="","",LRVs!BH957)</f>
        <v>Escherichia coli</v>
      </c>
      <c r="G1135">
        <f>IF(LRVs!BL957="","",LRVs!BL957)</f>
        <v>0.1811145854059901</v>
      </c>
    </row>
    <row r="1136" spans="2:7" x14ac:dyDescent="0.3">
      <c r="B1136">
        <v>1395</v>
      </c>
      <c r="C1136" s="13" t="str">
        <f>_xlfn.XLOOKUP(B1136,LRV[id],LRV[source])</f>
        <v>Katz et al. (2017)</v>
      </c>
      <c r="D1136" s="13" t="str">
        <f>LRVs!C958</f>
        <v>Disc filter</v>
      </c>
      <c r="E1136" s="13" t="str">
        <f>LRVs!BG958</f>
        <v>Bacteria</v>
      </c>
      <c r="F1136" s="13" t="str">
        <f>IF(LRVs!BH958="","",LRVs!BH958)</f>
        <v>Fecal coliform</v>
      </c>
      <c r="G1136">
        <f>IF(LRVs!BL958="","",LRVs!BL958)</f>
        <v>0.1627904721987935</v>
      </c>
    </row>
    <row r="1137" spans="2:7" x14ac:dyDescent="0.3">
      <c r="B1137">
        <v>1396</v>
      </c>
      <c r="C1137" s="13" t="str">
        <f>_xlfn.XLOOKUP(B1137,LRV[id],LRV[source])</f>
        <v>Katz et al. (2017)</v>
      </c>
      <c r="D1137" s="13" t="str">
        <f>LRVs!C959</f>
        <v>Disc filter</v>
      </c>
      <c r="E1137" s="13" t="str">
        <f>LRVs!BG959</f>
        <v>Bacteria</v>
      </c>
      <c r="F1137" s="13" t="str">
        <f>IF(LRVs!BH959="","",LRVs!BH959)</f>
        <v>Escherichia coli</v>
      </c>
      <c r="G1137">
        <f>IF(LRVs!BL959="","",LRVs!BL959)</f>
        <v>0.17548367199279091</v>
      </c>
    </row>
    <row r="1138" spans="2:7" x14ac:dyDescent="0.3">
      <c r="B1138">
        <v>1397</v>
      </c>
      <c r="C1138" s="13" t="str">
        <f>_xlfn.XLOOKUP(B1138,LRV[id],LRV[source])</f>
        <v>Katz et al. (2017)</v>
      </c>
      <c r="D1138" s="13" t="str">
        <f>LRVs!C960</f>
        <v>Cartridge filter</v>
      </c>
      <c r="E1138" s="13" t="str">
        <f>LRVs!BG960</f>
        <v>Bacteria</v>
      </c>
      <c r="F1138" s="13" t="str">
        <f>IF(LRVs!BH960="","",LRVs!BH960)</f>
        <v>Escherichia coli</v>
      </c>
      <c r="G1138">
        <f>IF(LRVs!BL960="","",LRVs!BL960)</f>
        <v>0.55000000000000004</v>
      </c>
    </row>
    <row r="1139" spans="2:7" x14ac:dyDescent="0.3">
      <c r="B1139">
        <v>1398</v>
      </c>
      <c r="C1139" s="13" t="str">
        <f>_xlfn.XLOOKUP(B1139,LRV[id],LRV[source])</f>
        <v>Katz et al. (2017)</v>
      </c>
      <c r="D1139" s="13" t="str">
        <f>LRVs!C961</f>
        <v>Cartridge filter</v>
      </c>
      <c r="E1139" s="13" t="str">
        <f>LRVs!BG961</f>
        <v>Bacteria</v>
      </c>
      <c r="F1139" s="13" t="str">
        <f>IF(LRVs!BH961="","",LRVs!BH961)</f>
        <v>Total coliform</v>
      </c>
      <c r="G1139">
        <f>IF(LRVs!BL961="","",LRVs!BL961)</f>
        <v>1.22</v>
      </c>
    </row>
    <row r="1140" spans="2:7" x14ac:dyDescent="0.3">
      <c r="B1140">
        <v>1399</v>
      </c>
      <c r="C1140" s="13" t="str">
        <f>_xlfn.XLOOKUP(B1140,LRV[id],LRV[source])</f>
        <v>Katz et al. (2017)</v>
      </c>
      <c r="D1140" s="13" t="str">
        <f>LRVs!C962</f>
        <v>UV</v>
      </c>
      <c r="E1140" s="13" t="str">
        <f>LRVs!BG962</f>
        <v>Bacteria</v>
      </c>
      <c r="F1140" s="13" t="str">
        <f>IF(LRVs!BH962="","",LRVs!BH962)</f>
        <v>Escherichia coli</v>
      </c>
      <c r="G1140">
        <f>IF(LRVs!BL962="","",LRVs!BL962)</f>
        <v>3.61</v>
      </c>
    </row>
    <row r="1141" spans="2:7" x14ac:dyDescent="0.3">
      <c r="B1141">
        <v>1400</v>
      </c>
      <c r="C1141" s="13" t="str">
        <f>_xlfn.XLOOKUP(B1141,LRV[id],LRV[source])</f>
        <v>Katz et al. (2017)</v>
      </c>
      <c r="D1141" s="13" t="str">
        <f>LRVs!C963</f>
        <v>UV</v>
      </c>
      <c r="E1141" s="13" t="str">
        <f>LRVs!BG963</f>
        <v>Bacteria</v>
      </c>
      <c r="F1141" s="13" t="str">
        <f>IF(LRVs!BH963="","",LRVs!BH963)</f>
        <v>Total coliform</v>
      </c>
      <c r="G1141">
        <f>IF(LRVs!BL963="","",LRVs!BL963)</f>
        <v>2.5</v>
      </c>
    </row>
    <row r="1142" spans="2:7" x14ac:dyDescent="0.3">
      <c r="B1142">
        <v>1401</v>
      </c>
      <c r="C1142" s="13" t="str">
        <f>_xlfn.XLOOKUP(B1142,LRV[id],LRV[source])</f>
        <v>Katz et al. (2017)</v>
      </c>
      <c r="D1142" s="13" t="str">
        <f>LRVs!C964</f>
        <v>Cartridge filter</v>
      </c>
      <c r="E1142" s="13" t="str">
        <f>LRVs!BG964</f>
        <v>Bacteria</v>
      </c>
      <c r="F1142" s="13" t="str">
        <f>IF(LRVs!BH964="","",LRVs!BH964)</f>
        <v>Escherichia coli</v>
      </c>
      <c r="G1142">
        <f>IF(LRVs!BL964="","",LRVs!BL964)</f>
        <v>0.57999999999999996</v>
      </c>
    </row>
    <row r="1143" spans="2:7" x14ac:dyDescent="0.3">
      <c r="B1143">
        <v>1402</v>
      </c>
      <c r="C1143" s="13" t="str">
        <f>_xlfn.XLOOKUP(B1143,LRV[id],LRV[source])</f>
        <v>Katz et al. (2017)</v>
      </c>
      <c r="D1143" s="13" t="str">
        <f>LRVs!C965</f>
        <v>Cartridge filter</v>
      </c>
      <c r="E1143" s="13" t="str">
        <f>LRVs!BG965</f>
        <v>Bacteria</v>
      </c>
      <c r="F1143" s="13" t="str">
        <f>IF(LRVs!BH965="","",LRVs!BH965)</f>
        <v>Total coliform</v>
      </c>
      <c r="G1143">
        <f>IF(LRVs!BL965="","",LRVs!BL965)</f>
        <v>0.4</v>
      </c>
    </row>
    <row r="1144" spans="2:7" x14ac:dyDescent="0.3">
      <c r="B1144">
        <v>1403</v>
      </c>
      <c r="C1144" s="13" t="str">
        <f>_xlfn.XLOOKUP(B1144,LRV[id],LRV[source])</f>
        <v>Katz et al. (2017)</v>
      </c>
      <c r="D1144" s="13" t="str">
        <f>LRVs!C966</f>
        <v>UV</v>
      </c>
      <c r="E1144" s="13" t="str">
        <f>LRVs!BG966</f>
        <v>Bacteria</v>
      </c>
      <c r="F1144" s="13" t="str">
        <f>IF(LRVs!BH966="","",LRVs!BH966)</f>
        <v>Escherichia coli</v>
      </c>
      <c r="G1144">
        <f>IF(LRVs!BL966="","",LRVs!BL966)</f>
        <v>2.92</v>
      </c>
    </row>
    <row r="1145" spans="2:7" x14ac:dyDescent="0.3">
      <c r="B1145">
        <v>1404</v>
      </c>
      <c r="C1145" s="13" t="str">
        <f>_xlfn.XLOOKUP(B1145,LRV[id],LRV[source])</f>
        <v>Katz et al. (2017)</v>
      </c>
      <c r="D1145" s="13" t="str">
        <f>LRVs!C967</f>
        <v>UV</v>
      </c>
      <c r="E1145" s="13" t="str">
        <f>LRVs!BG967</f>
        <v>Bacteria</v>
      </c>
      <c r="F1145" s="13" t="str">
        <f>IF(LRVs!BH967="","",LRVs!BH967)</f>
        <v>Total coliform</v>
      </c>
      <c r="G1145">
        <f>IF(LRVs!BL967="","",LRVs!BL967)</f>
        <v>2.4700000000000002</v>
      </c>
    </row>
    <row r="1146" spans="2:7" x14ac:dyDescent="0.3">
      <c r="B1146">
        <v>1405</v>
      </c>
      <c r="C1146" s="13" t="str">
        <f>_xlfn.XLOOKUP(B1146,LRV[id],LRV[source])</f>
        <v>Katz et al. (2017)</v>
      </c>
      <c r="D1146" s="13" t="str">
        <f>LRVs!C968</f>
        <v>Cartridge filter</v>
      </c>
      <c r="E1146" s="13" t="str">
        <f>LRVs!BG968</f>
        <v>Bacteria</v>
      </c>
      <c r="F1146" s="13" t="str">
        <f>IF(LRVs!BH968="","",LRVs!BH968)</f>
        <v>Escherichia coli</v>
      </c>
      <c r="G1146">
        <f>IF(LRVs!BL968="","",LRVs!BL968)</f>
        <v>3.3866129146394197E-2</v>
      </c>
    </row>
    <row r="1147" spans="2:7" x14ac:dyDescent="0.3">
      <c r="B1147">
        <v>1406</v>
      </c>
      <c r="C1147" s="13" t="str">
        <f>_xlfn.XLOOKUP(B1147,LRV[id],LRV[source])</f>
        <v>Katz et al. (2017)</v>
      </c>
      <c r="D1147" s="13" t="str">
        <f>LRVs!C969</f>
        <v>Cartridge filter</v>
      </c>
      <c r="E1147" s="13" t="str">
        <f>LRVs!BG969</f>
        <v>Bacteria</v>
      </c>
      <c r="F1147" s="13" t="str">
        <f>IF(LRVs!BH969="","",LRVs!BH969)</f>
        <v>Total coliform</v>
      </c>
      <c r="G1147">
        <f>IF(LRVs!BL969="","",LRVs!BL969)</f>
        <v>7.8943223107462934E-2</v>
      </c>
    </row>
    <row r="1148" spans="2:7" x14ac:dyDescent="0.3">
      <c r="B1148">
        <v>1407</v>
      </c>
      <c r="C1148" s="13" t="str">
        <f>_xlfn.XLOOKUP(B1148,LRV[id],LRV[source])</f>
        <v>Katz et al. (2017)</v>
      </c>
      <c r="D1148" s="13" t="str">
        <f>LRVs!C970</f>
        <v>UV</v>
      </c>
      <c r="E1148" s="13" t="str">
        <f>LRVs!BG970</f>
        <v>Bacteria</v>
      </c>
      <c r="F1148" s="13" t="str">
        <f>IF(LRVs!BH970="","",LRVs!BH970)</f>
        <v>Escherichia coli</v>
      </c>
      <c r="G1148">
        <f>IF(LRVs!BL970="","",LRVs!BL970)</f>
        <v>3.9183449289622749</v>
      </c>
    </row>
    <row r="1149" spans="2:7" x14ac:dyDescent="0.3">
      <c r="B1149">
        <v>1408</v>
      </c>
      <c r="C1149" s="13" t="str">
        <f>_xlfn.XLOOKUP(B1149,LRV[id],LRV[source])</f>
        <v>Katz et al. (2017)</v>
      </c>
      <c r="D1149" s="13" t="str">
        <f>LRVs!C971</f>
        <v>UV</v>
      </c>
      <c r="E1149" s="13" t="str">
        <f>LRVs!BG971</f>
        <v>Bacteria</v>
      </c>
      <c r="F1149" s="13" t="str">
        <f>IF(LRVs!BH971="","",LRVs!BH971)</f>
        <v>Total coliform</v>
      </c>
      <c r="G1149">
        <f>IF(LRVs!BL971="","",LRVs!BL971)</f>
        <v>2.6305793290743016</v>
      </c>
    </row>
    <row r="1150" spans="2:7" x14ac:dyDescent="0.3">
      <c r="B1150">
        <v>1409</v>
      </c>
      <c r="C1150" s="13" t="str">
        <f>_xlfn.XLOOKUP(B1150,LRV[id],LRV[source])</f>
        <v>Katz et al. (2017)</v>
      </c>
      <c r="D1150" s="13" t="str">
        <f>LRVs!C972</f>
        <v>Cartridge filter</v>
      </c>
      <c r="E1150" s="13" t="str">
        <f>LRVs!BG972</f>
        <v>Bacteria</v>
      </c>
      <c r="F1150" s="13" t="str">
        <f>IF(LRVs!BH972="","",LRVs!BH972)</f>
        <v>Escherichia coli</v>
      </c>
      <c r="G1150">
        <f>IF(LRVs!BL972="","",LRVs!BL972)</f>
        <v>0.15</v>
      </c>
    </row>
    <row r="1151" spans="2:7" x14ac:dyDescent="0.3">
      <c r="B1151">
        <v>1410</v>
      </c>
      <c r="C1151" s="13" t="str">
        <f>_xlfn.XLOOKUP(B1151,LRV[id],LRV[source])</f>
        <v>Katz et al. (2017)</v>
      </c>
      <c r="D1151" s="13" t="str">
        <f>LRVs!C973</f>
        <v>Cartridge filter</v>
      </c>
      <c r="E1151" s="13" t="str">
        <f>LRVs!BG973</f>
        <v>Bacteria</v>
      </c>
      <c r="F1151" s="13" t="str">
        <f>IF(LRVs!BH973="","",LRVs!BH973)</f>
        <v>Enterococcus faecalis</v>
      </c>
      <c r="G1151">
        <f>IF(LRVs!BL973="","",LRVs!BL973)</f>
        <v>-0.01</v>
      </c>
    </row>
    <row r="1152" spans="2:7" x14ac:dyDescent="0.3">
      <c r="B1152">
        <v>1411</v>
      </c>
      <c r="C1152" s="13" t="str">
        <f>_xlfn.XLOOKUP(B1152,LRV[id],LRV[source])</f>
        <v>Katz et al. (2017)</v>
      </c>
      <c r="D1152" s="13" t="str">
        <f>LRVs!C974</f>
        <v>Cartridge filter</v>
      </c>
      <c r="E1152" s="13" t="str">
        <f>LRVs!BG974</f>
        <v>Bacteria</v>
      </c>
      <c r="F1152" s="13" t="str">
        <f>IF(LRVs!BH974="","",LRVs!BH974)</f>
        <v>Campylobacter</v>
      </c>
      <c r="G1152">
        <f>IF(LRVs!BL974="","",LRVs!BL974)</f>
        <v>0.31</v>
      </c>
    </row>
    <row r="1153" spans="2:7" x14ac:dyDescent="0.3">
      <c r="B1153">
        <v>0</v>
      </c>
      <c r="C1153" s="13" t="e">
        <f>_xlfn.XLOOKUP(B1153,LRV[id],LRV[source])</f>
        <v>#N/A</v>
      </c>
      <c r="D1153" s="13" t="str">
        <f>LRVs!C975</f>
        <v>Cartridge filter</v>
      </c>
      <c r="E1153" s="13" t="str">
        <f>LRVs!BG975</f>
        <v>Bacteria</v>
      </c>
      <c r="F1153" s="13" t="str">
        <f>IF(LRVs!BH975="","",LRVs!BH975)</f>
        <v>Salmonella enteritidis</v>
      </c>
      <c r="G1153">
        <f>IF(LRVs!BL975="","",LRVs!BL975)</f>
        <v>-0.54</v>
      </c>
    </row>
  </sheetData>
  <sortState xmlns:xlrd2="http://schemas.microsoft.com/office/spreadsheetml/2017/richdata2" ref="AM3:AR9">
    <sortCondition descending="1" ref="AR3:AR9"/>
  </sortState>
  <dataConsolidate function="min"/>
  <mergeCells count="5">
    <mergeCell ref="AM1:AR1"/>
    <mergeCell ref="I1:L1"/>
    <mergeCell ref="Q1:T1"/>
    <mergeCell ref="AF1:AK1"/>
    <mergeCell ref="Y1:AD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1EB5E-2C06-4762-8308-3A5FD3DE73FB}">
  <sheetPr codeName="Sheet7"/>
  <dimension ref="A2:A54"/>
  <sheetViews>
    <sheetView topLeftCell="A28" workbookViewId="0">
      <selection activeCell="A45" sqref="A45"/>
    </sheetView>
  </sheetViews>
  <sheetFormatPr defaultRowHeight="14.4" x14ac:dyDescent="0.3"/>
  <cols>
    <col min="1" max="1" width="30" customWidth="1"/>
  </cols>
  <sheetData>
    <row r="2" spans="1:1" x14ac:dyDescent="0.3">
      <c r="A2" s="93" t="s">
        <v>1151</v>
      </c>
    </row>
    <row r="3" spans="1:1" x14ac:dyDescent="0.3">
      <c r="A3" s="93" t="s">
        <v>1152</v>
      </c>
    </row>
    <row r="4" spans="1:1" x14ac:dyDescent="0.3">
      <c r="A4" s="93" t="s">
        <v>1153</v>
      </c>
    </row>
    <row r="5" spans="1:1" x14ac:dyDescent="0.3">
      <c r="A5" s="93" t="s">
        <v>1154</v>
      </c>
    </row>
    <row r="6" spans="1:1" x14ac:dyDescent="0.3">
      <c r="A6" s="93" t="s">
        <v>1155</v>
      </c>
    </row>
    <row r="7" spans="1:1" x14ac:dyDescent="0.3">
      <c r="A7" s="93" t="s">
        <v>1156</v>
      </c>
    </row>
    <row r="8" spans="1:1" x14ac:dyDescent="0.3">
      <c r="A8" s="93" t="s">
        <v>1157</v>
      </c>
    </row>
    <row r="9" spans="1:1" x14ac:dyDescent="0.3">
      <c r="A9" s="93" t="s">
        <v>1158</v>
      </c>
    </row>
    <row r="10" spans="1:1" x14ac:dyDescent="0.3">
      <c r="A10" s="93" t="s">
        <v>1159</v>
      </c>
    </row>
    <row r="11" spans="1:1" x14ac:dyDescent="0.3">
      <c r="A11" s="93" t="s">
        <v>1160</v>
      </c>
    </row>
    <row r="12" spans="1:1" x14ac:dyDescent="0.3">
      <c r="A12" s="93" t="s">
        <v>1161</v>
      </c>
    </row>
    <row r="13" spans="1:1" x14ac:dyDescent="0.3">
      <c r="A13" s="93" t="s">
        <v>1162</v>
      </c>
    </row>
    <row r="14" spans="1:1" x14ac:dyDescent="0.3">
      <c r="A14" s="93" t="s">
        <v>1221</v>
      </c>
    </row>
    <row r="15" spans="1:1" x14ac:dyDescent="0.3">
      <c r="A15" s="93" t="s">
        <v>1163</v>
      </c>
    </row>
    <row r="16" spans="1:1" x14ac:dyDescent="0.3">
      <c r="A16" s="93" t="s">
        <v>1164</v>
      </c>
    </row>
    <row r="17" spans="1:1" x14ac:dyDescent="0.3">
      <c r="A17" s="93" t="s">
        <v>1165</v>
      </c>
    </row>
    <row r="18" spans="1:1" x14ac:dyDescent="0.3">
      <c r="A18" s="93" t="s">
        <v>1166</v>
      </c>
    </row>
    <row r="19" spans="1:1" x14ac:dyDescent="0.3">
      <c r="A19" s="93" t="s">
        <v>1167</v>
      </c>
    </row>
    <row r="20" spans="1:1" x14ac:dyDescent="0.3">
      <c r="A20" s="93" t="s">
        <v>1168</v>
      </c>
    </row>
    <row r="21" spans="1:1" x14ac:dyDescent="0.3">
      <c r="A21" s="93" t="s">
        <v>1169</v>
      </c>
    </row>
    <row r="22" spans="1:1" x14ac:dyDescent="0.3">
      <c r="A22" s="93" t="s">
        <v>1170</v>
      </c>
    </row>
    <row r="23" spans="1:1" x14ac:dyDescent="0.3">
      <c r="A23" s="93" t="s">
        <v>1171</v>
      </c>
    </row>
    <row r="24" spans="1:1" x14ac:dyDescent="0.3">
      <c r="A24" s="93" t="s">
        <v>1172</v>
      </c>
    </row>
    <row r="25" spans="1:1" x14ac:dyDescent="0.3">
      <c r="A25" s="93" t="s">
        <v>1173</v>
      </c>
    </row>
    <row r="26" spans="1:1" x14ac:dyDescent="0.3">
      <c r="A26" s="93" t="s">
        <v>1174</v>
      </c>
    </row>
    <row r="27" spans="1:1" x14ac:dyDescent="0.3">
      <c r="A27" s="93" t="s">
        <v>1220</v>
      </c>
    </row>
    <row r="28" spans="1:1" x14ac:dyDescent="0.3">
      <c r="A28" s="93" t="s">
        <v>1175</v>
      </c>
    </row>
    <row r="29" spans="1:1" x14ac:dyDescent="0.3">
      <c r="A29" s="93" t="s">
        <v>1176</v>
      </c>
    </row>
    <row r="30" spans="1:1" x14ac:dyDescent="0.3">
      <c r="A30" s="93" t="s">
        <v>1177</v>
      </c>
    </row>
    <row r="31" spans="1:1" x14ac:dyDescent="0.3">
      <c r="A31" s="93" t="s">
        <v>1178</v>
      </c>
    </row>
    <row r="32" spans="1:1" x14ac:dyDescent="0.3">
      <c r="A32" s="93" t="s">
        <v>1179</v>
      </c>
    </row>
    <row r="33" spans="1:1" x14ac:dyDescent="0.3">
      <c r="A33" s="93" t="s">
        <v>1180</v>
      </c>
    </row>
    <row r="34" spans="1:1" x14ac:dyDescent="0.3">
      <c r="A34" s="93" t="s">
        <v>1181</v>
      </c>
    </row>
    <row r="35" spans="1:1" x14ac:dyDescent="0.3">
      <c r="A35" s="93" t="s">
        <v>1182</v>
      </c>
    </row>
    <row r="36" spans="1:1" x14ac:dyDescent="0.3">
      <c r="A36" s="93" t="s">
        <v>1223</v>
      </c>
    </row>
    <row r="37" spans="1:1" x14ac:dyDescent="0.3">
      <c r="A37" s="93" t="s">
        <v>1183</v>
      </c>
    </row>
    <row r="38" spans="1:1" x14ac:dyDescent="0.3">
      <c r="A38" s="93" t="s">
        <v>1184</v>
      </c>
    </row>
    <row r="39" spans="1:1" x14ac:dyDescent="0.3">
      <c r="A39" s="93" t="s">
        <v>1185</v>
      </c>
    </row>
    <row r="40" spans="1:1" x14ac:dyDescent="0.3">
      <c r="A40" s="93" t="s">
        <v>1186</v>
      </c>
    </row>
    <row r="41" spans="1:1" x14ac:dyDescent="0.3">
      <c r="A41" s="93" t="s">
        <v>1187</v>
      </c>
    </row>
    <row r="42" spans="1:1" x14ac:dyDescent="0.3">
      <c r="A42" s="93" t="s">
        <v>1188</v>
      </c>
    </row>
    <row r="43" spans="1:1" x14ac:dyDescent="0.3">
      <c r="A43" s="93" t="s">
        <v>1189</v>
      </c>
    </row>
    <row r="44" spans="1:1" x14ac:dyDescent="0.3">
      <c r="A44" s="93" t="s">
        <v>1225</v>
      </c>
    </row>
    <row r="45" spans="1:1" x14ac:dyDescent="0.3">
      <c r="A45" s="93" t="s">
        <v>1224</v>
      </c>
    </row>
    <row r="46" spans="1:1" x14ac:dyDescent="0.3">
      <c r="A46" s="93" t="s">
        <v>1190</v>
      </c>
    </row>
    <row r="47" spans="1:1" x14ac:dyDescent="0.3">
      <c r="A47" s="93" t="s">
        <v>1191</v>
      </c>
    </row>
    <row r="48" spans="1:1" x14ac:dyDescent="0.3">
      <c r="A48" s="93" t="s">
        <v>1192</v>
      </c>
    </row>
    <row r="49" spans="1:1" x14ac:dyDescent="0.3">
      <c r="A49" s="93" t="s">
        <v>1193</v>
      </c>
    </row>
    <row r="50" spans="1:1" x14ac:dyDescent="0.3">
      <c r="A50" s="93" t="s">
        <v>1194</v>
      </c>
    </row>
    <row r="51" spans="1:1" x14ac:dyDescent="0.3">
      <c r="A51" s="93" t="s">
        <v>1195</v>
      </c>
    </row>
    <row r="52" spans="1:1" x14ac:dyDescent="0.3">
      <c r="A52" s="93" t="s">
        <v>1196</v>
      </c>
    </row>
    <row r="53" spans="1:1" x14ac:dyDescent="0.3">
      <c r="A53" s="93" t="s">
        <v>1197</v>
      </c>
    </row>
    <row r="54" spans="1:1" x14ac:dyDescent="0.3">
      <c r="A54" s="93" t="s">
        <v>1198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E357A-A07E-46F8-8810-433B2DD6D12B}">
  <sheetPr codeName="Sheet9"/>
  <dimension ref="A1:BJ322"/>
  <sheetViews>
    <sheetView showGridLines="0" zoomScale="85" zoomScaleNormal="85" workbookViewId="0"/>
  </sheetViews>
  <sheetFormatPr defaultRowHeight="14.4" x14ac:dyDescent="0.3"/>
  <cols>
    <col min="1" max="1" width="8.6640625" customWidth="1"/>
    <col min="2" max="2" width="5.88671875" customWidth="1"/>
    <col min="3" max="3" width="32.33203125" customWidth="1"/>
    <col min="4" max="6" width="9.44140625" customWidth="1"/>
    <col min="7" max="7" width="2.33203125" customWidth="1"/>
    <col min="8" max="8" width="5.44140625" style="36" customWidth="1"/>
    <col min="9" max="9" width="2.6640625" customWidth="1"/>
    <col min="10" max="10" width="11.6640625" customWidth="1"/>
    <col min="11" max="12" width="8.88671875" customWidth="1"/>
    <col min="13" max="13" width="9" customWidth="1"/>
    <col min="14" max="14" width="2.33203125" customWidth="1"/>
    <col min="15" max="16" width="8.88671875" customWidth="1"/>
    <col min="17" max="17" width="1.33203125" customWidth="1"/>
    <col min="18" max="18" width="5.33203125" customWidth="1"/>
    <col min="19" max="20" width="8.88671875" customWidth="1"/>
    <col min="21" max="21" width="2.33203125" customWidth="1"/>
    <col min="22" max="22" width="5.44140625" style="36" customWidth="1"/>
    <col min="23" max="23" width="2.6640625" customWidth="1"/>
    <col min="24" max="34" width="5.44140625" customWidth="1"/>
    <col min="35" max="35" width="2.33203125" customWidth="1"/>
    <col min="36" max="36" width="5.44140625" style="36" customWidth="1"/>
    <col min="37" max="37" width="2.6640625" customWidth="1"/>
    <col min="41" max="41" width="3.5546875" customWidth="1"/>
    <col min="42" max="42" width="7.6640625" customWidth="1"/>
    <col min="45" max="45" width="15.109375" customWidth="1"/>
    <col min="49" max="49" width="3.6640625" customWidth="1"/>
    <col min="54" max="54" width="6" customWidth="1"/>
    <col min="58" max="58" width="3.88671875" customWidth="1"/>
  </cols>
  <sheetData>
    <row r="1" spans="1:49" ht="18" x14ac:dyDescent="0.35">
      <c r="A1" s="5" t="s">
        <v>1079</v>
      </c>
      <c r="I1" s="5" t="s">
        <v>1080</v>
      </c>
      <c r="W1" s="5" t="s">
        <v>1080</v>
      </c>
      <c r="AK1" s="5" t="s">
        <v>1081</v>
      </c>
      <c r="AO1" s="50" t="s">
        <v>311</v>
      </c>
      <c r="AW1" s="50" t="s">
        <v>313</v>
      </c>
    </row>
    <row r="3" spans="1:49" x14ac:dyDescent="0.3">
      <c r="A3" s="35" t="s">
        <v>6</v>
      </c>
      <c r="J3" s="29" t="s">
        <v>1082</v>
      </c>
    </row>
    <row r="4" spans="1:49" x14ac:dyDescent="0.3">
      <c r="K4" s="4" t="s">
        <v>992</v>
      </c>
      <c r="L4" s="4" t="s">
        <v>992</v>
      </c>
      <c r="M4" s="4"/>
      <c r="N4" s="4"/>
      <c r="O4" s="4" t="s">
        <v>1000</v>
      </c>
      <c r="P4" s="4" t="s">
        <v>1000</v>
      </c>
      <c r="Q4" s="4"/>
      <c r="R4" s="4"/>
      <c r="S4" s="4" t="s">
        <v>996</v>
      </c>
      <c r="T4" s="4" t="s">
        <v>996</v>
      </c>
    </row>
    <row r="5" spans="1:49" x14ac:dyDescent="0.3">
      <c r="B5" s="6" t="s">
        <v>1083</v>
      </c>
      <c r="C5" s="6"/>
      <c r="D5" s="3" t="s">
        <v>311</v>
      </c>
      <c r="E5" s="3" t="s">
        <v>313</v>
      </c>
      <c r="F5" s="3" t="s">
        <v>312</v>
      </c>
      <c r="G5" s="3"/>
      <c r="H5" s="37"/>
      <c r="K5" s="4" t="s">
        <v>1084</v>
      </c>
      <c r="L5" s="4" t="s">
        <v>1085</v>
      </c>
      <c r="M5" s="4"/>
      <c r="N5" s="4"/>
      <c r="O5" s="4" t="s">
        <v>1084</v>
      </c>
      <c r="P5" s="4" t="s">
        <v>1085</v>
      </c>
      <c r="Q5" s="4"/>
      <c r="R5" s="4"/>
      <c r="S5" s="4" t="s">
        <v>1084</v>
      </c>
      <c r="T5" s="4" t="s">
        <v>1085</v>
      </c>
      <c r="U5" s="3"/>
      <c r="V5" s="37"/>
      <c r="W5" s="3"/>
      <c r="X5" s="3"/>
      <c r="Y5" s="3"/>
      <c r="Z5" s="3"/>
      <c r="AA5" s="3"/>
      <c r="AB5" s="3"/>
      <c r="AC5" s="3"/>
      <c r="AD5" s="3"/>
      <c r="AE5" s="3"/>
      <c r="AF5" s="3"/>
      <c r="AG5" s="3"/>
      <c r="AH5" s="3"/>
      <c r="AI5" s="3"/>
      <c r="AJ5" s="37"/>
    </row>
    <row r="6" spans="1:49" x14ac:dyDescent="0.3">
      <c r="C6" s="19" t="str" cm="1">
        <f t="array" ref="C6:C7">_xlfn.UNIQUE(_xlfn._xlws.FILTER(LRC[source],LRC[unitprocess]=$A$3))</f>
        <v>WaterSecure 2017a</v>
      </c>
      <c r="D6" s="30" t="str">
        <f>IF(AND(K6=0,L6=0),"no LRC",IF(K6=L6,K6,CONCATENATE(K6,"-",L6)))</f>
        <v>1-4</v>
      </c>
      <c r="E6" s="30" t="str">
        <f>IF(AND(O6=0,P6=0),"no LRC",IF(O6=P6,O6,CONCATENATE(O6,"-",P6)))</f>
        <v>no LRC</v>
      </c>
      <c r="F6" s="30" t="str">
        <f>IF(AND(S6=0,T6=0),"no LRC",IF(S6=T6,S6,CONCATENATE(S6,"-",T6)))</f>
        <v>1-4</v>
      </c>
      <c r="G6" s="4"/>
      <c r="H6" s="38"/>
      <c r="K6">
        <f>_xlfn.MINIFS(LRC[lrc],LRC[unitprocess],$A$3,LRC[source],$C6,LRC[mo_type],K$4)</f>
        <v>1</v>
      </c>
      <c r="L6">
        <f>_xlfn.MAXIFS(LRC[lrc],LRC[unitprocess],$A$3,LRC[source],$C6,LRC[mo_type],L$4)</f>
        <v>4</v>
      </c>
      <c r="O6">
        <f>_xlfn.MINIFS(LRC[lrc],LRC[unitprocess],$A$3,LRC[source],$C6,LRC[mo_type],O$4)</f>
        <v>0</v>
      </c>
      <c r="P6">
        <f>_xlfn.MAXIFS(LRC[lrc],LRC[unitprocess],$A$3,LRC[source],$C6,LRC[mo_type],P$4)</f>
        <v>0</v>
      </c>
      <c r="S6">
        <f>_xlfn.MINIFS(LRC[lrc],LRC[unitprocess],$A$3,LRC[source],$C6,LRC[mo_type],S$4)</f>
        <v>1</v>
      </c>
      <c r="T6">
        <f>_xlfn.MAXIFS(LRC[lrc],LRC[unitprocess],$A$3,LRC[source],$C6,LRC[mo_type],T$4)</f>
        <v>4</v>
      </c>
      <c r="U6" s="4"/>
      <c r="V6" s="38"/>
      <c r="W6" s="4"/>
      <c r="X6" s="4"/>
      <c r="Y6" s="4"/>
      <c r="Z6" s="4"/>
      <c r="AA6" s="4"/>
      <c r="AB6" s="4"/>
      <c r="AC6" s="4"/>
      <c r="AD6" s="4"/>
      <c r="AE6" s="4"/>
      <c r="AF6" s="4"/>
      <c r="AG6" s="4"/>
      <c r="AH6" s="4"/>
      <c r="AI6" s="4"/>
      <c r="AJ6" s="38"/>
    </row>
    <row r="7" spans="1:49" x14ac:dyDescent="0.3">
      <c r="C7" s="19" t="str">
        <v>Olivieri et al., 2016</v>
      </c>
      <c r="D7" s="19"/>
      <c r="E7" s="19"/>
      <c r="F7" s="19"/>
      <c r="K7">
        <f>_xlfn.MINIFS(LRC[lrc],LRC[unitprocess],$A$3,LRC[source],$C7,LRC[mo_type],K$4)</f>
        <v>4</v>
      </c>
      <c r="L7">
        <f>_xlfn.MAXIFS(LRC[lrc],LRC[unitprocess],$A$3,LRC[source],$C7,LRC[mo_type],L$4)</f>
        <v>4</v>
      </c>
      <c r="O7">
        <f>_xlfn.MINIFS(LRC[lrc],LRC[unitprocess],$A$3,LRC[source],$C7,LRC[mo_type],O$4)</f>
        <v>0</v>
      </c>
      <c r="P7">
        <f>_xlfn.MAXIFS(LRC[lrc],LRC[unitprocess],$A$3,LRC[source],$C7,LRC[mo_type],P$4)</f>
        <v>3</v>
      </c>
      <c r="S7">
        <f>_xlfn.MINIFS(LRC[lrc],LRC[unitprocess],$A$3,LRC[source],$C7,LRC[mo_type],S$4)</f>
        <v>0</v>
      </c>
      <c r="T7">
        <f>_xlfn.MAXIFS(LRC[lrc],LRC[unitprocess],$A$3,LRC[source],$C7,LRC[mo_type],T$4)</f>
        <v>0</v>
      </c>
    </row>
    <row r="8" spans="1:49" x14ac:dyDescent="0.3">
      <c r="C8" s="19"/>
      <c r="D8" s="19"/>
      <c r="E8" s="19"/>
      <c r="F8" s="19"/>
      <c r="K8">
        <f>_xlfn.MINIFS(LRC[lrc],LRC[unitprocess],$A$3,LRC[source],$C8,LRC[mo_type],K$4)</f>
        <v>0</v>
      </c>
      <c r="L8">
        <f>_xlfn.MAXIFS(LRC[lrc],LRC[unitprocess],$A$3,LRC[source],$C8,LRC[mo_type],L$4)</f>
        <v>0</v>
      </c>
      <c r="O8">
        <f>_xlfn.MINIFS(LRC[lrc],LRC[unitprocess],$A$3,LRC[source],$C8,LRC[mo_type],O$4)</f>
        <v>0</v>
      </c>
      <c r="P8">
        <f>_xlfn.MAXIFS(LRC[lrc],LRC[unitprocess],$A$3,LRC[source],$C8,LRC[mo_type],P$4)</f>
        <v>0</v>
      </c>
      <c r="S8">
        <f>_xlfn.MINIFS(LRC[lrc],LRC[unitprocess],$A$3,LRC[source],$C8,LRC[mo_type],S$4)</f>
        <v>0</v>
      </c>
      <c r="T8">
        <f>_xlfn.MAXIFS(LRC[lrc],LRC[unitprocess],$A$3,LRC[source],$C8,LRC[mo_type],T$4)</f>
        <v>0</v>
      </c>
    </row>
    <row r="9" spans="1:49" x14ac:dyDescent="0.3">
      <c r="J9" s="29" t="s">
        <v>1086</v>
      </c>
    </row>
    <row r="10" spans="1:49" ht="13.95" customHeight="1" x14ac:dyDescent="0.3">
      <c r="B10" s="6"/>
      <c r="C10" s="6"/>
      <c r="K10" s="4" t="s">
        <v>992</v>
      </c>
      <c r="L10" s="4" t="s">
        <v>992</v>
      </c>
      <c r="M10" s="4"/>
      <c r="N10" s="4"/>
      <c r="O10" s="4" t="s">
        <v>1000</v>
      </c>
      <c r="P10" s="4" t="s">
        <v>1000</v>
      </c>
      <c r="Q10" s="4"/>
      <c r="R10" s="4"/>
      <c r="S10" s="4" t="s">
        <v>996</v>
      </c>
      <c r="T10" s="4" t="s">
        <v>996</v>
      </c>
    </row>
    <row r="11" spans="1:49" x14ac:dyDescent="0.3">
      <c r="B11" s="6" t="s">
        <v>1087</v>
      </c>
      <c r="C11" s="6"/>
      <c r="D11" s="3" t="s">
        <v>311</v>
      </c>
      <c r="E11" s="3" t="s">
        <v>313</v>
      </c>
      <c r="F11" s="3" t="s">
        <v>312</v>
      </c>
      <c r="G11" s="3"/>
      <c r="H11" s="37"/>
      <c r="J11" s="4" t="s">
        <v>1088</v>
      </c>
      <c r="K11" s="4" t="s">
        <v>1084</v>
      </c>
      <c r="L11" s="4" t="s">
        <v>1085</v>
      </c>
      <c r="M11" s="4"/>
      <c r="N11" s="4"/>
      <c r="O11" s="4" t="s">
        <v>1084</v>
      </c>
      <c r="P11" s="4" t="s">
        <v>1085</v>
      </c>
      <c r="Q11" s="4"/>
      <c r="R11" s="4"/>
      <c r="S11" s="4" t="s">
        <v>1084</v>
      </c>
      <c r="T11" s="4" t="s">
        <v>1085</v>
      </c>
      <c r="U11" s="3"/>
      <c r="V11" s="37"/>
      <c r="W11" s="3"/>
      <c r="X11" s="3"/>
      <c r="Y11" s="3"/>
      <c r="Z11" s="3"/>
      <c r="AA11" s="3"/>
      <c r="AB11" s="3"/>
      <c r="AC11" s="3"/>
      <c r="AD11" s="3"/>
      <c r="AE11" s="3"/>
      <c r="AF11" s="3"/>
      <c r="AG11" s="3"/>
      <c r="AH11" s="3"/>
      <c r="AI11" s="3"/>
      <c r="AJ11" s="37"/>
    </row>
    <row r="12" spans="1:49" x14ac:dyDescent="0.3">
      <c r="C12" s="31" t="str">
        <f>_xlfn.XLOOKUP(J12,LRC_Variables[Variable],LRC_Variables[Description])</f>
        <v>Chem. CT (mg-min/L)</v>
      </c>
      <c r="D12" s="30" t="str">
        <f ca="1">IF(AND(K12=0,L12=0),"no LRC",IF(K12=L12,K12,CONCATENATE(K12,"-",L12)))</f>
        <v>1-41</v>
      </c>
      <c r="E12" s="30" t="str">
        <f ca="1">IF(AND(O12=0,P12=0),"no LRC",IF(O12=P12,O12,CONCATENATE(O12,"-",P12)))</f>
        <v>no LRC</v>
      </c>
      <c r="F12" s="30" t="str">
        <f ca="1">IF(AND(S12=0,T12=0),"no LRC",IF(S12=T12,S12,CONCATENATE(S12,"-",T12)))</f>
        <v>1-41</v>
      </c>
      <c r="G12" s="4"/>
      <c r="H12" s="38"/>
      <c r="J12" s="32" t="s">
        <v>487</v>
      </c>
      <c r="K12">
        <f ca="1">_xlfn.MINIFS(INDIRECT("LRC["&amp;$J12&amp;"]"),LRC[unitprocess],$A$3,LRC[mo_type],K$10)</f>
        <v>1</v>
      </c>
      <c r="L12">
        <f ca="1">_xlfn.MAXIFS(INDIRECT("LRC["&amp;$J12&amp;"]"),LRC[unitprocess],$A$3,LRC[mo_type],L$10)</f>
        <v>41</v>
      </c>
      <c r="O12">
        <f ca="1">_xlfn.MINIFS(INDIRECT("LRC["&amp;$J12&amp;"]"),LRC[unitprocess],$A$3,LRC[mo_type],O$10)</f>
        <v>0</v>
      </c>
      <c r="P12">
        <f ca="1">_xlfn.MAXIFS(INDIRECT("LRC["&amp;$J12&amp;"]"),LRC[unitprocess],$A$3,LRC[mo_type],P$10)</f>
        <v>0</v>
      </c>
      <c r="S12">
        <f ca="1">_xlfn.MINIFS(INDIRECT("LRC["&amp;$J12&amp;"]"),LRC[unitprocess],$A$3,LRC[mo_type],S$10)</f>
        <v>1</v>
      </c>
      <c r="T12">
        <f ca="1">_xlfn.MAXIFS(INDIRECT("LRC["&amp;$J12&amp;"]"),LRC[unitprocess],$A$3,LRC[mo_type],T$10)</f>
        <v>41</v>
      </c>
      <c r="U12" s="4"/>
      <c r="V12" s="38"/>
      <c r="W12" s="4"/>
      <c r="X12" s="4"/>
      <c r="Y12" s="4"/>
      <c r="Z12" s="4"/>
      <c r="AA12" s="4"/>
      <c r="AB12" s="4"/>
      <c r="AC12" s="4"/>
      <c r="AD12" s="4"/>
      <c r="AE12" s="4"/>
      <c r="AF12" s="4"/>
      <c r="AG12" s="4"/>
      <c r="AH12" s="4"/>
      <c r="AI12" s="4"/>
      <c r="AJ12" s="38"/>
    </row>
    <row r="13" spans="1:49" x14ac:dyDescent="0.3">
      <c r="C13" s="31" t="str">
        <f>_xlfn.XLOOKUP(J13,LRC_Variables[Variable],LRC_Variables[Description])</f>
        <v>Temp (deg C)</v>
      </c>
      <c r="D13" s="30" t="str">
        <f t="shared" ref="D13:D15" ca="1" si="0">IF(AND(K13=0,L13=0),"no LRC",IF(K13=L13,K13,CONCATENATE(K13,"-",L13)))</f>
        <v>5-25</v>
      </c>
      <c r="E13" s="30" t="str">
        <f t="shared" ref="E13:E15" ca="1" si="1">IF(AND(O13=0,P13=0),"no LRC",IF(O13=P13,O13,CONCATENATE(O13,"-",P13)))</f>
        <v>no LRC</v>
      </c>
      <c r="F13" s="30" t="str">
        <f t="shared" ref="F13:F15" ca="1" si="2">IF(AND(S13=0,T13=0),"no LRC",IF(S13=T13,S13,CONCATENATE(S13,"-",T13)))</f>
        <v>5-25</v>
      </c>
      <c r="G13" s="4"/>
      <c r="H13" s="38"/>
      <c r="J13" s="32" t="s">
        <v>512</v>
      </c>
      <c r="K13">
        <f ca="1">_xlfn.MINIFS(INDIRECT("LRC["&amp;$J13&amp;"]"),LRC[unitprocess],$A$3,LRC[mo_type],K$10)</f>
        <v>5</v>
      </c>
      <c r="L13">
        <f ca="1">_xlfn.MAXIFS(INDIRECT("LRC["&amp;$J13&amp;"]"),LRC[unitprocess],$A$3,LRC[mo_type],L$10)</f>
        <v>25</v>
      </c>
      <c r="O13">
        <f ca="1">_xlfn.MINIFS(INDIRECT("LRC["&amp;$J13&amp;"]"),LRC[unitprocess],$A$3,LRC[mo_type],O$10)</f>
        <v>0</v>
      </c>
      <c r="P13">
        <f ca="1">_xlfn.MAXIFS(INDIRECT("LRC["&amp;$J13&amp;"]"),LRC[unitprocess],$A$3,LRC[mo_type],P$10)</f>
        <v>0</v>
      </c>
      <c r="S13">
        <f ca="1">_xlfn.MINIFS(INDIRECT("LRC["&amp;$J13&amp;"]"),LRC[unitprocess],$A$3,LRC[mo_type],S$10)</f>
        <v>5</v>
      </c>
      <c r="T13">
        <f ca="1">_xlfn.MAXIFS(INDIRECT("LRC["&amp;$J13&amp;"]"),LRC[unitprocess],$A$3,LRC[mo_type],T$10)</f>
        <v>25</v>
      </c>
      <c r="U13" s="4"/>
      <c r="V13" s="38"/>
      <c r="W13" s="4"/>
      <c r="X13" s="4"/>
      <c r="Y13" s="4"/>
      <c r="Z13" s="4"/>
      <c r="AA13" s="4"/>
      <c r="AB13" s="4"/>
      <c r="AC13" s="4"/>
      <c r="AD13" s="4"/>
      <c r="AE13" s="4"/>
      <c r="AF13" s="4"/>
      <c r="AG13" s="4"/>
      <c r="AH13" s="4"/>
      <c r="AI13" s="4"/>
      <c r="AJ13" s="38"/>
    </row>
    <row r="14" spans="1:49" x14ac:dyDescent="0.3">
      <c r="C14" s="31" t="str">
        <f>_xlfn.XLOOKUP(J14,LRC_Variables[Variable],LRC_Variables[Description])</f>
        <v>pH</v>
      </c>
      <c r="D14" s="30" t="str">
        <f t="shared" ca="1" si="0"/>
        <v>7-9</v>
      </c>
      <c r="E14" s="30" t="str">
        <f t="shared" ca="1" si="1"/>
        <v>no LRC</v>
      </c>
      <c r="F14" s="30" t="str">
        <f t="shared" ca="1" si="2"/>
        <v>7-9</v>
      </c>
      <c r="G14" s="4"/>
      <c r="H14" s="38"/>
      <c r="J14" s="32" t="s">
        <v>503</v>
      </c>
      <c r="K14">
        <f ca="1">_xlfn.MINIFS(INDIRECT("LRC["&amp;$J14&amp;"]"),LRC[unitprocess],$A$3,LRC[mo_type],K$10)</f>
        <v>7</v>
      </c>
      <c r="L14">
        <f ca="1">_xlfn.MAXIFS(INDIRECT("LRC["&amp;$J14&amp;"]"),LRC[unitprocess],$A$3,LRC[mo_type],L$10)</f>
        <v>9</v>
      </c>
      <c r="O14">
        <f ca="1">_xlfn.MINIFS(INDIRECT("LRC["&amp;$J14&amp;"]"),LRC[unitprocess],$A$3,LRC[mo_type],O$10)</f>
        <v>0</v>
      </c>
      <c r="P14">
        <f ca="1">_xlfn.MAXIFS(INDIRECT("LRC["&amp;$J14&amp;"]"),LRC[unitprocess],$A$3,LRC[mo_type],P$10)</f>
        <v>0</v>
      </c>
      <c r="S14">
        <f ca="1">_xlfn.MINIFS(INDIRECT("LRC["&amp;$J14&amp;"]"),LRC[unitprocess],$A$3,LRC[mo_type],S$10)</f>
        <v>7</v>
      </c>
      <c r="T14">
        <f ca="1">_xlfn.MAXIFS(INDIRECT("LRC["&amp;$J14&amp;"]"),LRC[unitprocess],$A$3,LRC[mo_type],T$10)</f>
        <v>9</v>
      </c>
      <c r="U14" s="4"/>
      <c r="V14" s="38"/>
      <c r="W14" s="4"/>
      <c r="X14" s="4"/>
      <c r="Y14" s="4"/>
      <c r="Z14" s="4"/>
      <c r="AA14" s="4"/>
      <c r="AB14" s="4"/>
      <c r="AC14" s="4"/>
      <c r="AD14" s="4"/>
      <c r="AE14" s="4"/>
      <c r="AF14" s="4"/>
      <c r="AG14" s="4"/>
      <c r="AH14" s="4"/>
      <c r="AI14" s="4"/>
      <c r="AJ14" s="38"/>
    </row>
    <row r="15" spans="1:49" x14ac:dyDescent="0.3">
      <c r="C15" s="31" t="str">
        <f>_xlfn.XLOOKUP(J15,LRC_Variables[Variable],LRC_Variables[Description])</f>
        <v>Turbidity (NTU)</v>
      </c>
      <c r="D15" s="30" t="str">
        <f t="shared" ca="1" si="0"/>
        <v>0.2-5</v>
      </c>
      <c r="E15" s="30" t="str">
        <f t="shared" ca="1" si="1"/>
        <v>no LRC</v>
      </c>
      <c r="F15" s="30" t="str">
        <f t="shared" ca="1" si="2"/>
        <v>0.2-5</v>
      </c>
      <c r="G15" s="4"/>
      <c r="H15" s="38"/>
      <c r="J15" s="32" t="s">
        <v>508</v>
      </c>
      <c r="K15">
        <f ca="1">_xlfn.MINIFS(INDIRECT("LRC["&amp;$J15&amp;"]"),LRC[unitprocess],$A$3,LRC[mo_type],K$10)</f>
        <v>0.2</v>
      </c>
      <c r="L15">
        <f ca="1">_xlfn.MAXIFS(INDIRECT("LRC["&amp;$J15&amp;"]"),LRC[unitprocess],$A$3,LRC[mo_type],L$10)</f>
        <v>5</v>
      </c>
      <c r="O15">
        <f ca="1">_xlfn.MINIFS(INDIRECT("LRC["&amp;$J15&amp;"]"),LRC[unitprocess],$A$3,LRC[mo_type],O$10)</f>
        <v>0</v>
      </c>
      <c r="P15">
        <f ca="1">_xlfn.MAXIFS(INDIRECT("LRC["&amp;$J15&amp;"]"),LRC[unitprocess],$A$3,LRC[mo_type],P$10)</f>
        <v>0</v>
      </c>
      <c r="S15">
        <f ca="1">_xlfn.MINIFS(INDIRECT("LRC["&amp;$J15&amp;"]"),LRC[unitprocess],$A$3,LRC[mo_type],S$10)</f>
        <v>0.2</v>
      </c>
      <c r="T15">
        <f ca="1">_xlfn.MAXIFS(INDIRECT("LRC["&amp;$J15&amp;"]"),LRC[unitprocess],$A$3,LRC[mo_type],T$10)</f>
        <v>5</v>
      </c>
      <c r="U15" s="4"/>
      <c r="V15" s="38"/>
      <c r="W15" s="4"/>
      <c r="X15" s="4"/>
      <c r="Y15" s="4"/>
      <c r="Z15" s="4"/>
      <c r="AA15" s="4"/>
      <c r="AB15" s="4"/>
      <c r="AC15" s="4"/>
      <c r="AD15" s="4"/>
      <c r="AE15" s="4"/>
      <c r="AF15" s="4"/>
      <c r="AG15" s="4"/>
      <c r="AH15" s="4"/>
      <c r="AI15" s="4"/>
      <c r="AJ15" s="38"/>
    </row>
    <row r="17" spans="2:61" x14ac:dyDescent="0.3">
      <c r="B17" s="28" t="s">
        <v>1089</v>
      </c>
      <c r="C17" s="28"/>
      <c r="D17" s="3" t="s">
        <v>311</v>
      </c>
      <c r="E17" s="3" t="s">
        <v>313</v>
      </c>
      <c r="F17" s="3" t="s">
        <v>312</v>
      </c>
      <c r="G17" s="3"/>
      <c r="H17" s="37"/>
      <c r="J17" s="29" t="s">
        <v>1090</v>
      </c>
      <c r="U17" s="3"/>
      <c r="V17" s="37"/>
      <c r="W17" s="3"/>
      <c r="X17" s="3"/>
      <c r="Y17" s="3"/>
      <c r="Z17" s="3"/>
      <c r="AA17" s="3"/>
      <c r="AB17" s="3"/>
      <c r="AC17" s="3"/>
      <c r="AD17" s="3"/>
      <c r="AE17" s="3"/>
      <c r="AF17" s="3"/>
      <c r="AG17" s="3"/>
      <c r="AH17" s="3"/>
      <c r="AI17" s="3"/>
      <c r="AJ17" s="37"/>
    </row>
    <row r="18" spans="2:61" x14ac:dyDescent="0.3">
      <c r="D18" s="48">
        <f ca="1">SUMIFS(LRC[lrc],LRC[unitprocess],$A$3,LRC[source],$D$20,LRC[mo_type],D$17,INDIRECT("LRC["&amp;$B$21&amp;"]"),$D$21,INDIRECT("LRC["&amp;$B$22&amp;"]"),$D$22,INDIRECT("LRC["&amp;$B$23&amp;"]"),$D$23,INDIRECT("LRC["&amp;$B$24&amp;"]"),$D$24)</f>
        <v>2</v>
      </c>
      <c r="E18" s="48">
        <f ca="1">SUMIFS(LRC[lrc],LRC[unitprocess],$A$3,LRC[source],$D$20,LRC[mo_type],E$17,INDIRECT("LRC["&amp;$B$21&amp;"]"),$D$21,INDIRECT("LRC["&amp;$B$22&amp;"]"),$D$22,INDIRECT("LRC["&amp;$B$23&amp;"]"),$D$23,INDIRECT("LRC["&amp;$B$24&amp;"]"),$D$24)</f>
        <v>0</v>
      </c>
      <c r="F18" s="48">
        <f ca="1">SUMIFS(LRC[lrc],LRC[unitprocess],$A$3,LRC[source],$D$20,LRC[mo_type],F$17,INDIRECT("LRC["&amp;$B$21&amp;"]"),$D$21,INDIRECT("LRC["&amp;$B$22&amp;"]"),$D$22,INDIRECT("LRC["&amp;$B$23&amp;"]"),$D$23,INDIRECT("LRC["&amp;$B$24&amp;"]"),$D$24)</f>
        <v>2</v>
      </c>
      <c r="G18" s="4"/>
      <c r="H18" s="38"/>
      <c r="J18" s="41" t="str">
        <f t="array" ref="J18:M18">TRANSPOSE(J12:J15)</f>
        <v>ch_ct</v>
      </c>
      <c r="K18" s="41" t="str">
        <v>wqin_temp</v>
      </c>
      <c r="L18" s="41" t="str">
        <v>wqin_ph</v>
      </c>
      <c r="M18" s="41" t="str">
        <v>wqin_turb</v>
      </c>
      <c r="O18" s="41"/>
      <c r="U18" s="4"/>
      <c r="V18" s="38"/>
      <c r="W18" s="4"/>
      <c r="X18" s="4"/>
      <c r="Y18" s="4"/>
      <c r="Z18" s="4"/>
      <c r="AA18" s="4"/>
      <c r="AB18" s="4"/>
      <c r="AC18" s="4"/>
      <c r="AD18" s="4"/>
      <c r="AE18" s="4"/>
      <c r="AF18" s="4"/>
      <c r="AG18" s="4"/>
      <c r="AH18" s="4"/>
      <c r="AI18" s="4"/>
      <c r="AJ18" s="38"/>
    </row>
    <row r="19" spans="2:61" x14ac:dyDescent="0.3">
      <c r="E19" s="4"/>
      <c r="F19" s="4"/>
      <c r="G19" s="4"/>
      <c r="H19" s="38"/>
      <c r="J19" s="24"/>
      <c r="K19" s="24"/>
      <c r="L19" s="24"/>
      <c r="M19" s="24"/>
      <c r="O19" s="24"/>
      <c r="U19" s="4"/>
      <c r="V19" s="38"/>
      <c r="W19" s="4"/>
      <c r="X19" s="4"/>
      <c r="Y19" s="4"/>
      <c r="Z19" s="4"/>
      <c r="AA19" s="4"/>
      <c r="AB19" s="4"/>
      <c r="AC19" s="4"/>
      <c r="AD19" s="4"/>
      <c r="AE19" s="4"/>
      <c r="AF19" s="4"/>
      <c r="AG19" s="4"/>
      <c r="AH19" s="4"/>
      <c r="AI19" s="4"/>
      <c r="AJ19" s="38"/>
      <c r="AL19" s="29" t="s">
        <v>1091</v>
      </c>
    </row>
    <row r="20" spans="2:61" x14ac:dyDescent="0.3">
      <c r="C20" s="18" t="s">
        <v>293</v>
      </c>
      <c r="D20" s="142" t="s">
        <v>991</v>
      </c>
      <c r="E20" s="142"/>
      <c r="F20" s="142"/>
      <c r="G20" s="13"/>
      <c r="H20" s="39"/>
      <c r="J20" s="49" cm="1">
        <f t="array" aca="1" ref="J20:J54" ca="1">_xlfn._xlws.SORT(_xlfn.UNIQUE(_xlfn._xlws.FILTER(INDIRECT("LRC["&amp;J$18&amp;"]"),(LRC[source]=$D$20)*(LRC[unitprocess]=$A$3))))</f>
        <v>1</v>
      </c>
      <c r="K20" s="24" cm="1">
        <f t="array" aca="1" ref="K20:K24" ca="1">_xlfn._xlws.SORT(_xlfn.UNIQUE(_xlfn._xlws.FILTER(INDIRECT("LRC["&amp;K$18&amp;"]"),(LRC[source]=$D$20)*(LRC[unitprocess]=$A$3))))</f>
        <v>5</v>
      </c>
      <c r="L20" s="24" cm="1">
        <f t="array" aca="1" ref="L20:L24" ca="1">_xlfn._xlws.SORT(_xlfn.UNIQUE(_xlfn._xlws.FILTER(INDIRECT("LRC["&amp;L$18&amp;"]"),(LRC[source]=$D$20)*(LRC[unitprocess]=$A$3))))</f>
        <v>7</v>
      </c>
      <c r="M20" s="24" cm="1">
        <f t="array" aca="1" ref="M20:M22" ca="1">_xlfn._xlws.SORT(_xlfn.UNIQUE(_xlfn._xlws.FILTER(INDIRECT("LRC["&amp;M$18&amp;"]"),(LRC[source]=$D$20)*(LRC[unitprocess]=$A$3))))</f>
        <v>0.2</v>
      </c>
      <c r="O20" s="24"/>
      <c r="U20" s="13"/>
      <c r="V20" s="39"/>
      <c r="W20" s="13"/>
      <c r="X20" s="13"/>
      <c r="Y20" s="13"/>
      <c r="Z20" s="13"/>
      <c r="AA20" s="13"/>
      <c r="AB20" s="13"/>
      <c r="AC20" s="13"/>
      <c r="AD20" s="13"/>
      <c r="AE20" s="13"/>
      <c r="AF20" s="13"/>
      <c r="AG20" s="13"/>
      <c r="AH20" s="13"/>
      <c r="AI20" s="13"/>
      <c r="AJ20" s="39"/>
      <c r="AL20" t="s">
        <v>992</v>
      </c>
      <c r="AT20" t="s">
        <v>1000</v>
      </c>
      <c r="BC20" t="s">
        <v>996</v>
      </c>
    </row>
    <row r="21" spans="2:61" x14ac:dyDescent="0.3">
      <c r="B21" s="47" t="str">
        <f>J12</f>
        <v>ch_ct</v>
      </c>
      <c r="C21" s="31" t="str">
        <f>_xlfn.XLOOKUP(B21,LRC_Variables[Variable],LRC_Variables[Description])</f>
        <v>Chem. CT (mg-min/L)</v>
      </c>
      <c r="D21" s="34">
        <v>5</v>
      </c>
      <c r="E21" s="4"/>
      <c r="F21" s="4"/>
      <c r="G21" s="4"/>
      <c r="H21" s="38"/>
      <c r="J21" s="49">
        <f ca="1"/>
        <v>2</v>
      </c>
      <c r="K21" s="24">
        <f ca="1"/>
        <v>10</v>
      </c>
      <c r="L21" s="24">
        <f ca="1"/>
        <v>7.5</v>
      </c>
      <c r="M21" s="24">
        <f ca="1"/>
        <v>2</v>
      </c>
      <c r="U21" s="4"/>
      <c r="V21" s="38"/>
      <c r="W21" s="4"/>
      <c r="X21" s="4"/>
      <c r="Y21" s="4"/>
      <c r="Z21" s="4"/>
      <c r="AA21" s="4"/>
      <c r="AB21" s="4"/>
      <c r="AC21" s="4"/>
      <c r="AD21" s="4"/>
      <c r="AE21" s="4"/>
      <c r="AF21" s="4"/>
      <c r="AG21" s="4"/>
      <c r="AH21" s="4"/>
      <c r="AI21" s="4"/>
      <c r="AJ21" s="38"/>
      <c r="AL21" s="19" t="s">
        <v>470</v>
      </c>
      <c r="AM21" s="32" t="s">
        <v>487</v>
      </c>
      <c r="AN21" s="32" t="s">
        <v>989</v>
      </c>
      <c r="AP21" s="19" t="s">
        <v>470</v>
      </c>
      <c r="AQ21" s="51" t="s">
        <v>487</v>
      </c>
      <c r="AR21" s="32" t="s">
        <v>534</v>
      </c>
      <c r="AT21" s="19" t="s">
        <v>470</v>
      </c>
      <c r="AU21" s="51" t="s">
        <v>487</v>
      </c>
      <c r="AV21" s="32" t="s">
        <v>989</v>
      </c>
      <c r="AX21" s="19" t="s">
        <v>470</v>
      </c>
      <c r="AY21" s="51" t="s">
        <v>487</v>
      </c>
      <c r="AZ21" s="32" t="s">
        <v>534</v>
      </c>
      <c r="BC21" t="s">
        <v>470</v>
      </c>
      <c r="BD21" s="32" t="s">
        <v>487</v>
      </c>
      <c r="BE21" s="32" t="s">
        <v>989</v>
      </c>
      <c r="BG21" s="19" t="s">
        <v>470</v>
      </c>
      <c r="BH21" s="32" t="s">
        <v>487</v>
      </c>
      <c r="BI21" s="32" t="s">
        <v>534</v>
      </c>
    </row>
    <row r="22" spans="2:61" x14ac:dyDescent="0.3">
      <c r="B22" s="47" t="str">
        <f t="shared" ref="B22:B24" si="3">J13</f>
        <v>wqin_temp</v>
      </c>
      <c r="C22" s="31" t="str">
        <f>_xlfn.XLOOKUP(B22,LRC_Variables[Variable],LRC_Variables[Description])</f>
        <v>Temp (deg C)</v>
      </c>
      <c r="D22" s="33">
        <v>5</v>
      </c>
      <c r="E22" s="4"/>
      <c r="F22" s="4"/>
      <c r="G22" s="4"/>
      <c r="H22" s="38"/>
      <c r="J22" s="49">
        <f ca="1"/>
        <v>3</v>
      </c>
      <c r="K22" s="24">
        <f ca="1"/>
        <v>15</v>
      </c>
      <c r="L22" s="24">
        <f ca="1"/>
        <v>8</v>
      </c>
      <c r="M22" s="24">
        <f ca="1"/>
        <v>5</v>
      </c>
      <c r="U22" s="4"/>
      <c r="V22" s="38"/>
      <c r="W22" s="4"/>
      <c r="X22" s="4"/>
      <c r="Y22" s="4"/>
      <c r="Z22" s="4"/>
      <c r="AA22" s="4"/>
      <c r="AB22" s="4"/>
      <c r="AC22" s="4"/>
      <c r="AD22" s="4"/>
      <c r="AE22" s="4"/>
      <c r="AF22" s="4"/>
      <c r="AG22" s="4"/>
      <c r="AH22" s="4"/>
      <c r="AI22" s="4"/>
      <c r="AJ22" s="38"/>
      <c r="AL22" cm="1">
        <f t="array" ref="AL22:AL322">IFERROR(_xlfn._xlws.FILTER(LRC[id],(LRC[unitprocess]=$A$3)*(LRC[mo_type]=AL$20)),"no LRC")</f>
        <v>1</v>
      </c>
      <c r="AM22" cm="1">
        <f t="array" aca="1" ref="AM22" ca="1">_xlfn.XLOOKUP($AL22,LRC[id],INDIRECT("LRC["&amp;AM$21&amp;"]"))</f>
        <v>4</v>
      </c>
      <c r="AN22" cm="1">
        <f t="array" aca="1" ref="AN22" ca="1">_xlfn.XLOOKUP($AL22,LRC[id],INDIRECT("LRC["&amp;AN$21&amp;"]"))</f>
        <v>1</v>
      </c>
      <c r="AP22" cm="1">
        <f t="array" ref="AP22:AP104">IFERROR(_xlfn._xlws.FILTER(LRV[id],(LRV[unitprocess]=$A$3)*(LRV[mo_type]=AL$20)),"no LRC")</f>
        <v>210</v>
      </c>
      <c r="AQ22" cm="1">
        <f t="array" aca="1" ref="AQ22" ca="1">_xlfn.XLOOKUP($AP22,LRV[id],INDIRECT("LRV["&amp;AQ$21&amp;"]"))</f>
        <v>179.4</v>
      </c>
      <c r="AR22" cm="1">
        <f t="array" aca="1" ref="AR22" ca="1">_xlfn.XLOOKUP($AP22,LRV[id],INDIRECT("LRV["&amp;AR$21&amp;"]"))</f>
        <v>1.03</v>
      </c>
      <c r="AT22" cm="1">
        <f t="array" ref="AT22:AT23">IFERROR(_xlfn._xlws.FILTER(LRC[id],(LRC[unitprocess]=$A$3)*(LRC[mo_type]=AT$20)),"no LRC")</f>
        <v>732</v>
      </c>
      <c r="AU22" cm="1">
        <f t="array" aca="1" ref="AU22" ca="1">_xlfn.XLOOKUP($AT22,LRC[id],INDIRECT("LRC["&amp;AU$21&amp;"]"))</f>
        <v>0</v>
      </c>
      <c r="AV22" cm="1">
        <f t="array" aca="1" ref="AV22" ca="1">_xlfn.XLOOKUP($AT22,LRC[id],INDIRECT("LRC["&amp;AV$21&amp;"]"))</f>
        <v>0</v>
      </c>
      <c r="AX22" cm="1">
        <f t="array" ref="AX22:AX23">IFERROR(_xlfn._xlws.FILTER(LRV[id],(LRV[unitprocess]=$A$3)*(LRV[mo_type]=AT$20)),"no LRC")</f>
        <v>212</v>
      </c>
      <c r="AY22" cm="1">
        <f t="array" aca="1" ref="AY22" ca="1">_xlfn.XLOOKUP($AX22,LRV[id],INDIRECT("LRV["&amp;AY$21&amp;"]"))</f>
        <v>179.4</v>
      </c>
      <c r="AZ22" cm="1">
        <f t="array" aca="1" ref="AZ22" ca="1">_xlfn.XLOOKUP($AX22,LRV[id],INDIRECT("LRV["&amp;AZ$21&amp;"]"))</f>
        <v>0.65</v>
      </c>
      <c r="BC22" cm="1">
        <f t="array" ref="BC22:BC321">IFERROR(_xlfn._xlws.FILTER(LRC[id],(LRC[unitprocess]=$A$3)*(LRC[mo_type]=BC$20)),"no LRC")</f>
        <v>301</v>
      </c>
      <c r="BD22" cm="1">
        <f t="array" aca="1" ref="BD22" ca="1">_xlfn.XLOOKUP($BC22,LRC[id],INDIRECT("LRC["&amp;BD$21&amp;"]"))</f>
        <v>4</v>
      </c>
      <c r="BE22" cm="1">
        <f t="array" aca="1" ref="BE22" ca="1">_xlfn.XLOOKUP($BC22,LRC[id],INDIRECT("LRC["&amp;BE$21&amp;"]"))</f>
        <v>1</v>
      </c>
      <c r="BG22" cm="1">
        <f t="array" ref="BG22:BG76">IFERROR(_xlfn._xlws.FILTER(LRV[id],(LRV[unitprocess]=$A$3)*(LRV[mo_type]=BC$20)),"no LRC")</f>
        <v>207</v>
      </c>
      <c r="BH22" cm="1">
        <f t="array" aca="1" ref="BH22" ca="1">_xlfn.XLOOKUP($BG22,LRV[id],INDIRECT("LRV["&amp;BH$21&amp;"]"))</f>
        <v>179.4</v>
      </c>
      <c r="BI22" cm="1">
        <f t="array" aca="1" ref="BI22" ca="1">_xlfn.XLOOKUP($BG22,LRV[id],INDIRECT("LRV["&amp;BI$21&amp;"]"))</f>
        <v>4.2300000000000004</v>
      </c>
    </row>
    <row r="23" spans="2:61" x14ac:dyDescent="0.3">
      <c r="B23" s="47" t="str">
        <f t="shared" si="3"/>
        <v>wqin_ph</v>
      </c>
      <c r="C23" s="31" t="str">
        <f>_xlfn.XLOOKUP(B23,LRC_Variables[Variable],LRC_Variables[Description])</f>
        <v>pH</v>
      </c>
      <c r="D23" s="33">
        <v>7</v>
      </c>
      <c r="J23" s="49">
        <f ca="1"/>
        <v>4</v>
      </c>
      <c r="K23" s="24">
        <f ca="1"/>
        <v>20</v>
      </c>
      <c r="L23" s="24">
        <f ca="1"/>
        <v>8.5</v>
      </c>
      <c r="M23" s="24"/>
      <c r="AL23">
        <v>2</v>
      </c>
      <c r="AM23" cm="1">
        <f t="array" aca="1" ref="AM23" ca="1">_xlfn.XLOOKUP($AL23,LRC[id],INDIRECT("LRC["&amp;AM$21&amp;"]"))</f>
        <v>5</v>
      </c>
      <c r="AN23" cm="1">
        <f t="array" aca="1" ref="AN23" ca="1">_xlfn.XLOOKUP($AL23,LRC[id],INDIRECT("LRC["&amp;AN$21&amp;"]"))</f>
        <v>2</v>
      </c>
      <c r="AP23">
        <v>211</v>
      </c>
      <c r="AQ23" cm="1">
        <f t="array" aca="1" ref="AQ23" ca="1">_xlfn.XLOOKUP($AP23,LRV[id],INDIRECT("LRV["&amp;AQ$21&amp;"]"))</f>
        <v>179.4</v>
      </c>
      <c r="AR23" cm="1">
        <f t="array" aca="1" ref="AR23" ca="1">_xlfn.XLOOKUP($AP23,LRV[id],INDIRECT("LRV["&amp;AR$21&amp;"]"))</f>
        <v>1.45</v>
      </c>
      <c r="AT23">
        <v>733</v>
      </c>
      <c r="AX23">
        <v>213</v>
      </c>
      <c r="AY23" cm="1">
        <f t="array" aca="1" ref="AY23" ca="1">_xlfn.XLOOKUP($AX23,LRV[id],INDIRECT("LRV["&amp;AY$21&amp;"]"))</f>
        <v>179.4</v>
      </c>
      <c r="AZ23" cm="1">
        <f t="array" aca="1" ref="AZ23" ca="1">_xlfn.XLOOKUP($AX23,LRV[id],INDIRECT("LRV["&amp;AZ$21&amp;"]"))</f>
        <v>0.41</v>
      </c>
      <c r="BC23">
        <v>302</v>
      </c>
      <c r="BD23" cm="1">
        <f t="array" aca="1" ref="BD23" ca="1">_xlfn.XLOOKUP($BC23,LRC[id],INDIRECT("LRC["&amp;BD$21&amp;"]"))</f>
        <v>5</v>
      </c>
      <c r="BE23" cm="1">
        <f t="array" aca="1" ref="BE23" ca="1">_xlfn.XLOOKUP($BC23,LRC[id],INDIRECT("LRC["&amp;BE$21&amp;"]"))</f>
        <v>2</v>
      </c>
      <c r="BG23">
        <v>208</v>
      </c>
      <c r="BH23" cm="1">
        <f t="array" aca="1" ref="BH23" ca="1">_xlfn.XLOOKUP($BG23,LRV[id],INDIRECT("LRV["&amp;BH$21&amp;"]"))</f>
        <v>179.4</v>
      </c>
      <c r="BI23" cm="1">
        <f t="array" aca="1" ref="BI23" ca="1">_xlfn.XLOOKUP($BG23,LRV[id],INDIRECT("LRV["&amp;BI$21&amp;"]"))</f>
        <v>4.95</v>
      </c>
    </row>
    <row r="24" spans="2:61" x14ac:dyDescent="0.3">
      <c r="B24" s="47" t="str">
        <f t="shared" si="3"/>
        <v>wqin_turb</v>
      </c>
      <c r="C24" s="31" t="str">
        <f>_xlfn.XLOOKUP(B24,LRC_Variables[Variable],LRC_Variables[Description])</f>
        <v>Turbidity (NTU)</v>
      </c>
      <c r="D24" s="33">
        <v>0.2</v>
      </c>
      <c r="J24" s="49">
        <f ca="1"/>
        <v>5</v>
      </c>
      <c r="K24" s="24">
        <f ca="1"/>
        <v>25</v>
      </c>
      <c r="L24" s="24">
        <f ca="1"/>
        <v>9</v>
      </c>
      <c r="M24" s="24"/>
      <c r="AL24">
        <v>3</v>
      </c>
      <c r="AM24" cm="1">
        <f t="array" aca="1" ref="AM24" ca="1">_xlfn.XLOOKUP($AL24,LRC[id],INDIRECT("LRC["&amp;AM$21&amp;"]"))</f>
        <v>7</v>
      </c>
      <c r="AN24" cm="1">
        <f t="array" aca="1" ref="AN24" ca="1">_xlfn.XLOOKUP($AL24,LRC[id],INDIRECT("LRC["&amp;AN$21&amp;"]"))</f>
        <v>3</v>
      </c>
      <c r="AP24">
        <v>225</v>
      </c>
      <c r="AQ24" cm="1">
        <f t="array" aca="1" ref="AQ24" ca="1">_xlfn.XLOOKUP($AP24,LRV[id],INDIRECT("LRV["&amp;AQ$21&amp;"]"))</f>
        <v>179.4</v>
      </c>
      <c r="AR24" cm="1">
        <f t="array" aca="1" ref="AR24" ca="1">_xlfn.XLOOKUP($AP24,LRV[id],INDIRECT("LRV["&amp;AR$21&amp;"]"))</f>
        <v>2.92</v>
      </c>
      <c r="BC24">
        <v>303</v>
      </c>
      <c r="BD24" cm="1">
        <f t="array" aca="1" ref="BD24" ca="1">_xlfn.XLOOKUP($BC24,LRC[id],INDIRECT("LRC["&amp;BD$21&amp;"]"))</f>
        <v>7</v>
      </c>
      <c r="BE24" cm="1">
        <f t="array" aca="1" ref="BE24" ca="1">_xlfn.XLOOKUP($BC24,LRC[id],INDIRECT("LRC["&amp;BE$21&amp;"]"))</f>
        <v>3</v>
      </c>
      <c r="BG24">
        <v>209</v>
      </c>
      <c r="BH24" cm="1">
        <f t="array" aca="1" ref="BH24" ca="1">_xlfn.XLOOKUP($BG24,LRV[id],INDIRECT("LRV["&amp;BH$21&amp;"]"))</f>
        <v>179.4</v>
      </c>
      <c r="BI24" cm="1">
        <f t="array" aca="1" ref="BI24" ca="1">_xlfn.XLOOKUP($BG24,LRV[id],INDIRECT("LRV["&amp;BI$21&amp;"]"))</f>
        <v>3.77</v>
      </c>
    </row>
    <row r="25" spans="2:61" x14ac:dyDescent="0.3">
      <c r="J25" s="49">
        <f ca="1"/>
        <v>6</v>
      </c>
      <c r="K25" s="24"/>
      <c r="L25" s="24"/>
      <c r="M25" s="24"/>
      <c r="X25" s="29" t="s">
        <v>1082</v>
      </c>
      <c r="AI25" s="4"/>
      <c r="AL25">
        <v>4</v>
      </c>
      <c r="AM25" cm="1">
        <f t="array" aca="1" ref="AM25" ca="1">_xlfn.XLOOKUP($AL25,LRC[id],INDIRECT("LRC["&amp;AM$21&amp;"]"))</f>
        <v>8</v>
      </c>
      <c r="AN25" cm="1">
        <f t="array" aca="1" ref="AN25" ca="1">_xlfn.XLOOKUP($AL25,LRC[id],INDIRECT("LRC["&amp;AN$21&amp;"]"))</f>
        <v>4</v>
      </c>
      <c r="AP25">
        <v>226</v>
      </c>
      <c r="AQ25" cm="1">
        <f t="array" aca="1" ref="AQ25" ca="1">_xlfn.XLOOKUP($AP25,LRV[id],INDIRECT("LRV["&amp;AQ$21&amp;"]"))</f>
        <v>179.4</v>
      </c>
      <c r="AR25" cm="1">
        <f t="array" aca="1" ref="AR25" ca="1">_xlfn.XLOOKUP($AP25,LRV[id],INDIRECT("LRV["&amp;AR$21&amp;"]"))</f>
        <v>1.49</v>
      </c>
      <c r="BC25">
        <v>304</v>
      </c>
      <c r="BD25" cm="1">
        <f t="array" aca="1" ref="BD25" ca="1">_xlfn.XLOOKUP($BC25,LRC[id],INDIRECT("LRC["&amp;BD$21&amp;"]"))</f>
        <v>8</v>
      </c>
      <c r="BE25" cm="1">
        <f t="array" aca="1" ref="BE25" ca="1">_xlfn.XLOOKUP($BC25,LRC[id],INDIRECT("LRC["&amp;BE$21&amp;"]"))</f>
        <v>4</v>
      </c>
      <c r="BG25">
        <v>429</v>
      </c>
      <c r="BH25" cm="1">
        <f t="array" aca="1" ref="BH25" ca="1">_xlfn.XLOOKUP($BG25,LRV[id],INDIRECT("LRV["&amp;BH$21&amp;"]"))</f>
        <v>0</v>
      </c>
      <c r="BI25" cm="1">
        <f t="array" aca="1" ref="BI25" ca="1">_xlfn.XLOOKUP($BG25,LRV[id],INDIRECT("LRV["&amp;BI$21&amp;"]"))</f>
        <v>2.7781512503836439</v>
      </c>
    </row>
    <row r="26" spans="2:61" x14ac:dyDescent="0.3">
      <c r="B26" s="6" t="s">
        <v>1092</v>
      </c>
      <c r="G26" s="4"/>
      <c r="H26" s="38"/>
      <c r="J26" s="49">
        <f ca="1"/>
        <v>7</v>
      </c>
      <c r="K26" s="24"/>
      <c r="L26" s="24"/>
      <c r="M26" s="24"/>
      <c r="U26" s="4"/>
      <c r="V26" s="38"/>
      <c r="Y26" s="4" t="s">
        <v>992</v>
      </c>
      <c r="Z26" s="4" t="s">
        <v>992</v>
      </c>
      <c r="AA26" s="4"/>
      <c r="AB26" s="4"/>
      <c r="AC26" s="4" t="s">
        <v>1000</v>
      </c>
      <c r="AD26" s="4" t="s">
        <v>1000</v>
      </c>
      <c r="AE26" s="4"/>
      <c r="AF26" s="4"/>
      <c r="AG26" s="4" t="s">
        <v>996</v>
      </c>
      <c r="AH26" s="4" t="s">
        <v>996</v>
      </c>
      <c r="AJ26" s="38"/>
      <c r="AL26">
        <v>5</v>
      </c>
      <c r="AM26" cm="1">
        <f t="array" aca="1" ref="AM26" ca="1">_xlfn.XLOOKUP($AL26,LRC[id],INDIRECT("LRC["&amp;AM$21&amp;"]"))</f>
        <v>7</v>
      </c>
      <c r="AN26" cm="1">
        <f t="array" aca="1" ref="AN26" ca="1">_xlfn.XLOOKUP($AL26,LRC[id],INDIRECT("LRC["&amp;AN$21&amp;"]"))</f>
        <v>1</v>
      </c>
      <c r="AP26">
        <v>227</v>
      </c>
      <c r="AQ26" cm="1">
        <f t="array" aca="1" ref="AQ26" ca="1">_xlfn.XLOOKUP($AP26,LRV[id],INDIRECT("LRV["&amp;AQ$21&amp;"]"))</f>
        <v>179.4</v>
      </c>
      <c r="AR26" cm="1">
        <f t="array" aca="1" ref="AR26" ca="1">_xlfn.XLOOKUP($AP26,LRV[id],INDIRECT("LRV["&amp;AR$21&amp;"]"))</f>
        <v>1.03</v>
      </c>
      <c r="BC26">
        <v>305</v>
      </c>
      <c r="BD26" cm="1">
        <f t="array" aca="1" ref="BD26" ca="1">_xlfn.XLOOKUP($BC26,LRC[id],INDIRECT("LRC["&amp;BD$21&amp;"]"))</f>
        <v>7</v>
      </c>
      <c r="BE26" cm="1">
        <f t="array" aca="1" ref="BE26" ca="1">_xlfn.XLOOKUP($BC26,LRC[id],INDIRECT("LRC["&amp;BE$21&amp;"]"))</f>
        <v>1</v>
      </c>
      <c r="BG26">
        <v>430</v>
      </c>
      <c r="BH26" cm="1">
        <f t="array" aca="1" ref="BH26" ca="1">_xlfn.XLOOKUP($BG26,LRV[id],INDIRECT("LRV["&amp;BH$21&amp;"]"))</f>
        <v>0</v>
      </c>
      <c r="BI26" cm="1">
        <f t="array" aca="1" ref="BI26" ca="1">_xlfn.XLOOKUP($BG26,LRV[id],INDIRECT("LRV["&amp;BI$21&amp;"]"))</f>
        <v>3.1461280356782382</v>
      </c>
    </row>
    <row r="27" spans="2:61" x14ac:dyDescent="0.3">
      <c r="C27" s="6"/>
      <c r="D27" s="3" t="s">
        <v>311</v>
      </c>
      <c r="E27" s="3" t="s">
        <v>313</v>
      </c>
      <c r="F27" s="3" t="s">
        <v>312</v>
      </c>
      <c r="J27" s="49">
        <f ca="1"/>
        <v>8</v>
      </c>
      <c r="K27" s="24"/>
      <c r="L27" s="24"/>
      <c r="M27" s="24"/>
      <c r="Y27" s="4" t="s">
        <v>1084</v>
      </c>
      <c r="Z27" s="4" t="s">
        <v>1085</v>
      </c>
      <c r="AA27" s="4"/>
      <c r="AB27" s="4"/>
      <c r="AC27" s="4" t="s">
        <v>1084</v>
      </c>
      <c r="AD27" s="4" t="s">
        <v>1085</v>
      </c>
      <c r="AE27" s="4"/>
      <c r="AF27" s="4"/>
      <c r="AG27" s="4" t="s">
        <v>1084</v>
      </c>
      <c r="AH27" s="4" t="s">
        <v>1085</v>
      </c>
      <c r="AL27">
        <v>6</v>
      </c>
      <c r="AM27" cm="1">
        <f t="array" aca="1" ref="AM27" ca="1">_xlfn.XLOOKUP($AL27,LRC[id],INDIRECT("LRC["&amp;AM$21&amp;"]"))</f>
        <v>10</v>
      </c>
      <c r="AN27" cm="1">
        <f t="array" aca="1" ref="AN27" ca="1">_xlfn.XLOOKUP($AL27,LRC[id],INDIRECT("LRC["&amp;AN$21&amp;"]"))</f>
        <v>2</v>
      </c>
      <c r="AP27">
        <v>228</v>
      </c>
      <c r="AQ27" cm="1">
        <f t="array" aca="1" ref="AQ27" ca="1">_xlfn.XLOOKUP($AP27,LRV[id],INDIRECT("LRV["&amp;AQ$21&amp;"]"))</f>
        <v>179.4</v>
      </c>
      <c r="AR27" cm="1">
        <f t="array" aca="1" ref="AR27" ca="1">_xlfn.XLOOKUP($AP27,LRV[id],INDIRECT("LRV["&amp;AR$21&amp;"]"))</f>
        <v>1.44</v>
      </c>
      <c r="BC27">
        <v>306</v>
      </c>
      <c r="BD27" cm="1">
        <f t="array" aca="1" ref="BD27" ca="1">_xlfn.XLOOKUP($BC27,LRC[id],INDIRECT("LRC["&amp;BD$21&amp;"]"))</f>
        <v>10</v>
      </c>
      <c r="BE27" cm="1">
        <f t="array" aca="1" ref="BE27" ca="1">_xlfn.XLOOKUP($BC27,LRC[id],INDIRECT("LRC["&amp;BE$21&amp;"]"))</f>
        <v>2</v>
      </c>
      <c r="BG27">
        <v>431</v>
      </c>
      <c r="BH27" cm="1">
        <f t="array" aca="1" ref="BH27" ca="1">_xlfn.XLOOKUP($BG27,LRV[id],INDIRECT("LRV["&amp;BH$21&amp;"]"))</f>
        <v>0</v>
      </c>
      <c r="BI27" cm="1">
        <f t="array" aca="1" ref="BI27" ca="1">_xlfn.XLOOKUP($BG27,LRV[id],INDIRECT("LRV["&amp;BI$21&amp;"]"))</f>
        <v>2.3010299956639813</v>
      </c>
    </row>
    <row r="28" spans="2:61" x14ac:dyDescent="0.3">
      <c r="C28" s="19" t="str" cm="1">
        <f t="array" ref="C28:C38">_xlfn.UNIQUE(_xlfn._xlws.FILTER(LRV[source],LRV[unitprocess]=$A$3))</f>
        <v>Rose et al. (1996)</v>
      </c>
      <c r="D28" s="30" t="str">
        <f>IF(AND(Y28=0,Z28=0),"no LRC",IF(Y28=Z28,Y28,CONCATENATE(ROUND(Y28,2),"-",ROUND(Z28,2))))</f>
        <v>1.03-2.92</v>
      </c>
      <c r="E28" s="30" t="str">
        <f>IF(AND(AC28=0,AD28=0),"no LRC",IF(AC28=AD28,AC28,CONCATENATE(ROUND(AC28,2),"-",ROUND(AD28,2))))</f>
        <v>0.41-0.65</v>
      </c>
      <c r="F28" s="30" t="str">
        <f>IF(AND(AG28=0,AH28=0),"no LRC",IF(AG28=AH28,AG28,CONCATENATE(ROUND(AG28,2),"-",ROUND(AH28,2))))</f>
        <v>3.77-4.95</v>
      </c>
      <c r="J28" s="49">
        <f ca="1"/>
        <v>9</v>
      </c>
      <c r="K28" s="24"/>
      <c r="L28" s="24"/>
      <c r="M28" s="24"/>
      <c r="Y28">
        <f>_xlfn.MINIFS(LRV[lrv_ave],LRV[unitprocess],$A$3,LRV[source],$C28,LRV[mo_type],Y$26)</f>
        <v>1.03</v>
      </c>
      <c r="Z28">
        <f>_xlfn.MAXIFS(LRV[lrv_ave],LRV[unitprocess],$A$3,LRV[source],$C28,LRV[mo_type],Z$26)</f>
        <v>2.92</v>
      </c>
      <c r="AC28">
        <f>_xlfn.MINIFS(LRV[lrv_ave],LRV[unitprocess],$A$3,LRV[source],$C28,LRV[mo_type],AC$26)</f>
        <v>0.41</v>
      </c>
      <c r="AD28">
        <f>_xlfn.MAXIFS(LRV[lrv_ave],LRV[unitprocess],$A$3,LRV[source],$C28,LRV[mo_type],AD$26)</f>
        <v>0.65</v>
      </c>
      <c r="AG28">
        <f>_xlfn.MINIFS(LRV[lrv_ave],LRV[unitprocess],$A$3,LRV[source],$C28,LRV[mo_type],AG$26)</f>
        <v>3.77</v>
      </c>
      <c r="AH28">
        <f>_xlfn.MAXIFS(LRV[lrv_ave],LRV[unitprocess],$A$3,LRV[source],$C28,LRV[mo_type],AH$26)</f>
        <v>4.95</v>
      </c>
      <c r="AL28">
        <v>7</v>
      </c>
      <c r="AM28" cm="1">
        <f t="array" aca="1" ref="AM28" ca="1">_xlfn.XLOOKUP($AL28,LRC[id],INDIRECT("LRC["&amp;AM$21&amp;"]"))</f>
        <v>13</v>
      </c>
      <c r="AN28" cm="1">
        <f t="array" aca="1" ref="AN28" ca="1">_xlfn.XLOOKUP($AL28,LRC[id],INDIRECT("LRC["&amp;AN$21&amp;"]"))</f>
        <v>3</v>
      </c>
      <c r="AP28">
        <v>249</v>
      </c>
      <c r="AQ28" cm="1">
        <f t="array" aca="1" ref="AQ28" ca="1">_xlfn.XLOOKUP($AP28,LRV[id],INDIRECT("LRV["&amp;AQ$21&amp;"]"))</f>
        <v>192</v>
      </c>
      <c r="AR28" cm="1">
        <f t="array" aca="1" ref="AR28" ca="1">_xlfn.XLOOKUP($AP28,LRV[id],INDIRECT("LRV["&amp;AR$21&amp;"]"))</f>
        <v>0.08</v>
      </c>
      <c r="BC28">
        <v>307</v>
      </c>
      <c r="BD28" cm="1">
        <f t="array" aca="1" ref="BD28" ca="1">_xlfn.XLOOKUP($BC28,LRC[id],INDIRECT("LRC["&amp;BD$21&amp;"]"))</f>
        <v>13</v>
      </c>
      <c r="BE28" cm="1">
        <f t="array" aca="1" ref="BE28" ca="1">_xlfn.XLOOKUP($BC28,LRC[id],INDIRECT("LRC["&amp;BE$21&amp;"]"))</f>
        <v>3</v>
      </c>
      <c r="BG28">
        <v>432</v>
      </c>
      <c r="BH28" cm="1">
        <f t="array" aca="1" ref="BH28" ca="1">_xlfn.XLOOKUP($BG28,LRV[id],INDIRECT("LRV["&amp;BH$21&amp;"]"))</f>
        <v>0</v>
      </c>
      <c r="BI28" cm="1">
        <f t="array" aca="1" ref="BI28" ca="1">_xlfn.XLOOKUP($BG28,LRV[id],INDIRECT("LRV["&amp;BI$21&amp;"]"))</f>
        <v>2.3679767852945943</v>
      </c>
    </row>
    <row r="29" spans="2:61" x14ac:dyDescent="0.3">
      <c r="C29" s="19" t="str">
        <v>Qiu et al. (2015)</v>
      </c>
      <c r="D29" s="30">
        <f t="shared" ref="D29:D32" si="4">IF(AND(Y29=0,Z29=0),"no LRC",IF(Y29=Z29,Y29,CONCATENATE(ROUND(Y29,2),"-",ROUND(Z29,2))))</f>
        <v>0.08</v>
      </c>
      <c r="E29" s="30" t="str">
        <f t="shared" ref="E29:E32" si="5">IF(AND(AC29=0,AD29=0),"no LRC",IF(AC29=AD29,AC29,CONCATENATE(ROUND(AC29,2),"-",ROUND(AD29,2))))</f>
        <v>no LRC</v>
      </c>
      <c r="F29" s="30" t="str">
        <f t="shared" ref="F29:F32" si="6">IF(AND(AG29=0,AH29=0),"no LRC",IF(AG29=AH29,AG29,CONCATENATE(ROUND(AG29,2),"-",ROUND(AH29,2))))</f>
        <v>no LRC</v>
      </c>
      <c r="J29" s="49">
        <f ca="1"/>
        <v>10</v>
      </c>
      <c r="K29" s="24"/>
      <c r="L29" s="24"/>
      <c r="M29" s="24"/>
      <c r="Y29">
        <f>_xlfn.MINIFS(LRV[lrv_ave],LRV[unitprocess],$A$3,LRV[source],$C29,LRV[mo_type],Y$26)</f>
        <v>0.08</v>
      </c>
      <c r="Z29">
        <f>_xlfn.MAXIFS(LRV[lrv_ave],LRV[unitprocess],$A$3,LRV[source],$C29,LRV[mo_type],Z$26)</f>
        <v>0.08</v>
      </c>
      <c r="AC29">
        <f>_xlfn.MINIFS(LRV[lrv_ave],LRV[unitprocess],$A$3,LRV[source],$C29,LRV[mo_type],AC$26)</f>
        <v>0</v>
      </c>
      <c r="AD29">
        <f>_xlfn.MAXIFS(LRV[lrv_ave],LRV[unitprocess],$A$3,LRV[source],$C29,LRV[mo_type],AD$26)</f>
        <v>0</v>
      </c>
      <c r="AG29">
        <f>_xlfn.MINIFS(LRV[lrv_ave],LRV[unitprocess],$A$3,LRV[source],$C29,LRV[mo_type],AG$26)</f>
        <v>0</v>
      </c>
      <c r="AH29">
        <f>_xlfn.MAXIFS(LRV[lrv_ave],LRV[unitprocess],$A$3,LRV[source],$C29,LRV[mo_type],AH$26)</f>
        <v>0</v>
      </c>
      <c r="AL29">
        <v>8</v>
      </c>
      <c r="AM29" cm="1">
        <f t="array" aca="1" ref="AM29" ca="1">_xlfn.XLOOKUP($AL29,LRC[id],INDIRECT("LRC["&amp;AM$21&amp;"]"))</f>
        <v>16</v>
      </c>
      <c r="AN29" cm="1">
        <f t="array" aca="1" ref="AN29" ca="1">_xlfn.XLOOKUP($AL29,LRC[id],INDIRECT("LRC["&amp;AN$21&amp;"]"))</f>
        <v>4</v>
      </c>
      <c r="AP29">
        <v>298</v>
      </c>
      <c r="AQ29" cm="1">
        <f t="array" aca="1" ref="AQ29" ca="1">_xlfn.XLOOKUP($AP29,LRV[id],INDIRECT("LRV["&amp;AQ$21&amp;"]"))</f>
        <v>14.49</v>
      </c>
      <c r="AR29" cm="1">
        <f t="array" aca="1" ref="AR29" ca="1">_xlfn.XLOOKUP($AP29,LRV[id],INDIRECT("LRV["&amp;AR$21&amp;"]"))</f>
        <v>2</v>
      </c>
      <c r="BC29">
        <v>308</v>
      </c>
      <c r="BD29" cm="1">
        <f t="array" aca="1" ref="BD29" ca="1">_xlfn.XLOOKUP($BC29,LRC[id],INDIRECT("LRC["&amp;BD$21&amp;"]"))</f>
        <v>16</v>
      </c>
      <c r="BE29" cm="1">
        <f t="array" aca="1" ref="BE29" ca="1">_xlfn.XLOOKUP($BC29,LRC[id],INDIRECT("LRC["&amp;BE$21&amp;"]"))</f>
        <v>4</v>
      </c>
      <c r="BG29">
        <v>471</v>
      </c>
      <c r="BH29" cm="1">
        <f t="array" aca="1" ref="BH29" ca="1">_xlfn.XLOOKUP($BG29,LRV[id],INDIRECT("LRV["&amp;BH$21&amp;"]"))</f>
        <v>0</v>
      </c>
      <c r="BI29" cm="1">
        <f t="array" aca="1" ref="BI29" ca="1">_xlfn.XLOOKUP($BG29,LRV[id],INDIRECT("LRV["&amp;BI$21&amp;"]"))</f>
        <v>2.5642714304385628</v>
      </c>
    </row>
    <row r="30" spans="2:61" x14ac:dyDescent="0.3">
      <c r="C30" s="19" t="str">
        <v>Keegan et al. (2012)</v>
      </c>
      <c r="D30" s="30" t="str">
        <f t="shared" si="4"/>
        <v>1-4</v>
      </c>
      <c r="E30" s="30" t="str">
        <f t="shared" si="5"/>
        <v>no LRC</v>
      </c>
      <c r="F30" s="30" t="str">
        <f t="shared" si="6"/>
        <v>no LRC</v>
      </c>
      <c r="J30" s="49">
        <f ca="1"/>
        <v>11</v>
      </c>
      <c r="K30" s="24"/>
      <c r="L30" s="24"/>
      <c r="M30" s="24"/>
      <c r="Y30">
        <f>_xlfn.MINIFS(LRV[lrv_ave],LRV[unitprocess],$A$3,LRV[source],$C30,LRV[mo_type],Y$26)</f>
        <v>1</v>
      </c>
      <c r="Z30">
        <f>_xlfn.MAXIFS(LRV[lrv_ave],LRV[unitprocess],$A$3,LRV[source],$C30,LRV[mo_type],Z$26)</f>
        <v>4</v>
      </c>
      <c r="AC30">
        <f>_xlfn.MINIFS(LRV[lrv_ave],LRV[unitprocess],$A$3,LRV[source],$C30,LRV[mo_type],AC$26)</f>
        <v>0</v>
      </c>
      <c r="AD30">
        <f>_xlfn.MAXIFS(LRV[lrv_ave],LRV[unitprocess],$A$3,LRV[source],$C30,LRV[mo_type],AD$26)</f>
        <v>0</v>
      </c>
      <c r="AG30">
        <f>_xlfn.MINIFS(LRV[lrv_ave],LRV[unitprocess],$A$3,LRV[source],$C30,LRV[mo_type],AG$26)</f>
        <v>0</v>
      </c>
      <c r="AH30">
        <f>_xlfn.MAXIFS(LRV[lrv_ave],LRV[unitprocess],$A$3,LRV[source],$C30,LRV[mo_type],AH$26)</f>
        <v>0</v>
      </c>
      <c r="AL30">
        <v>9</v>
      </c>
      <c r="AM30" cm="1">
        <f t="array" aca="1" ref="AM30" ca="1">_xlfn.XLOOKUP($AL30,LRC[id],INDIRECT("LRC["&amp;AM$21&amp;"]"))</f>
        <v>9</v>
      </c>
      <c r="AN30" cm="1">
        <f t="array" aca="1" ref="AN30" ca="1">_xlfn.XLOOKUP($AL30,LRC[id],INDIRECT("LRC["&amp;AN$21&amp;"]"))</f>
        <v>1</v>
      </c>
      <c r="AP30">
        <v>299</v>
      </c>
      <c r="AQ30" cm="1">
        <f t="array" aca="1" ref="AQ30" ca="1">_xlfn.XLOOKUP($AP30,LRV[id],INDIRECT("LRV["&amp;AQ$21&amp;"]"))</f>
        <v>18.3</v>
      </c>
      <c r="AR30" cm="1">
        <f t="array" aca="1" ref="AR30" ca="1">_xlfn.XLOOKUP($AP30,LRV[id],INDIRECT("LRV["&amp;AR$21&amp;"]"))</f>
        <v>3</v>
      </c>
      <c r="BC30">
        <v>309</v>
      </c>
      <c r="BD30" cm="1">
        <f t="array" aca="1" ref="BD30" ca="1">_xlfn.XLOOKUP($BC30,LRC[id],INDIRECT("LRC["&amp;BD$21&amp;"]"))</f>
        <v>9</v>
      </c>
      <c r="BE30" cm="1">
        <f t="array" aca="1" ref="BE30" ca="1">_xlfn.XLOOKUP($BC30,LRC[id],INDIRECT("LRC["&amp;BE$21&amp;"]"))</f>
        <v>1</v>
      </c>
      <c r="BG30">
        <v>472</v>
      </c>
      <c r="BH30" cm="1">
        <f t="array" aca="1" ref="BH30" ca="1">_xlfn.XLOOKUP($BG30,LRV[id],INDIRECT("LRV["&amp;BH$21&amp;"]"))</f>
        <v>0</v>
      </c>
      <c r="BI30" cm="1">
        <f t="array" aca="1" ref="BI30" ca="1">_xlfn.XLOOKUP($BG30,LRV[id],INDIRECT("LRV["&amp;BI$21&amp;"]"))</f>
        <v>3.2632414347745815</v>
      </c>
    </row>
    <row r="31" spans="2:61" x14ac:dyDescent="0.3">
      <c r="C31" s="19" t="str">
        <v>Francy et al. (2012)</v>
      </c>
      <c r="D31" s="30" t="str">
        <f t="shared" si="4"/>
        <v>-0.42-2.08</v>
      </c>
      <c r="E31" s="30" t="str">
        <f t="shared" si="5"/>
        <v>no LRC</v>
      </c>
      <c r="F31" s="30" t="str">
        <f t="shared" si="6"/>
        <v>0.98-3.26</v>
      </c>
      <c r="J31" s="49">
        <f ca="1"/>
        <v>12</v>
      </c>
      <c r="K31" s="24"/>
      <c r="L31" s="24"/>
      <c r="M31" s="24"/>
      <c r="Y31">
        <f>_xlfn.MINIFS(LRV[lrv_ave],LRV[unitprocess],$A$3,LRV[source],$C31,LRV[mo_type],Y$26)</f>
        <v>-0.4242689473943867</v>
      </c>
      <c r="Z31">
        <f>_xlfn.MAXIFS(LRV[lrv_ave],LRV[unitprocess],$A$3,LRV[source],$C31,LRV[mo_type],Z$26)</f>
        <v>2.0791812460476251</v>
      </c>
      <c r="AC31">
        <f>_xlfn.MINIFS(LRV[lrv_ave],LRV[unitprocess],$A$3,LRV[source],$C31,LRV[mo_type],AC$26)</f>
        <v>0</v>
      </c>
      <c r="AD31">
        <f>_xlfn.MAXIFS(LRV[lrv_ave],LRV[unitprocess],$A$3,LRV[source],$C31,LRV[mo_type],AD$26)</f>
        <v>0</v>
      </c>
      <c r="AG31">
        <f>_xlfn.MINIFS(LRV[lrv_ave],LRV[unitprocess],$A$3,LRV[source],$C31,LRV[mo_type],AG$26)</f>
        <v>0.97979661391171291</v>
      </c>
      <c r="AH31">
        <f>_xlfn.MAXIFS(LRV[lrv_ave],LRV[unitprocess],$A$3,LRV[source],$C31,LRV[mo_type],AH$26)</f>
        <v>3.2632414347745815</v>
      </c>
      <c r="AL31">
        <v>10</v>
      </c>
      <c r="AM31" cm="1">
        <f t="array" aca="1" ref="AM31" ca="1">_xlfn.XLOOKUP($AL31,LRC[id],INDIRECT("LRC["&amp;AM$21&amp;"]"))</f>
        <v>14</v>
      </c>
      <c r="AN31" cm="1">
        <f t="array" aca="1" ref="AN31" ca="1">_xlfn.XLOOKUP($AL31,LRC[id],INDIRECT("LRC["&amp;AN$21&amp;"]"))</f>
        <v>2</v>
      </c>
      <c r="AP31">
        <v>300</v>
      </c>
      <c r="AQ31" cm="1">
        <f t="array" aca="1" ref="AQ31" ca="1">_xlfn.XLOOKUP($AP31,LRV[id],INDIRECT("LRV["&amp;AQ$21&amp;"]"))</f>
        <v>22.13</v>
      </c>
      <c r="AR31" cm="1">
        <f t="array" aca="1" ref="AR31" ca="1">_xlfn.XLOOKUP($AP31,LRV[id],INDIRECT("LRV["&amp;AR$21&amp;"]"))</f>
        <v>4</v>
      </c>
      <c r="BC31">
        <v>310</v>
      </c>
      <c r="BD31" cm="1">
        <f t="array" aca="1" ref="BD31" ca="1">_xlfn.XLOOKUP($BC31,LRC[id],INDIRECT("LRC["&amp;BD$21&amp;"]"))</f>
        <v>14</v>
      </c>
      <c r="BE31" cm="1">
        <f t="array" aca="1" ref="BE31" ca="1">_xlfn.XLOOKUP($BC31,LRC[id],INDIRECT("LRC["&amp;BE$21&amp;"]"))</f>
        <v>2</v>
      </c>
      <c r="BG31">
        <v>473</v>
      </c>
      <c r="BH31" cm="1">
        <f t="array" aca="1" ref="BH31" ca="1">_xlfn.XLOOKUP($BG31,LRV[id],INDIRECT("LRV["&amp;BH$21&amp;"]"))</f>
        <v>0</v>
      </c>
      <c r="BI31" cm="1">
        <f t="array" aca="1" ref="BI31" ca="1">_xlfn.XLOOKUP($BG31,LRV[id],INDIRECT("LRV["&amp;BI$21&amp;"]"))</f>
        <v>2.1165055690714376</v>
      </c>
    </row>
    <row r="32" spans="2:61" x14ac:dyDescent="0.3">
      <c r="C32" s="19" t="str">
        <v>Koivunen &amp; Heinonen-Tanksi (2005)</v>
      </c>
      <c r="D32" s="30">
        <f t="shared" si="4"/>
        <v>1.03</v>
      </c>
      <c r="E32" s="30" t="str">
        <f t="shared" si="5"/>
        <v>no LRC</v>
      </c>
      <c r="F32" s="30" t="str">
        <f t="shared" si="6"/>
        <v>0.28-2.69</v>
      </c>
      <c r="J32" s="49">
        <f ca="1"/>
        <v>13</v>
      </c>
      <c r="K32" s="24"/>
      <c r="L32" s="24"/>
      <c r="M32" s="24"/>
      <c r="Y32">
        <f>_xlfn.MINIFS(LRV[lrv_ave],LRV[unitprocess],$A$3,LRV[source],$C32,LRV[mo_type],Y$26)</f>
        <v>1.03</v>
      </c>
      <c r="Z32">
        <f>_xlfn.MAXIFS(LRV[lrv_ave],LRV[unitprocess],$A$3,LRV[source],$C32,LRV[mo_type],Z$26)</f>
        <v>1.03</v>
      </c>
      <c r="AC32">
        <f>_xlfn.MINIFS(LRV[lrv_ave],LRV[unitprocess],$A$3,LRV[source],$C32,LRV[mo_type],AC$26)</f>
        <v>0</v>
      </c>
      <c r="AD32">
        <f>_xlfn.MAXIFS(LRV[lrv_ave],LRV[unitprocess],$A$3,LRV[source],$C32,LRV[mo_type],AD$26)</f>
        <v>0</v>
      </c>
      <c r="AG32">
        <f>_xlfn.MINIFS(LRV[lrv_ave],LRV[unitprocess],$A$3,LRV[source],$C32,LRV[mo_type],AG$26)</f>
        <v>0.28000000000000003</v>
      </c>
      <c r="AH32">
        <f>_xlfn.MAXIFS(LRV[lrv_ave],LRV[unitprocess],$A$3,LRV[source],$C32,LRV[mo_type],AH$26)</f>
        <v>2.69</v>
      </c>
      <c r="AL32">
        <v>11</v>
      </c>
      <c r="AM32" cm="1">
        <f t="array" aca="1" ref="AM32" ca="1">_xlfn.XLOOKUP($AL32,LRC[id],INDIRECT("LRC["&amp;AM$21&amp;"]"))</f>
        <v>18</v>
      </c>
      <c r="AN32" cm="1">
        <f t="array" aca="1" ref="AN32" ca="1">_xlfn.XLOOKUP($AL32,LRC[id],INDIRECT("LRC["&amp;AN$21&amp;"]"))</f>
        <v>3</v>
      </c>
      <c r="AP32">
        <v>301</v>
      </c>
      <c r="AQ32" cm="1">
        <f t="array" aca="1" ref="AQ32" ca="1">_xlfn.XLOOKUP($AP32,LRV[id],INDIRECT("LRV["&amp;AQ$21&amp;"]"))</f>
        <v>2.0499999999999998</v>
      </c>
      <c r="AR32" cm="1">
        <f t="array" aca="1" ref="AR32" ca="1">_xlfn.XLOOKUP($AP32,LRV[id],INDIRECT("LRV["&amp;AR$21&amp;"]"))</f>
        <v>1</v>
      </c>
      <c r="BC32">
        <v>311</v>
      </c>
      <c r="BD32" cm="1">
        <f t="array" aca="1" ref="BD32" ca="1">_xlfn.XLOOKUP($BC32,LRC[id],INDIRECT("LRC["&amp;BD$21&amp;"]"))</f>
        <v>18</v>
      </c>
      <c r="BE32" cm="1">
        <f t="array" aca="1" ref="BE32" ca="1">_xlfn.XLOOKUP($BC32,LRC[id],INDIRECT("LRC["&amp;BE$21&amp;"]"))</f>
        <v>3</v>
      </c>
      <c r="BG32">
        <v>474</v>
      </c>
      <c r="BH32" cm="1">
        <f t="array" aca="1" ref="BH32" ca="1">_xlfn.XLOOKUP($BG32,LRV[id],INDIRECT("LRV["&amp;BH$21&amp;"]"))</f>
        <v>0</v>
      </c>
      <c r="BI32" cm="1">
        <f t="array" aca="1" ref="BI32" ca="1">_xlfn.XLOOKUP($BG32,LRV[id],INDIRECT("LRV["&amp;BI$21&amp;"]"))</f>
        <v>2.106455330914287</v>
      </c>
    </row>
    <row r="33" spans="2:62" x14ac:dyDescent="0.3">
      <c r="C33" s="19" t="str">
        <v>Beck et al., 2013</v>
      </c>
      <c r="D33" s="19"/>
      <c r="E33" s="19"/>
      <c r="F33" s="19"/>
      <c r="J33" s="49">
        <f ca="1"/>
        <v>14</v>
      </c>
      <c r="K33" s="24"/>
      <c r="L33" s="24"/>
      <c r="M33" s="24"/>
      <c r="Y33">
        <f>_xlfn.MINIFS(LRV[lrv_ave],LRV[unitprocess],$A$3,LRV[source],$C33,LRV[mo_type],Y$26)</f>
        <v>4.4000000000000004</v>
      </c>
      <c r="Z33">
        <f>_xlfn.MAXIFS(LRV[lrv_ave],LRV[unitprocess],$A$3,LRV[source],$C33,LRV[mo_type],Z$26)</f>
        <v>6.5</v>
      </c>
      <c r="AC33">
        <f>_xlfn.MINIFS(LRV[lrv_ave],LRV[unitprocess],$A$3,LRV[source],$C33,LRV[mo_type],AC$26)</f>
        <v>0</v>
      </c>
      <c r="AD33">
        <f>_xlfn.MAXIFS(LRV[lrv_ave],LRV[unitprocess],$A$3,LRV[source],$C33,LRV[mo_type],AD$26)</f>
        <v>0</v>
      </c>
      <c r="AG33">
        <f>_xlfn.MINIFS(LRV[lrv_ave],LRV[unitprocess],$A$3,LRV[source],$C33,LRV[mo_type],AG$26)</f>
        <v>1.8450980400142569</v>
      </c>
      <c r="AH33">
        <f>_xlfn.MAXIFS(LRV[lrv_ave],LRV[unitprocess],$A$3,LRV[source],$C33,LRV[mo_type],AH$26)</f>
        <v>3.5228353136605302</v>
      </c>
      <c r="AL33">
        <v>12</v>
      </c>
      <c r="AM33" cm="1">
        <f t="array" aca="1" ref="AM33" ca="1">_xlfn.XLOOKUP($AL33,LRC[id],INDIRECT("LRC["&amp;AM$21&amp;"]"))</f>
        <v>23</v>
      </c>
      <c r="AN33" cm="1">
        <f t="array" aca="1" ref="AN33" ca="1">_xlfn.XLOOKUP($AL33,LRC[id],INDIRECT("LRC["&amp;AN$21&amp;"]"))</f>
        <v>4</v>
      </c>
      <c r="AP33">
        <v>302</v>
      </c>
      <c r="AQ33" cm="1">
        <f t="array" aca="1" ref="AQ33" ca="1">_xlfn.XLOOKUP($AP33,LRV[id],INDIRECT("LRV["&amp;AQ$21&amp;"]"))</f>
        <v>3.29</v>
      </c>
      <c r="AR33" cm="1">
        <f t="array" aca="1" ref="AR33" ca="1">_xlfn.XLOOKUP($AP33,LRV[id],INDIRECT("LRV["&amp;AR$21&amp;"]"))</f>
        <v>2</v>
      </c>
      <c r="BC33">
        <v>312</v>
      </c>
      <c r="BD33" cm="1">
        <f t="array" aca="1" ref="BD33" ca="1">_xlfn.XLOOKUP($BC33,LRC[id],INDIRECT("LRC["&amp;BD$21&amp;"]"))</f>
        <v>23</v>
      </c>
      <c r="BE33" cm="1">
        <f t="array" aca="1" ref="BE33" ca="1">_xlfn.XLOOKUP($BC33,LRC[id],INDIRECT("LRC["&amp;BE$21&amp;"]"))</f>
        <v>4</v>
      </c>
      <c r="BG33">
        <v>513</v>
      </c>
      <c r="BH33" cm="1">
        <f t="array" aca="1" ref="BH33" ca="1">_xlfn.XLOOKUP($BG33,LRV[id],INDIRECT("LRV["&amp;BH$21&amp;"]"))</f>
        <v>0</v>
      </c>
      <c r="BI33" cm="1">
        <f t="array" aca="1" ref="BI33" ca="1">_xlfn.XLOOKUP($BG33,LRV[id],INDIRECT("LRV["&amp;BI$21&amp;"]"))</f>
        <v>0.97979661391171291</v>
      </c>
    </row>
    <row r="34" spans="2:62" x14ac:dyDescent="0.3">
      <c r="C34" s="19" t="str">
        <v>Ekeren et al., 2016</v>
      </c>
      <c r="D34" s="19"/>
      <c r="E34" s="19"/>
      <c r="F34" s="19"/>
      <c r="J34" s="49">
        <f ca="1"/>
        <v>15</v>
      </c>
      <c r="K34" s="24"/>
      <c r="L34" s="24"/>
      <c r="M34" s="24"/>
      <c r="Y34">
        <f>_xlfn.MINIFS(LRV[lrv_ave],LRV[unitprocess],$A$3,LRV[source],$C34,LRV[mo_type],Y$26)</f>
        <v>3.8</v>
      </c>
      <c r="Z34">
        <f>_xlfn.MAXIFS(LRV[lrv_ave],LRV[unitprocess],$A$3,LRV[source],$C34,LRV[mo_type],Z$26)</f>
        <v>3.8</v>
      </c>
      <c r="AC34">
        <f>_xlfn.MINIFS(LRV[lrv_ave],LRV[unitprocess],$A$3,LRV[source],$C34,LRV[mo_type],AC$26)</f>
        <v>0</v>
      </c>
      <c r="AD34">
        <f>_xlfn.MAXIFS(LRV[lrv_ave],LRV[unitprocess],$A$3,LRV[source],$C34,LRV[mo_type],AD$26)</f>
        <v>0</v>
      </c>
      <c r="AG34">
        <f>_xlfn.MINIFS(LRV[lrv_ave],LRV[unitprocess],$A$3,LRV[source],$C34,LRV[mo_type],AG$26)</f>
        <v>5.2</v>
      </c>
      <c r="AH34">
        <f>_xlfn.MAXIFS(LRV[lrv_ave],LRV[unitprocess],$A$3,LRV[source],$C34,LRV[mo_type],AH$26)</f>
        <v>8</v>
      </c>
      <c r="AL34">
        <v>13</v>
      </c>
      <c r="AM34" cm="1">
        <f t="array" aca="1" ref="AM34" ca="1">_xlfn.XLOOKUP($AL34,LRC[id],INDIRECT("LRC["&amp;AM$21&amp;"]"))</f>
        <v>11</v>
      </c>
      <c r="AN34" cm="1">
        <f t="array" aca="1" ref="AN34" ca="1">_xlfn.XLOOKUP($AL34,LRC[id],INDIRECT("LRC["&amp;AN$21&amp;"]"))</f>
        <v>1</v>
      </c>
      <c r="AP34">
        <v>303</v>
      </c>
      <c r="AQ34" cm="1">
        <f t="array" aca="1" ref="AQ34" ca="1">_xlfn.XLOOKUP($AP34,LRV[id],INDIRECT("LRV["&amp;AQ$21&amp;"]"))</f>
        <v>4.41</v>
      </c>
      <c r="AR34" cm="1">
        <f t="array" aca="1" ref="AR34" ca="1">_xlfn.XLOOKUP($AP34,LRV[id],INDIRECT("LRV["&amp;AR$21&amp;"]"))</f>
        <v>3</v>
      </c>
      <c r="BC34">
        <v>313</v>
      </c>
      <c r="BD34" cm="1">
        <f t="array" aca="1" ref="BD34" ca="1">_xlfn.XLOOKUP($BC34,LRC[id],INDIRECT("LRC["&amp;BD$21&amp;"]"))</f>
        <v>11</v>
      </c>
      <c r="BE34" cm="1">
        <f t="array" aca="1" ref="BE34" ca="1">_xlfn.XLOOKUP($BC34,LRC[id],INDIRECT("LRC["&amp;BE$21&amp;"]"))</f>
        <v>1</v>
      </c>
      <c r="BG34">
        <v>514</v>
      </c>
      <c r="BH34" cm="1">
        <f t="array" aca="1" ref="BH34" ca="1">_xlfn.XLOOKUP($BG34,LRV[id],INDIRECT("LRV["&amp;BH$21&amp;"]"))</f>
        <v>0</v>
      </c>
      <c r="BI34" cm="1">
        <f t="array" aca="1" ref="BI34" ca="1">_xlfn.XLOOKUP($BG34,LRV[id],INDIRECT("LRV["&amp;BI$21&amp;"]"))</f>
        <v>1.2218487496163566</v>
      </c>
    </row>
    <row r="35" spans="2:62" x14ac:dyDescent="0.3">
      <c r="C35" s="19" t="str">
        <v>Friedler et al., 2011</v>
      </c>
      <c r="D35" s="19"/>
      <c r="E35" s="19"/>
      <c r="F35" s="19"/>
      <c r="J35" s="49">
        <f ca="1"/>
        <v>16</v>
      </c>
      <c r="K35" s="24"/>
      <c r="L35" s="24"/>
      <c r="M35" s="24"/>
      <c r="Y35">
        <f>_xlfn.MINIFS(LRV[lrv_ave],LRV[unitprocess],$A$3,LRV[source],$C35,LRV[mo_type],Y$26)</f>
        <v>0</v>
      </c>
      <c r="Z35">
        <f>_xlfn.MAXIFS(LRV[lrv_ave],LRV[unitprocess],$A$3,LRV[source],$C35,LRV[mo_type],Z$26)</f>
        <v>0</v>
      </c>
      <c r="AC35">
        <f>_xlfn.MINIFS(LRV[lrv_ave],LRV[unitprocess],$A$3,LRV[source],$C35,LRV[mo_type],AC$26)</f>
        <v>0</v>
      </c>
      <c r="AD35">
        <f>_xlfn.MAXIFS(LRV[lrv_ave],LRV[unitprocess],$A$3,LRV[source],$C35,LRV[mo_type],AD$26)</f>
        <v>0</v>
      </c>
      <c r="AG35">
        <f>_xlfn.MINIFS(LRV[lrv_ave],LRV[unitprocess],$A$3,LRV[source],$C35,LRV[mo_type],AG$26)</f>
        <v>1</v>
      </c>
      <c r="AH35">
        <f>_xlfn.MAXIFS(LRV[lrv_ave],LRV[unitprocess],$A$3,LRV[source],$C35,LRV[mo_type],AH$26)</f>
        <v>1.9000000000000001</v>
      </c>
      <c r="AL35">
        <v>14</v>
      </c>
      <c r="AM35" cm="1">
        <f t="array" aca="1" ref="AM35" ca="1">_xlfn.XLOOKUP($AL35,LRC[id],INDIRECT("LRC["&amp;AM$21&amp;"]"))</f>
        <v>17</v>
      </c>
      <c r="AN35" cm="1">
        <f t="array" aca="1" ref="AN35" ca="1">_xlfn.XLOOKUP($AL35,LRC[id],INDIRECT("LRC["&amp;AN$21&amp;"]"))</f>
        <v>2</v>
      </c>
      <c r="AP35">
        <v>304</v>
      </c>
      <c r="AQ35" cm="1">
        <f t="array" aca="1" ref="AQ35" ca="1">_xlfn.XLOOKUP($AP35,LRV[id],INDIRECT("LRV["&amp;AQ$21&amp;"]"))</f>
        <v>5.44</v>
      </c>
      <c r="AR35" cm="1">
        <f t="array" aca="1" ref="AR35" ca="1">_xlfn.XLOOKUP($AP35,LRV[id],INDIRECT("LRV["&amp;AR$21&amp;"]"))</f>
        <v>4</v>
      </c>
      <c r="BC35">
        <v>314</v>
      </c>
      <c r="BD35" cm="1">
        <f t="array" aca="1" ref="BD35" ca="1">_xlfn.XLOOKUP($BC35,LRC[id],INDIRECT("LRC["&amp;BD$21&amp;"]"))</f>
        <v>17</v>
      </c>
      <c r="BE35" cm="1">
        <f t="array" aca="1" ref="BE35" ca="1">_xlfn.XLOOKUP($BC35,LRC[id],INDIRECT("LRC["&amp;BE$21&amp;"]"))</f>
        <v>2</v>
      </c>
      <c r="BG35">
        <v>515</v>
      </c>
      <c r="BH35" cm="1">
        <f t="array" aca="1" ref="BH35" ca="1">_xlfn.XLOOKUP($BG35,LRV[id],INDIRECT("LRV["&amp;BH$21&amp;"]"))</f>
        <v>0</v>
      </c>
      <c r="BI35" cm="1">
        <f t="array" aca="1" ref="BI35" ca="1">_xlfn.XLOOKUP($BG35,LRV[id],INDIRECT("LRV["&amp;BI$21&amp;"]"))</f>
        <v>1.1383026981662816</v>
      </c>
    </row>
    <row r="36" spans="2:62" x14ac:dyDescent="0.3">
      <c r="C36" s="19" t="str">
        <v>Friedler et al., 2005</v>
      </c>
      <c r="D36" s="19"/>
      <c r="E36" s="19"/>
      <c r="F36" s="19"/>
      <c r="J36" s="49">
        <f ca="1"/>
        <v>17</v>
      </c>
      <c r="K36" s="24"/>
      <c r="L36" s="24"/>
      <c r="M36" s="24"/>
      <c r="N36" s="24"/>
      <c r="O36" s="24"/>
      <c r="Y36">
        <f>_xlfn.MINIFS(LRV[lrv_ave],LRV[unitprocess],$A$3,LRV[source],$C36,LRV[mo_type],Y$26)</f>
        <v>0</v>
      </c>
      <c r="Z36">
        <f>_xlfn.MAXIFS(LRV[lrv_ave],LRV[unitprocess],$A$3,LRV[source],$C36,LRV[mo_type],Z$26)</f>
        <v>0</v>
      </c>
      <c r="AC36">
        <f>_xlfn.MINIFS(LRV[lrv_ave],LRV[unitprocess],$A$3,LRV[source],$C36,LRV[mo_type],AC$26)</f>
        <v>0</v>
      </c>
      <c r="AD36">
        <f>_xlfn.MAXIFS(LRV[lrv_ave],LRV[unitprocess],$A$3,LRV[source],$C36,LRV[mo_type],AD$26)</f>
        <v>0</v>
      </c>
      <c r="AG36">
        <f>_xlfn.MINIFS(LRV[lrv_ave],LRV[unitprocess],$A$3,LRV[source],$C36,LRV[mo_type],AG$26)</f>
        <v>4.7</v>
      </c>
      <c r="AH36">
        <f>_xlfn.MAXIFS(LRV[lrv_ave],LRV[unitprocess],$A$3,LRV[source],$C36,LRV[mo_type],AH$26)</f>
        <v>4.7</v>
      </c>
      <c r="AL36">
        <v>15</v>
      </c>
      <c r="AM36" cm="1">
        <f t="array" aca="1" ref="AM36" ca="1">_xlfn.XLOOKUP($AL36,LRC[id],INDIRECT("LRC["&amp;AM$21&amp;"]"))</f>
        <v>23</v>
      </c>
      <c r="AN36" cm="1">
        <f t="array" aca="1" ref="AN36" ca="1">_xlfn.XLOOKUP($AL36,LRC[id],INDIRECT("LRC["&amp;AN$21&amp;"]"))</f>
        <v>3</v>
      </c>
      <c r="AP36">
        <v>305</v>
      </c>
      <c r="AQ36" cm="1">
        <f t="array" aca="1" ref="AQ36" ca="1">_xlfn.XLOOKUP($AP36,LRV[id],INDIRECT("LRV["&amp;AQ$21&amp;"]"))</f>
        <v>2.13</v>
      </c>
      <c r="AR36" cm="1">
        <f t="array" aca="1" ref="AR36" ca="1">_xlfn.XLOOKUP($AP36,LRV[id],INDIRECT("LRV["&amp;AR$21&amp;"]"))</f>
        <v>1</v>
      </c>
      <c r="BC36">
        <v>315</v>
      </c>
      <c r="BD36" cm="1">
        <f t="array" aca="1" ref="BD36" ca="1">_xlfn.XLOOKUP($BC36,LRC[id],INDIRECT("LRC["&amp;BD$21&amp;"]"))</f>
        <v>23</v>
      </c>
      <c r="BE36" cm="1">
        <f t="array" aca="1" ref="BE36" ca="1">_xlfn.XLOOKUP($BC36,LRC[id],INDIRECT("LRC["&amp;BE$21&amp;"]"))</f>
        <v>3</v>
      </c>
      <c r="BG36">
        <v>516</v>
      </c>
      <c r="BH36" cm="1">
        <f t="array" aca="1" ref="BH36" ca="1">_xlfn.XLOOKUP($BG36,LRV[id],INDIRECT("LRV["&amp;BH$21&amp;"]"))</f>
        <v>0</v>
      </c>
      <c r="BI36" cm="1">
        <f t="array" aca="1" ref="BI36" ca="1">_xlfn.XLOOKUP($BG36,LRV[id],INDIRECT("LRV["&amp;BI$21&amp;"]"))</f>
        <v>1.5740312677277191</v>
      </c>
    </row>
    <row r="37" spans="2:62" x14ac:dyDescent="0.3">
      <c r="C37" t="str">
        <v>Friedler et al., 2006</v>
      </c>
      <c r="J37" s="49">
        <f ca="1"/>
        <v>18</v>
      </c>
      <c r="K37" s="24"/>
      <c r="L37" s="24"/>
      <c r="M37" s="24"/>
      <c r="AL37">
        <v>16</v>
      </c>
      <c r="AM37" cm="1">
        <f t="array" aca="1" ref="AM37" ca="1">_xlfn.XLOOKUP($AL37,LRC[id],INDIRECT("LRC["&amp;AM$21&amp;"]"))</f>
        <v>29</v>
      </c>
      <c r="AN37" cm="1">
        <f t="array" aca="1" ref="AN37" ca="1">_xlfn.XLOOKUP($AL37,LRC[id],INDIRECT("LRC["&amp;AN$21&amp;"]"))</f>
        <v>4</v>
      </c>
      <c r="AP37">
        <v>306</v>
      </c>
      <c r="AQ37" cm="1">
        <f t="array" aca="1" ref="AQ37" ca="1">_xlfn.XLOOKUP($AP37,LRV[id],INDIRECT("LRV["&amp;AQ$21&amp;"]"))</f>
        <v>3.37</v>
      </c>
      <c r="AR37" cm="1">
        <f t="array" aca="1" ref="AR37" ca="1">_xlfn.XLOOKUP($AP37,LRV[id],INDIRECT("LRV["&amp;AR$21&amp;"]"))</f>
        <v>2</v>
      </c>
      <c r="BC37">
        <v>316</v>
      </c>
      <c r="BD37" cm="1">
        <f t="array" aca="1" ref="BD37" ca="1">_xlfn.XLOOKUP($BC37,LRC[id],INDIRECT("LRC["&amp;BD$21&amp;"]"))</f>
        <v>29</v>
      </c>
      <c r="BE37" cm="1">
        <f t="array" aca="1" ref="BE37" ca="1">_xlfn.XLOOKUP($BC37,LRC[id],INDIRECT("LRC["&amp;BE$21&amp;"]"))</f>
        <v>4</v>
      </c>
      <c r="BG37">
        <v>776</v>
      </c>
      <c r="BH37" cm="1">
        <f t="array" aca="1" ref="BH37" ca="1">_xlfn.XLOOKUP($BG37,LRV[id],INDIRECT("LRV["&amp;BH$21&amp;"]"))</f>
        <v>120</v>
      </c>
      <c r="BI37" cm="1">
        <f t="array" aca="1" ref="BI37" ca="1">_xlfn.XLOOKUP($BG37,LRV[id],INDIRECT("LRV["&amp;BI$21&amp;"]"))</f>
        <v>2.69</v>
      </c>
    </row>
    <row r="38" spans="2:62" x14ac:dyDescent="0.3">
      <c r="C38" t="str">
        <v>Winward et al., 2008b</v>
      </c>
      <c r="J38" s="49">
        <f ca="1"/>
        <v>19</v>
      </c>
      <c r="K38" s="24"/>
      <c r="L38" s="24"/>
      <c r="M38" s="24"/>
      <c r="AL38">
        <v>17</v>
      </c>
      <c r="AM38" cm="1">
        <f t="array" aca="1" ref="AM38" ca="1">_xlfn.XLOOKUP($AL38,LRC[id],INDIRECT("LRC["&amp;AM$21&amp;"]"))</f>
        <v>13</v>
      </c>
      <c r="AN38" cm="1">
        <f t="array" aca="1" ref="AN38" ca="1">_xlfn.XLOOKUP($AL38,LRC[id],INDIRECT("LRC["&amp;AN$21&amp;"]"))</f>
        <v>1</v>
      </c>
      <c r="AP38">
        <v>307</v>
      </c>
      <c r="AQ38" cm="1">
        <f t="array" aca="1" ref="AQ38" ca="1">_xlfn.XLOOKUP($AP38,LRV[id],INDIRECT("LRV["&amp;AQ$21&amp;"]"))</f>
        <v>4.75</v>
      </c>
      <c r="AR38" cm="1">
        <f t="array" aca="1" ref="AR38" ca="1">_xlfn.XLOOKUP($AP38,LRV[id],INDIRECT("LRV["&amp;AR$21&amp;"]"))</f>
        <v>3</v>
      </c>
      <c r="BC38">
        <v>317</v>
      </c>
      <c r="BD38" cm="1">
        <f t="array" aca="1" ref="BD38" ca="1">_xlfn.XLOOKUP($BC38,LRC[id],INDIRECT("LRC["&amp;BD$21&amp;"]"))</f>
        <v>13</v>
      </c>
      <c r="BE38" cm="1">
        <f t="array" aca="1" ref="BE38" ca="1">_xlfn.XLOOKUP($BC38,LRC[id],INDIRECT("LRC["&amp;BE$21&amp;"]"))</f>
        <v>1</v>
      </c>
      <c r="BG38">
        <v>777</v>
      </c>
      <c r="BH38" cm="1">
        <f t="array" aca="1" ref="BH38" ca="1">_xlfn.XLOOKUP($BG38,LRV[id],INDIRECT("LRV["&amp;BH$21&amp;"]"))</f>
        <v>180</v>
      </c>
      <c r="BI38" cm="1">
        <f t="array" aca="1" ref="BI38" ca="1">_xlfn.XLOOKUP($BG38,LRV[id],INDIRECT("LRV["&amp;BI$21&amp;"]"))</f>
        <v>0.28000000000000003</v>
      </c>
    </row>
    <row r="39" spans="2:62" s="24" customFormat="1" x14ac:dyDescent="0.3">
      <c r="B39"/>
      <c r="G39"/>
      <c r="H39" s="36"/>
      <c r="J39" s="49">
        <f ca="1"/>
        <v>20</v>
      </c>
      <c r="N39"/>
      <c r="O39"/>
      <c r="U39"/>
      <c r="V39" s="36"/>
      <c r="AJ39" s="36"/>
      <c r="AK39"/>
      <c r="AL39">
        <v>18</v>
      </c>
      <c r="AM39" cm="1">
        <f t="array" aca="1" ref="AM39" ca="1">_xlfn.XLOOKUP($AL39,LRC[id],INDIRECT("LRC["&amp;AM$21&amp;"]"))</f>
        <v>20</v>
      </c>
      <c r="AN39" cm="1">
        <f t="array" aca="1" ref="AN39" ca="1">_xlfn.XLOOKUP($AL39,LRC[id],INDIRECT("LRC["&amp;AN$21&amp;"]"))</f>
        <v>2</v>
      </c>
      <c r="AO39"/>
      <c r="AP39">
        <v>308</v>
      </c>
      <c r="AQ39" cm="1">
        <f t="array" aca="1" ref="AQ39" ca="1">_xlfn.XLOOKUP($AP39,LRV[id],INDIRECT("LRV["&amp;AQ$21&amp;"]"))</f>
        <v>5.46</v>
      </c>
      <c r="AR39" cm="1">
        <f t="array" aca="1" ref="AR39" ca="1">_xlfn.XLOOKUP($AP39,LRV[id],INDIRECT("LRV["&amp;AR$21&amp;"]"))</f>
        <v>4</v>
      </c>
      <c r="AS39"/>
      <c r="AT39"/>
      <c r="AU39"/>
      <c r="AV39"/>
      <c r="AW39"/>
      <c r="AX39"/>
      <c r="AY39"/>
      <c r="AZ39"/>
      <c r="BA39"/>
      <c r="BB39"/>
      <c r="BC39">
        <v>318</v>
      </c>
      <c r="BD39" cm="1">
        <f t="array" aca="1" ref="BD39" ca="1">_xlfn.XLOOKUP($BC39,LRC[id],INDIRECT("LRC["&amp;BD$21&amp;"]"))</f>
        <v>20</v>
      </c>
      <c r="BE39" cm="1">
        <f t="array" aca="1" ref="BE39" ca="1">_xlfn.XLOOKUP($BC39,LRC[id],INDIRECT("LRC["&amp;BE$21&amp;"]"))</f>
        <v>2</v>
      </c>
      <c r="BF39"/>
      <c r="BG39">
        <v>778</v>
      </c>
      <c r="BH39" cm="1">
        <f t="array" aca="1" ref="BH39" ca="1">_xlfn.XLOOKUP($BG39,LRV[id],INDIRECT("LRV["&amp;BH$21&amp;"]"))</f>
        <v>180</v>
      </c>
      <c r="BI39" cm="1">
        <f t="array" aca="1" ref="BI39" ca="1">_xlfn.XLOOKUP($BG39,LRV[id],INDIRECT("LRV["&amp;BI$21&amp;"]"))</f>
        <v>0.44</v>
      </c>
      <c r="BJ39"/>
    </row>
    <row r="40" spans="2:62" x14ac:dyDescent="0.3">
      <c r="B40" s="24"/>
      <c r="G40" s="24"/>
      <c r="H40" s="40"/>
      <c r="J40" s="49">
        <f ca="1"/>
        <v>21</v>
      </c>
      <c r="K40" s="24"/>
      <c r="L40" s="24"/>
      <c r="M40" s="24"/>
      <c r="U40" s="24"/>
      <c r="V40" s="40"/>
      <c r="AJ40" s="40"/>
      <c r="AL40">
        <v>19</v>
      </c>
      <c r="AM40" cm="1">
        <f t="array" aca="1" ref="AM40" ca="1">_xlfn.XLOOKUP($AL40,LRC[id],INDIRECT("LRC["&amp;AM$21&amp;"]"))</f>
        <v>28</v>
      </c>
      <c r="AN40" cm="1">
        <f t="array" aca="1" ref="AN40" ca="1">_xlfn.XLOOKUP($AL40,LRC[id],INDIRECT("LRC["&amp;AN$21&amp;"]"))</f>
        <v>3</v>
      </c>
      <c r="AP40">
        <v>309</v>
      </c>
      <c r="AQ40" cm="1">
        <f t="array" aca="1" ref="AQ40" ca="1">_xlfn.XLOOKUP($AP40,LRV[id],INDIRECT("LRV["&amp;AQ$21&amp;"]"))</f>
        <v>2.2400000000000002</v>
      </c>
      <c r="AR40" cm="1">
        <f t="array" aca="1" ref="AR40" ca="1">_xlfn.XLOOKUP($AP40,LRV[id],INDIRECT("LRV["&amp;AR$21&amp;"]"))</f>
        <v>1</v>
      </c>
      <c r="BC40">
        <v>319</v>
      </c>
      <c r="BD40" cm="1">
        <f t="array" aca="1" ref="BD40" ca="1">_xlfn.XLOOKUP($BC40,LRC[id],INDIRECT("LRC["&amp;BD$21&amp;"]"))</f>
        <v>28</v>
      </c>
      <c r="BE40" cm="1">
        <f t="array" aca="1" ref="BE40" ca="1">_xlfn.XLOOKUP($BC40,LRC[id],INDIRECT("LRC["&amp;BE$21&amp;"]"))</f>
        <v>3</v>
      </c>
      <c r="BF40" s="24"/>
      <c r="BG40" s="24">
        <v>891</v>
      </c>
      <c r="BH40" s="24"/>
      <c r="BI40" s="24"/>
      <c r="BJ40" s="24"/>
    </row>
    <row r="41" spans="2:62" x14ac:dyDescent="0.3">
      <c r="J41" s="49">
        <f ca="1"/>
        <v>22</v>
      </c>
      <c r="K41" s="24"/>
      <c r="L41" s="24"/>
      <c r="M41" s="24"/>
      <c r="AK41" s="24"/>
      <c r="AL41" s="24">
        <v>20</v>
      </c>
      <c r="AM41" cm="1">
        <f t="array" aca="1" ref="AM41" ca="1">_xlfn.XLOOKUP($AL41,LRC[id],INDIRECT("LRC["&amp;AM$21&amp;"]"))</f>
        <v>35</v>
      </c>
      <c r="AN41" cm="1">
        <f t="array" aca="1" ref="AN41" ca="1">_xlfn.XLOOKUP($AL41,LRC[id],INDIRECT("LRC["&amp;AN$21&amp;"]"))</f>
        <v>4</v>
      </c>
      <c r="AP41">
        <v>310</v>
      </c>
      <c r="AQ41" cm="1">
        <f t="array" aca="1" ref="AQ41" ca="1">_xlfn.XLOOKUP($AP41,LRV[id],INDIRECT("LRV["&amp;AQ$21&amp;"]"))</f>
        <v>3.71</v>
      </c>
      <c r="AR41" cm="1">
        <f t="array" aca="1" ref="AR41" ca="1">_xlfn.XLOOKUP($AP41,LRV[id],INDIRECT("LRV["&amp;AR$21&amp;"]"))</f>
        <v>2</v>
      </c>
      <c r="AS41" s="24"/>
      <c r="AU41" s="24"/>
      <c r="AV41" s="24"/>
      <c r="AW41" s="24"/>
      <c r="AX41" s="24"/>
      <c r="AY41" s="24"/>
      <c r="AZ41" s="24"/>
      <c r="BA41" s="24"/>
      <c r="BB41" s="24"/>
      <c r="BC41" s="24">
        <v>320</v>
      </c>
      <c r="BD41" cm="1">
        <f t="array" aca="1" ref="BD41" ca="1">_xlfn.XLOOKUP($BC41,LRC[id],INDIRECT("LRC["&amp;BD$21&amp;"]"))</f>
        <v>35</v>
      </c>
      <c r="BE41" cm="1">
        <f t="array" aca="1" ref="BE41" ca="1">_xlfn.XLOOKUP($BC41,LRC[id],INDIRECT("LRC["&amp;BE$21&amp;"]"))</f>
        <v>4</v>
      </c>
      <c r="BG41">
        <v>892</v>
      </c>
    </row>
    <row r="42" spans="2:62" x14ac:dyDescent="0.3">
      <c r="J42" s="49">
        <f ca="1"/>
        <v>23</v>
      </c>
      <c r="K42" s="24"/>
      <c r="L42" s="24"/>
      <c r="M42" s="24"/>
      <c r="AL42">
        <v>21</v>
      </c>
      <c r="AM42" cm="1">
        <f t="array" aca="1" ref="AM42" ca="1">_xlfn.XLOOKUP($AL42,LRC[id],INDIRECT("LRC["&amp;AM$21&amp;"]"))</f>
        <v>3</v>
      </c>
      <c r="AN42" cm="1">
        <f t="array" aca="1" ref="AN42" ca="1">_xlfn.XLOOKUP($AL42,LRC[id],INDIRECT("LRC["&amp;AN$21&amp;"]"))</f>
        <v>1</v>
      </c>
      <c r="AP42">
        <v>311</v>
      </c>
      <c r="AQ42" cm="1">
        <f t="array" aca="1" ref="AQ42" ca="1">_xlfn.XLOOKUP($AP42,LRV[id],INDIRECT("LRV["&amp;AQ$21&amp;"]"))</f>
        <v>4.88</v>
      </c>
      <c r="AR42" cm="1">
        <f t="array" aca="1" ref="AR42" ca="1">_xlfn.XLOOKUP($AP42,LRV[id],INDIRECT("LRV["&amp;AR$21&amp;"]"))</f>
        <v>3</v>
      </c>
      <c r="BC42">
        <v>321</v>
      </c>
      <c r="BD42" cm="1">
        <f t="array" aca="1" ref="BD42" ca="1">_xlfn.XLOOKUP($BC42,LRC[id],INDIRECT("LRC["&amp;BD$21&amp;"]"))</f>
        <v>3</v>
      </c>
      <c r="BE42" cm="1">
        <f t="array" aca="1" ref="BE42" ca="1">_xlfn.XLOOKUP($BC42,LRC[id],INDIRECT("LRC["&amp;BE$21&amp;"]"))</f>
        <v>1</v>
      </c>
      <c r="BG42">
        <v>893</v>
      </c>
    </row>
    <row r="43" spans="2:62" x14ac:dyDescent="0.3">
      <c r="J43" s="49">
        <f ca="1"/>
        <v>25</v>
      </c>
      <c r="K43" s="24"/>
      <c r="L43" s="24"/>
      <c r="M43" s="24"/>
      <c r="AL43">
        <v>22</v>
      </c>
      <c r="AM43" cm="1">
        <f t="array" aca="1" ref="AM43" ca="1">_xlfn.XLOOKUP($AL43,LRC[id],INDIRECT("LRC["&amp;AM$21&amp;"]"))</f>
        <v>4</v>
      </c>
      <c r="AN43" cm="1">
        <f t="array" aca="1" ref="AN43" ca="1">_xlfn.XLOOKUP($AL43,LRC[id],INDIRECT("LRC["&amp;AN$21&amp;"]"))</f>
        <v>2</v>
      </c>
      <c r="AP43">
        <v>312</v>
      </c>
      <c r="AQ43" cm="1">
        <f t="array" aca="1" ref="AQ43" ca="1">_xlfn.XLOOKUP($AP43,LRV[id],INDIRECT("LRV["&amp;AQ$21&amp;"]"))</f>
        <v>5.99</v>
      </c>
      <c r="AR43" cm="1">
        <f t="array" aca="1" ref="AR43" ca="1">_xlfn.XLOOKUP($AP43,LRV[id],INDIRECT("LRV["&amp;AR$21&amp;"]"))</f>
        <v>4</v>
      </c>
      <c r="BC43">
        <v>322</v>
      </c>
      <c r="BD43" cm="1">
        <f t="array" aca="1" ref="BD43" ca="1">_xlfn.XLOOKUP($BC43,LRC[id],INDIRECT("LRC["&amp;BD$21&amp;"]"))</f>
        <v>4</v>
      </c>
      <c r="BE43" cm="1">
        <f t="array" aca="1" ref="BE43" ca="1">_xlfn.XLOOKUP($BC43,LRC[id],INDIRECT("LRC["&amp;BE$21&amp;"]"))</f>
        <v>2</v>
      </c>
      <c r="BG43">
        <v>894</v>
      </c>
    </row>
    <row r="44" spans="2:62" x14ac:dyDescent="0.3">
      <c r="J44" s="49">
        <f ca="1"/>
        <v>26</v>
      </c>
      <c r="K44" s="24"/>
      <c r="L44" s="24"/>
      <c r="M44" s="24"/>
      <c r="AL44">
        <v>23</v>
      </c>
      <c r="AM44" cm="1">
        <f t="array" aca="1" ref="AM44" ca="1">_xlfn.XLOOKUP($AL44,LRC[id],INDIRECT("LRC["&amp;AM$21&amp;"]"))</f>
        <v>5</v>
      </c>
      <c r="AN44" cm="1">
        <f t="array" aca="1" ref="AN44" ca="1">_xlfn.XLOOKUP($AL44,LRC[id],INDIRECT("LRC["&amp;AN$21&amp;"]"))</f>
        <v>3</v>
      </c>
      <c r="AP44">
        <v>313</v>
      </c>
      <c r="AQ44" cm="1">
        <f t="array" aca="1" ref="AQ44" ca="1">_xlfn.XLOOKUP($AP44,LRV[id],INDIRECT("LRV["&amp;AQ$21&amp;"]"))</f>
        <v>2.5499999999999998</v>
      </c>
      <c r="AR44" cm="1">
        <f t="array" aca="1" ref="AR44" ca="1">_xlfn.XLOOKUP($AP44,LRV[id],INDIRECT("LRV["&amp;AR$21&amp;"]"))</f>
        <v>1</v>
      </c>
      <c r="BC44">
        <v>323</v>
      </c>
      <c r="BD44" cm="1">
        <f t="array" aca="1" ref="BD44" ca="1">_xlfn.XLOOKUP($BC44,LRC[id],INDIRECT("LRC["&amp;BD$21&amp;"]"))</f>
        <v>5</v>
      </c>
      <c r="BE44" cm="1">
        <f t="array" aca="1" ref="BE44" ca="1">_xlfn.XLOOKUP($BC44,LRC[id],INDIRECT("LRC["&amp;BE$21&amp;"]"))</f>
        <v>3</v>
      </c>
      <c r="BG44">
        <v>895</v>
      </c>
    </row>
    <row r="45" spans="2:62" x14ac:dyDescent="0.3">
      <c r="J45" s="49">
        <f ca="1"/>
        <v>27</v>
      </c>
      <c r="K45" s="24"/>
      <c r="L45" s="24"/>
      <c r="M45" s="24"/>
      <c r="AL45">
        <v>24</v>
      </c>
      <c r="AM45" cm="1">
        <f t="array" aca="1" ref="AM45" ca="1">_xlfn.XLOOKUP($AL45,LRC[id],INDIRECT("LRC["&amp;AM$21&amp;"]"))</f>
        <v>6</v>
      </c>
      <c r="AN45" cm="1">
        <f t="array" aca="1" ref="AN45" ca="1">_xlfn.XLOOKUP($AL45,LRC[id],INDIRECT("LRC["&amp;AN$21&amp;"]"))</f>
        <v>4</v>
      </c>
      <c r="AP45">
        <v>314</v>
      </c>
      <c r="AQ45" cm="1">
        <f t="array" aca="1" ref="AQ45" ca="1">_xlfn.XLOOKUP($AP45,LRV[id],INDIRECT("LRV["&amp;AQ$21&amp;"]"))</f>
        <v>5.95</v>
      </c>
      <c r="AR45" cm="1">
        <f t="array" aca="1" ref="AR45" ca="1">_xlfn.XLOOKUP($AP45,LRV[id],INDIRECT("LRV["&amp;AR$21&amp;"]"))</f>
        <v>2</v>
      </c>
      <c r="BC45">
        <v>324</v>
      </c>
      <c r="BD45" cm="1">
        <f t="array" aca="1" ref="BD45" ca="1">_xlfn.XLOOKUP($BC45,LRC[id],INDIRECT("LRC["&amp;BD$21&amp;"]"))</f>
        <v>6</v>
      </c>
      <c r="BE45" cm="1">
        <f t="array" aca="1" ref="BE45" ca="1">_xlfn.XLOOKUP($BC45,LRC[id],INDIRECT("LRC["&amp;BE$21&amp;"]"))</f>
        <v>4</v>
      </c>
      <c r="BG45">
        <v>896</v>
      </c>
    </row>
    <row r="46" spans="2:62" x14ac:dyDescent="0.3">
      <c r="J46" s="49">
        <f ca="1"/>
        <v>28</v>
      </c>
      <c r="K46" s="24"/>
      <c r="L46" s="24"/>
      <c r="M46" s="24"/>
      <c r="AL46">
        <v>25</v>
      </c>
      <c r="AM46" cm="1">
        <f t="array" aca="1" ref="AM46" ca="1">_xlfn.XLOOKUP($AL46,LRC[id],INDIRECT("LRC["&amp;AM$21&amp;"]"))</f>
        <v>5</v>
      </c>
      <c r="AN46" cm="1">
        <f t="array" aca="1" ref="AN46" ca="1">_xlfn.XLOOKUP($AL46,LRC[id],INDIRECT("LRC["&amp;AN$21&amp;"]"))</f>
        <v>1</v>
      </c>
      <c r="AP46">
        <v>315</v>
      </c>
      <c r="AQ46" cm="1">
        <f t="array" aca="1" ref="AQ46" ca="1">_xlfn.XLOOKUP($AP46,LRV[id],INDIRECT("LRV["&amp;AQ$21&amp;"]"))</f>
        <v>16.47</v>
      </c>
      <c r="AR46" cm="1">
        <f t="array" aca="1" ref="AR46" ca="1">_xlfn.XLOOKUP($AP46,LRV[id],INDIRECT("LRV["&amp;AR$21&amp;"]"))</f>
        <v>3</v>
      </c>
      <c r="BC46">
        <v>325</v>
      </c>
      <c r="BD46" cm="1">
        <f t="array" aca="1" ref="BD46" ca="1">_xlfn.XLOOKUP($BC46,LRC[id],INDIRECT("LRC["&amp;BD$21&amp;"]"))</f>
        <v>5</v>
      </c>
      <c r="BE46" cm="1">
        <f t="array" aca="1" ref="BE46" ca="1">_xlfn.XLOOKUP($BC46,LRC[id],INDIRECT("LRC["&amp;BE$21&amp;"]"))</f>
        <v>1</v>
      </c>
      <c r="BG46">
        <v>897</v>
      </c>
    </row>
    <row r="47" spans="2:62" x14ac:dyDescent="0.3">
      <c r="J47" s="49">
        <f ca="1"/>
        <v>29</v>
      </c>
      <c r="K47" s="24"/>
      <c r="L47" s="24"/>
      <c r="M47" s="24"/>
      <c r="AL47">
        <v>26</v>
      </c>
      <c r="AM47" cm="1">
        <f t="array" aca="1" ref="AM47" ca="1">_xlfn.XLOOKUP($AL47,LRC[id],INDIRECT("LRC["&amp;AM$21&amp;"]"))</f>
        <v>7</v>
      </c>
      <c r="AN47" cm="1">
        <f t="array" aca="1" ref="AN47" ca="1">_xlfn.XLOOKUP($AL47,LRC[id],INDIRECT("LRC["&amp;AN$21&amp;"]"))</f>
        <v>2</v>
      </c>
      <c r="AP47">
        <v>316</v>
      </c>
      <c r="AQ47" cm="1">
        <f t="array" aca="1" ref="AQ47" ca="1">_xlfn.XLOOKUP($AP47,LRV[id],INDIRECT("LRV["&amp;AQ$21&amp;"]"))</f>
        <v>25.81</v>
      </c>
      <c r="AR47" cm="1">
        <f t="array" aca="1" ref="AR47" ca="1">_xlfn.XLOOKUP($AP47,LRV[id],INDIRECT("LRV["&amp;AR$21&amp;"]"))</f>
        <v>4</v>
      </c>
      <c r="BC47">
        <v>326</v>
      </c>
      <c r="BD47" cm="1">
        <f t="array" aca="1" ref="BD47" ca="1">_xlfn.XLOOKUP($BC47,LRC[id],INDIRECT("LRC["&amp;BD$21&amp;"]"))</f>
        <v>7</v>
      </c>
      <c r="BE47" cm="1">
        <f t="array" aca="1" ref="BE47" ca="1">_xlfn.XLOOKUP($BC47,LRC[id],INDIRECT("LRC["&amp;BE$21&amp;"]"))</f>
        <v>2</v>
      </c>
      <c r="BG47">
        <v>898</v>
      </c>
    </row>
    <row r="48" spans="2:62" x14ac:dyDescent="0.3">
      <c r="J48" s="49">
        <f ca="1"/>
        <v>30</v>
      </c>
      <c r="K48" s="24"/>
      <c r="L48" s="24"/>
      <c r="M48" s="24"/>
      <c r="AL48">
        <v>27</v>
      </c>
      <c r="AM48" cm="1">
        <f t="array" aca="1" ref="AM48" ca="1">_xlfn.XLOOKUP($AL48,LRC[id],INDIRECT("LRC["&amp;AM$21&amp;"]"))</f>
        <v>9</v>
      </c>
      <c r="AN48" cm="1">
        <f t="array" aca="1" ref="AN48" ca="1">_xlfn.XLOOKUP($AL48,LRC[id],INDIRECT("LRC["&amp;AN$21&amp;"]"))</f>
        <v>3</v>
      </c>
      <c r="AP48">
        <v>317</v>
      </c>
      <c r="AQ48" cm="1">
        <f t="array" aca="1" ref="AQ48" ca="1">_xlfn.XLOOKUP($AP48,LRV[id],INDIRECT("LRV["&amp;AQ$21&amp;"]"))</f>
        <v>5.72</v>
      </c>
      <c r="AR48" cm="1">
        <f t="array" aca="1" ref="AR48" ca="1">_xlfn.XLOOKUP($AP48,LRV[id],INDIRECT("LRV["&amp;AR$21&amp;"]"))</f>
        <v>1</v>
      </c>
      <c r="BC48">
        <v>327</v>
      </c>
      <c r="BD48" cm="1">
        <f t="array" aca="1" ref="BD48" ca="1">_xlfn.XLOOKUP($BC48,LRC[id],INDIRECT("LRC["&amp;BD$21&amp;"]"))</f>
        <v>9</v>
      </c>
      <c r="BE48" cm="1">
        <f t="array" aca="1" ref="BE48" ca="1">_xlfn.XLOOKUP($BC48,LRC[id],INDIRECT("LRC["&amp;BE$21&amp;"]"))</f>
        <v>3</v>
      </c>
      <c r="BG48">
        <v>899</v>
      </c>
    </row>
    <row r="49" spans="10:59" x14ac:dyDescent="0.3">
      <c r="J49" s="49">
        <f ca="1"/>
        <v>31</v>
      </c>
      <c r="K49" s="24"/>
      <c r="L49" s="24"/>
      <c r="M49" s="24"/>
      <c r="AL49">
        <v>28</v>
      </c>
      <c r="AM49" cm="1">
        <f t="array" aca="1" ref="AM49" ca="1">_xlfn.XLOOKUP($AL49,LRC[id],INDIRECT("LRC["&amp;AM$21&amp;"]"))</f>
        <v>11</v>
      </c>
      <c r="AN49" cm="1">
        <f t="array" aca="1" ref="AN49" ca="1">_xlfn.XLOOKUP($AL49,LRC[id],INDIRECT("LRC["&amp;AN$21&amp;"]"))</f>
        <v>4</v>
      </c>
      <c r="AP49">
        <v>318</v>
      </c>
      <c r="AQ49" cm="1">
        <f t="array" aca="1" ref="AQ49" ca="1">_xlfn.XLOOKUP($AP49,LRV[id],INDIRECT("LRV["&amp;AQ$21&amp;"]"))</f>
        <v>9.6</v>
      </c>
      <c r="AR49" cm="1">
        <f t="array" aca="1" ref="AR49" ca="1">_xlfn.XLOOKUP($AP49,LRV[id],INDIRECT("LRV["&amp;AR$21&amp;"]"))</f>
        <v>2</v>
      </c>
      <c r="BC49">
        <v>328</v>
      </c>
      <c r="BD49" cm="1">
        <f t="array" aca="1" ref="BD49" ca="1">_xlfn.XLOOKUP($BC49,LRC[id],INDIRECT("LRC["&amp;BD$21&amp;"]"))</f>
        <v>11</v>
      </c>
      <c r="BE49" cm="1">
        <f t="array" aca="1" ref="BE49" ca="1">_xlfn.XLOOKUP($BC49,LRC[id],INDIRECT("LRC["&amp;BE$21&amp;"]"))</f>
        <v>4</v>
      </c>
      <c r="BG49">
        <v>900</v>
      </c>
    </row>
    <row r="50" spans="10:59" x14ac:dyDescent="0.3">
      <c r="J50" s="49">
        <f ca="1"/>
        <v>32</v>
      </c>
      <c r="K50" s="24"/>
      <c r="L50" s="24"/>
      <c r="M50" s="24"/>
      <c r="AL50">
        <v>29</v>
      </c>
      <c r="AM50" cm="1">
        <f t="array" aca="1" ref="AM50" ca="1">_xlfn.XLOOKUP($AL50,LRC[id],INDIRECT("LRC["&amp;AM$21&amp;"]"))</f>
        <v>7</v>
      </c>
      <c r="AN50" cm="1">
        <f t="array" aca="1" ref="AN50" ca="1">_xlfn.XLOOKUP($AL50,LRC[id],INDIRECT("LRC["&amp;AN$21&amp;"]"))</f>
        <v>1</v>
      </c>
      <c r="AP50">
        <v>319</v>
      </c>
      <c r="AQ50" cm="1">
        <f t="array" aca="1" ref="AQ50" ca="1">_xlfn.XLOOKUP($AP50,LRV[id],INDIRECT("LRV["&amp;AQ$21&amp;"]"))</f>
        <v>12.8</v>
      </c>
      <c r="AR50" cm="1">
        <f t="array" aca="1" ref="AR50" ca="1">_xlfn.XLOOKUP($AP50,LRV[id],INDIRECT("LRV["&amp;AR$21&amp;"]"))</f>
        <v>3</v>
      </c>
      <c r="BC50">
        <v>329</v>
      </c>
      <c r="BD50" cm="1">
        <f t="array" aca="1" ref="BD50" ca="1">_xlfn.XLOOKUP($BC50,LRC[id],INDIRECT("LRC["&amp;BD$21&amp;"]"))</f>
        <v>7</v>
      </c>
      <c r="BE50" cm="1">
        <f t="array" aca="1" ref="BE50" ca="1">_xlfn.XLOOKUP($BC50,LRC[id],INDIRECT("LRC["&amp;BE$21&amp;"]"))</f>
        <v>1</v>
      </c>
      <c r="BG50">
        <v>901</v>
      </c>
    </row>
    <row r="51" spans="10:59" x14ac:dyDescent="0.3">
      <c r="J51" s="49">
        <f ca="1"/>
        <v>35</v>
      </c>
      <c r="K51" s="24"/>
      <c r="L51" s="24"/>
      <c r="M51" s="24"/>
      <c r="AL51">
        <v>30</v>
      </c>
      <c r="AM51" cm="1">
        <f t="array" aca="1" ref="AM51" ca="1">_xlfn.XLOOKUP($AL51,LRC[id],INDIRECT("LRC["&amp;AM$21&amp;"]"))</f>
        <v>10</v>
      </c>
      <c r="AN51" cm="1">
        <f t="array" aca="1" ref="AN51" ca="1">_xlfn.XLOOKUP($AL51,LRC[id],INDIRECT("LRC["&amp;AN$21&amp;"]"))</f>
        <v>2</v>
      </c>
      <c r="AP51">
        <v>320</v>
      </c>
      <c r="AQ51" cm="1">
        <f t="array" aca="1" ref="AQ51" ca="1">_xlfn.XLOOKUP($AP51,LRV[id],INDIRECT("LRV["&amp;AQ$21&amp;"]"))</f>
        <v>15.49</v>
      </c>
      <c r="AR51" cm="1">
        <f t="array" aca="1" ref="AR51" ca="1">_xlfn.XLOOKUP($AP51,LRV[id],INDIRECT("LRV["&amp;AR$21&amp;"]"))</f>
        <v>4</v>
      </c>
      <c r="BC51">
        <v>330</v>
      </c>
      <c r="BD51" cm="1">
        <f t="array" aca="1" ref="BD51" ca="1">_xlfn.XLOOKUP($BC51,LRC[id],INDIRECT("LRC["&amp;BD$21&amp;"]"))</f>
        <v>10</v>
      </c>
      <c r="BE51" cm="1">
        <f t="array" aca="1" ref="BE51" ca="1">_xlfn.XLOOKUP($BC51,LRC[id],INDIRECT("LRC["&amp;BE$21&amp;"]"))</f>
        <v>2</v>
      </c>
      <c r="BG51">
        <v>902</v>
      </c>
    </row>
    <row r="52" spans="10:59" x14ac:dyDescent="0.3">
      <c r="J52" s="49">
        <f ca="1"/>
        <v>37</v>
      </c>
      <c r="K52" s="24"/>
      <c r="L52" s="24"/>
      <c r="M52" s="24"/>
      <c r="AL52">
        <v>31</v>
      </c>
      <c r="AM52" cm="1">
        <f t="array" aca="1" ref="AM52" ca="1">_xlfn.XLOOKUP($AL52,LRC[id],INDIRECT("LRC["&amp;AM$21&amp;"]"))</f>
        <v>13</v>
      </c>
      <c r="AN52" cm="1">
        <f t="array" aca="1" ref="AN52" ca="1">_xlfn.XLOOKUP($AL52,LRC[id],INDIRECT("LRC["&amp;AN$21&amp;"]"))</f>
        <v>3</v>
      </c>
      <c r="AP52">
        <v>321</v>
      </c>
      <c r="AQ52" cm="1">
        <f t="array" aca="1" ref="AQ52" ca="1">_xlfn.XLOOKUP($AP52,LRV[id],INDIRECT("LRV["&amp;AQ$21&amp;"]"))</f>
        <v>6.67</v>
      </c>
      <c r="AR52" cm="1">
        <f t="array" aca="1" ref="AR52" ca="1">_xlfn.XLOOKUP($AP52,LRV[id],INDIRECT("LRV["&amp;AR$21&amp;"]"))</f>
        <v>1</v>
      </c>
      <c r="BC52">
        <v>331</v>
      </c>
      <c r="BD52" cm="1">
        <f t="array" aca="1" ref="BD52" ca="1">_xlfn.XLOOKUP($BC52,LRC[id],INDIRECT("LRC["&amp;BD$21&amp;"]"))</f>
        <v>13</v>
      </c>
      <c r="BE52" cm="1">
        <f t="array" aca="1" ref="BE52" ca="1">_xlfn.XLOOKUP($BC52,LRC[id],INDIRECT("LRC["&amp;BE$21&amp;"]"))</f>
        <v>3</v>
      </c>
      <c r="BG52">
        <v>903</v>
      </c>
    </row>
    <row r="53" spans="10:59" x14ac:dyDescent="0.3">
      <c r="J53" s="49">
        <f ca="1"/>
        <v>38</v>
      </c>
      <c r="K53" s="24"/>
      <c r="L53" s="24"/>
      <c r="M53" s="24"/>
      <c r="AL53">
        <v>32</v>
      </c>
      <c r="AM53" cm="1">
        <f t="array" aca="1" ref="AM53" ca="1">_xlfn.XLOOKUP($AL53,LRC[id],INDIRECT("LRC["&amp;AM$21&amp;"]"))</f>
        <v>16</v>
      </c>
      <c r="AN53" cm="1">
        <f t="array" aca="1" ref="AN53" ca="1">_xlfn.XLOOKUP($AL53,LRC[id],INDIRECT("LRC["&amp;AN$21&amp;"]"))</f>
        <v>4</v>
      </c>
      <c r="AP53">
        <v>322</v>
      </c>
      <c r="AQ53" cm="1">
        <f t="array" aca="1" ref="AQ53" ca="1">_xlfn.XLOOKUP($AP53,LRV[id],INDIRECT("LRV["&amp;AQ$21&amp;"]"))</f>
        <v>10.32</v>
      </c>
      <c r="AR53" cm="1">
        <f t="array" aca="1" ref="AR53" ca="1">_xlfn.XLOOKUP($AP53,LRV[id],INDIRECT("LRV["&amp;AR$21&amp;"]"))</f>
        <v>2</v>
      </c>
      <c r="BC53">
        <v>332</v>
      </c>
      <c r="BD53" cm="1">
        <f t="array" aca="1" ref="BD53" ca="1">_xlfn.XLOOKUP($BC53,LRC[id],INDIRECT("LRC["&amp;BD$21&amp;"]"))</f>
        <v>16</v>
      </c>
      <c r="BE53" cm="1">
        <f t="array" aca="1" ref="BE53" ca="1">_xlfn.XLOOKUP($BC53,LRC[id],INDIRECT("LRC["&amp;BE$21&amp;"]"))</f>
        <v>4</v>
      </c>
      <c r="BG53">
        <v>904</v>
      </c>
    </row>
    <row r="54" spans="10:59" x14ac:dyDescent="0.3">
      <c r="J54" s="49">
        <f ca="1"/>
        <v>41</v>
      </c>
      <c r="K54" s="24"/>
      <c r="L54" s="24"/>
      <c r="M54" s="24"/>
      <c r="AL54">
        <v>33</v>
      </c>
      <c r="AM54" cm="1">
        <f t="array" aca="1" ref="AM54" ca="1">_xlfn.XLOOKUP($AL54,LRC[id],INDIRECT("LRC["&amp;AM$21&amp;"]"))</f>
        <v>8</v>
      </c>
      <c r="AN54" cm="1">
        <f t="array" aca="1" ref="AN54" ca="1">_xlfn.XLOOKUP($AL54,LRC[id],INDIRECT("LRC["&amp;AN$21&amp;"]"))</f>
        <v>1</v>
      </c>
      <c r="AP54">
        <v>323</v>
      </c>
      <c r="AQ54" cm="1">
        <f t="array" aca="1" ref="AQ54" ca="1">_xlfn.XLOOKUP($AP54,LRV[id],INDIRECT("LRV["&amp;AQ$21&amp;"]"))</f>
        <v>12.9</v>
      </c>
      <c r="AR54" cm="1">
        <f t="array" aca="1" ref="AR54" ca="1">_xlfn.XLOOKUP($AP54,LRV[id],INDIRECT("LRV["&amp;AR$21&amp;"]"))</f>
        <v>3</v>
      </c>
      <c r="BC54">
        <v>333</v>
      </c>
      <c r="BD54" cm="1">
        <f t="array" aca="1" ref="BD54" ca="1">_xlfn.XLOOKUP($BC54,LRC[id],INDIRECT("LRC["&amp;BD$21&amp;"]"))</f>
        <v>8</v>
      </c>
      <c r="BE54" cm="1">
        <f t="array" aca="1" ref="BE54" ca="1">_xlfn.XLOOKUP($BC54,LRC[id],INDIRECT("LRC["&amp;BE$21&amp;"]"))</f>
        <v>1</v>
      </c>
      <c r="BG54">
        <v>905</v>
      </c>
    </row>
    <row r="55" spans="10:59" x14ac:dyDescent="0.3">
      <c r="J55" s="24"/>
      <c r="K55" s="24"/>
      <c r="L55" s="24"/>
      <c r="M55" s="24"/>
      <c r="AL55">
        <v>34</v>
      </c>
      <c r="AM55" cm="1">
        <f t="array" aca="1" ref="AM55" ca="1">_xlfn.XLOOKUP($AL55,LRC[id],INDIRECT("LRC["&amp;AM$21&amp;"]"))</f>
        <v>12</v>
      </c>
      <c r="AN55" cm="1">
        <f t="array" aca="1" ref="AN55" ca="1">_xlfn.XLOOKUP($AL55,LRC[id],INDIRECT("LRC["&amp;AN$21&amp;"]"))</f>
        <v>2</v>
      </c>
      <c r="AP55">
        <v>324</v>
      </c>
      <c r="AQ55" cm="1">
        <f t="array" aca="1" ref="AQ55" ca="1">_xlfn.XLOOKUP($AP55,LRV[id],INDIRECT("LRV["&amp;AQ$21&amp;"]"))</f>
        <v>15.68</v>
      </c>
      <c r="AR55" cm="1">
        <f t="array" aca="1" ref="AR55" ca="1">_xlfn.XLOOKUP($AP55,LRV[id],INDIRECT("LRV["&amp;AR$21&amp;"]"))</f>
        <v>4</v>
      </c>
      <c r="BC55">
        <v>334</v>
      </c>
      <c r="BD55" cm="1">
        <f t="array" aca="1" ref="BD55" ca="1">_xlfn.XLOOKUP($BC55,LRC[id],INDIRECT("LRC["&amp;BD$21&amp;"]"))</f>
        <v>12</v>
      </c>
      <c r="BE55" cm="1">
        <f t="array" aca="1" ref="BE55" ca="1">_xlfn.XLOOKUP($BC55,LRC[id],INDIRECT("LRC["&amp;BE$21&amp;"]"))</f>
        <v>2</v>
      </c>
      <c r="BG55">
        <v>906</v>
      </c>
    </row>
    <row r="56" spans="10:59" x14ac:dyDescent="0.3">
      <c r="J56" s="24"/>
      <c r="K56" s="24"/>
      <c r="L56" s="24"/>
      <c r="M56" s="24"/>
      <c r="AL56">
        <v>35</v>
      </c>
      <c r="AM56" cm="1">
        <f t="array" aca="1" ref="AM56" ca="1">_xlfn.XLOOKUP($AL56,LRC[id],INDIRECT("LRC["&amp;AM$21&amp;"]"))</f>
        <v>16</v>
      </c>
      <c r="AN56" cm="1">
        <f t="array" aca="1" ref="AN56" ca="1">_xlfn.XLOOKUP($AL56,LRC[id],INDIRECT("LRC["&amp;AN$21&amp;"]"))</f>
        <v>3</v>
      </c>
      <c r="AP56">
        <v>325</v>
      </c>
      <c r="AQ56" cm="1">
        <f t="array" aca="1" ref="AQ56" ca="1">_xlfn.XLOOKUP($AP56,LRV[id],INDIRECT("LRV["&amp;AQ$21&amp;"]"))</f>
        <v>7.78</v>
      </c>
      <c r="AR56" cm="1">
        <f t="array" aca="1" ref="AR56" ca="1">_xlfn.XLOOKUP($AP56,LRV[id],INDIRECT("LRV["&amp;AR$21&amp;"]"))</f>
        <v>1</v>
      </c>
      <c r="BC56">
        <v>335</v>
      </c>
      <c r="BD56" cm="1">
        <f t="array" aca="1" ref="BD56" ca="1">_xlfn.XLOOKUP($BC56,LRC[id],INDIRECT("LRC["&amp;BD$21&amp;"]"))</f>
        <v>16</v>
      </c>
      <c r="BE56" cm="1">
        <f t="array" aca="1" ref="BE56" ca="1">_xlfn.XLOOKUP($BC56,LRC[id],INDIRECT("LRC["&amp;BE$21&amp;"]"))</f>
        <v>3</v>
      </c>
      <c r="BG56">
        <v>907</v>
      </c>
    </row>
    <row r="57" spans="10:59" x14ac:dyDescent="0.3">
      <c r="J57" s="24"/>
      <c r="K57" s="24"/>
      <c r="L57" s="24"/>
      <c r="M57" s="24"/>
      <c r="AL57">
        <v>36</v>
      </c>
      <c r="AM57" cm="1">
        <f t="array" aca="1" ref="AM57" ca="1">_xlfn.XLOOKUP($AL57,LRC[id],INDIRECT("LRC["&amp;AM$21&amp;"]"))</f>
        <v>21</v>
      </c>
      <c r="AN57" cm="1">
        <f t="array" aca="1" ref="AN57" ca="1">_xlfn.XLOOKUP($AL57,LRC[id],INDIRECT("LRC["&amp;AN$21&amp;"]"))</f>
        <v>4</v>
      </c>
      <c r="AP57">
        <v>326</v>
      </c>
      <c r="AQ57" cm="1">
        <f t="array" aca="1" ref="AQ57" ca="1">_xlfn.XLOOKUP($AP57,LRV[id],INDIRECT("LRV["&amp;AQ$21&amp;"]"))</f>
        <v>13.16</v>
      </c>
      <c r="AR57" cm="1">
        <f t="array" aca="1" ref="AR57" ca="1">_xlfn.XLOOKUP($AP57,LRV[id],INDIRECT("LRV["&amp;AR$21&amp;"]"))</f>
        <v>2</v>
      </c>
      <c r="BC57">
        <v>336</v>
      </c>
      <c r="BD57" cm="1">
        <f t="array" aca="1" ref="BD57" ca="1">_xlfn.XLOOKUP($BC57,LRC[id],INDIRECT("LRC["&amp;BD$21&amp;"]"))</f>
        <v>21</v>
      </c>
      <c r="BE57" cm="1">
        <f t="array" aca="1" ref="BE57" ca="1">_xlfn.XLOOKUP($BC57,LRC[id],INDIRECT("LRC["&amp;BE$21&amp;"]"))</f>
        <v>4</v>
      </c>
      <c r="BG57">
        <v>918</v>
      </c>
    </row>
    <row r="58" spans="10:59" x14ac:dyDescent="0.3">
      <c r="J58" s="24"/>
      <c r="K58" s="24"/>
      <c r="L58" s="24"/>
      <c r="M58" s="24"/>
      <c r="AL58">
        <v>37</v>
      </c>
      <c r="AM58" cm="1">
        <f t="array" aca="1" ref="AM58" ca="1">_xlfn.XLOOKUP($AL58,LRC[id],INDIRECT("LRC["&amp;AM$21&amp;"]"))</f>
        <v>9</v>
      </c>
      <c r="AN58" cm="1">
        <f t="array" aca="1" ref="AN58" ca="1">_xlfn.XLOOKUP($AL58,LRC[id],INDIRECT("LRC["&amp;AN$21&amp;"]"))</f>
        <v>1</v>
      </c>
      <c r="AP58">
        <v>327</v>
      </c>
      <c r="AQ58" cm="1">
        <f t="array" aca="1" ref="AQ58" ca="1">_xlfn.XLOOKUP($AP58,LRV[id],INDIRECT("LRV["&amp;AQ$21&amp;"]"))</f>
        <v>17.79</v>
      </c>
      <c r="AR58" cm="1">
        <f t="array" aca="1" ref="AR58" ca="1">_xlfn.XLOOKUP($AP58,LRV[id],INDIRECT("LRV["&amp;AR$21&amp;"]"))</f>
        <v>3</v>
      </c>
      <c r="BC58">
        <v>337</v>
      </c>
      <c r="BD58" cm="1">
        <f t="array" aca="1" ref="BD58" ca="1">_xlfn.XLOOKUP($BC58,LRC[id],INDIRECT("LRC["&amp;BD$21&amp;"]"))</f>
        <v>9</v>
      </c>
      <c r="BE58" cm="1">
        <f t="array" aca="1" ref="BE58" ca="1">_xlfn.XLOOKUP($BC58,LRC[id],INDIRECT("LRC["&amp;BE$21&amp;"]"))</f>
        <v>1</v>
      </c>
      <c r="BG58">
        <v>919</v>
      </c>
    </row>
    <row r="59" spans="10:59" x14ac:dyDescent="0.3">
      <c r="J59" s="24"/>
      <c r="K59" s="24"/>
      <c r="L59" s="24"/>
      <c r="M59" s="24"/>
      <c r="AL59">
        <v>38</v>
      </c>
      <c r="AM59" cm="1">
        <f t="array" aca="1" ref="AM59" ca="1">_xlfn.XLOOKUP($AL59,LRC[id],INDIRECT("LRC["&amp;AM$21&amp;"]"))</f>
        <v>14</v>
      </c>
      <c r="AN59" cm="1">
        <f t="array" aca="1" ref="AN59" ca="1">_xlfn.XLOOKUP($AL59,LRC[id],INDIRECT("LRC["&amp;AN$21&amp;"]"))</f>
        <v>2</v>
      </c>
      <c r="AP59">
        <v>328</v>
      </c>
      <c r="AQ59" cm="1">
        <f t="array" aca="1" ref="AQ59" ca="1">_xlfn.XLOOKUP($AP59,LRV[id],INDIRECT("LRV["&amp;AQ$21&amp;"]"))</f>
        <v>21.94</v>
      </c>
      <c r="AR59" cm="1">
        <f t="array" aca="1" ref="AR59" ca="1">_xlfn.XLOOKUP($AP59,LRV[id],INDIRECT("LRV["&amp;AR$21&amp;"]"))</f>
        <v>4</v>
      </c>
      <c r="BC59">
        <v>338</v>
      </c>
      <c r="BD59" cm="1">
        <f t="array" aca="1" ref="BD59" ca="1">_xlfn.XLOOKUP($BC59,LRC[id],INDIRECT("LRC["&amp;BD$21&amp;"]"))</f>
        <v>14</v>
      </c>
      <c r="BE59" cm="1">
        <f t="array" aca="1" ref="BE59" ca="1">_xlfn.XLOOKUP($BC59,LRC[id],INDIRECT("LRC["&amp;BE$21&amp;"]"))</f>
        <v>2</v>
      </c>
      <c r="BG59">
        <v>920</v>
      </c>
    </row>
    <row r="60" spans="10:59" x14ac:dyDescent="0.3">
      <c r="J60" s="24"/>
      <c r="K60" s="24"/>
      <c r="L60" s="24"/>
      <c r="M60" s="24"/>
      <c r="AL60">
        <v>39</v>
      </c>
      <c r="AM60" cm="1">
        <f t="array" aca="1" ref="AM60" ca="1">_xlfn.XLOOKUP($AL60,LRC[id],INDIRECT("LRC["&amp;AM$21&amp;"]"))</f>
        <v>19</v>
      </c>
      <c r="AN60" cm="1">
        <f t="array" aca="1" ref="AN60" ca="1">_xlfn.XLOOKUP($AL60,LRC[id],INDIRECT("LRC["&amp;AN$21&amp;"]"))</f>
        <v>3</v>
      </c>
      <c r="AP60">
        <v>329</v>
      </c>
      <c r="AQ60" cm="1">
        <f t="array" aca="1" ref="AQ60" ca="1">_xlfn.XLOOKUP($AP60,LRV[id],INDIRECT("LRV["&amp;AQ$21&amp;"]"))</f>
        <v>7.99</v>
      </c>
      <c r="AR60" cm="1">
        <f t="array" aca="1" ref="AR60" ca="1">_xlfn.XLOOKUP($AP60,LRV[id],INDIRECT("LRV["&amp;AR$21&amp;"]"))</f>
        <v>1</v>
      </c>
      <c r="BC60">
        <v>339</v>
      </c>
      <c r="BD60" cm="1">
        <f t="array" aca="1" ref="BD60" ca="1">_xlfn.XLOOKUP($BC60,LRC[id],INDIRECT("LRC["&amp;BD$21&amp;"]"))</f>
        <v>19</v>
      </c>
      <c r="BE60" cm="1">
        <f t="array" aca="1" ref="BE60" ca="1">_xlfn.XLOOKUP($BC60,LRC[id],INDIRECT("LRC["&amp;BE$21&amp;"]"))</f>
        <v>3</v>
      </c>
      <c r="BG60">
        <v>921</v>
      </c>
    </row>
    <row r="61" spans="10:59" x14ac:dyDescent="0.3">
      <c r="J61" s="24"/>
      <c r="K61" s="24"/>
      <c r="L61" s="24"/>
      <c r="M61" s="24"/>
      <c r="AL61">
        <v>40</v>
      </c>
      <c r="AM61" cm="1">
        <f t="array" aca="1" ref="AM61" ca="1">_xlfn.XLOOKUP($AL61,LRC[id],INDIRECT("LRC["&amp;AM$21&amp;"]"))</f>
        <v>25</v>
      </c>
      <c r="AN61" cm="1">
        <f t="array" aca="1" ref="AN61" ca="1">_xlfn.XLOOKUP($AL61,LRC[id],INDIRECT("LRC["&amp;AN$21&amp;"]"))</f>
        <v>4</v>
      </c>
      <c r="AP61">
        <v>330</v>
      </c>
      <c r="AQ61" cm="1">
        <f t="array" aca="1" ref="AQ61" ca="1">_xlfn.XLOOKUP($AP61,LRV[id],INDIRECT("LRV["&amp;AQ$21&amp;"]"))</f>
        <v>15.09</v>
      </c>
      <c r="AR61" cm="1">
        <f t="array" aca="1" ref="AR61" ca="1">_xlfn.XLOOKUP($AP61,LRV[id],INDIRECT("LRV["&amp;AR$21&amp;"]"))</f>
        <v>2</v>
      </c>
      <c r="BC61">
        <v>340</v>
      </c>
      <c r="BD61" cm="1">
        <f t="array" aca="1" ref="BD61" ca="1">_xlfn.XLOOKUP($BC61,LRC[id],INDIRECT("LRC["&amp;BD$21&amp;"]"))</f>
        <v>25</v>
      </c>
      <c r="BE61" cm="1">
        <f t="array" aca="1" ref="BE61" ca="1">_xlfn.XLOOKUP($BC61,LRC[id],INDIRECT("LRC["&amp;BE$21&amp;"]"))</f>
        <v>4</v>
      </c>
      <c r="BG61">
        <v>922</v>
      </c>
    </row>
    <row r="62" spans="10:59" x14ac:dyDescent="0.3">
      <c r="J62" s="24"/>
      <c r="K62" s="24"/>
      <c r="L62" s="24"/>
      <c r="M62" s="24"/>
      <c r="AL62">
        <v>41</v>
      </c>
      <c r="AM62" cm="1">
        <f t="array" aca="1" ref="AM62" ca="1">_xlfn.XLOOKUP($AL62,LRC[id],INDIRECT("LRC["&amp;AM$21&amp;"]"))</f>
        <v>2</v>
      </c>
      <c r="AN62" cm="1">
        <f t="array" aca="1" ref="AN62" ca="1">_xlfn.XLOOKUP($AL62,LRC[id],INDIRECT("LRC["&amp;AN$21&amp;"]"))</f>
        <v>1</v>
      </c>
      <c r="AP62">
        <v>331</v>
      </c>
      <c r="AQ62" cm="1">
        <f t="array" aca="1" ref="AQ62" ca="1">_xlfn.XLOOKUP($AP62,LRV[id],INDIRECT("LRV["&amp;AQ$21&amp;"]"))</f>
        <v>24.81</v>
      </c>
      <c r="AR62" cm="1">
        <f t="array" aca="1" ref="AR62" ca="1">_xlfn.XLOOKUP($AP62,LRV[id],INDIRECT("LRV["&amp;AR$21&amp;"]"))</f>
        <v>3</v>
      </c>
      <c r="BC62">
        <v>341</v>
      </c>
      <c r="BD62" cm="1">
        <f t="array" aca="1" ref="BD62" ca="1">_xlfn.XLOOKUP($BC62,LRC[id],INDIRECT("LRC["&amp;BD$21&amp;"]"))</f>
        <v>2</v>
      </c>
      <c r="BE62" cm="1">
        <f t="array" aca="1" ref="BE62" ca="1">_xlfn.XLOOKUP($BC62,LRC[id],INDIRECT("LRC["&amp;BE$21&amp;"]"))</f>
        <v>1</v>
      </c>
      <c r="BG62">
        <v>923</v>
      </c>
    </row>
    <row r="63" spans="10:59" x14ac:dyDescent="0.3">
      <c r="J63" s="24"/>
      <c r="K63" s="24"/>
      <c r="L63" s="24"/>
      <c r="M63" s="24"/>
      <c r="AL63">
        <v>42</v>
      </c>
      <c r="AM63" cm="1">
        <f t="array" aca="1" ref="AM63" ca="1">_xlfn.XLOOKUP($AL63,LRC[id],INDIRECT("LRC["&amp;AM$21&amp;"]"))</f>
        <v>3</v>
      </c>
      <c r="AN63" cm="1">
        <f t="array" aca="1" ref="AN63" ca="1">_xlfn.XLOOKUP($AL63,LRC[id],INDIRECT("LRC["&amp;AN$21&amp;"]"))</f>
        <v>2</v>
      </c>
      <c r="AP63">
        <v>332</v>
      </c>
      <c r="AQ63" cm="1">
        <f t="array" aca="1" ref="AQ63" ca="1">_xlfn.XLOOKUP($AP63,LRV[id],INDIRECT("LRV["&amp;AQ$21&amp;"]"))</f>
        <v>34.520000000000003</v>
      </c>
      <c r="AR63" cm="1">
        <f t="array" aca="1" ref="AR63" ca="1">_xlfn.XLOOKUP($AP63,LRV[id],INDIRECT("LRV["&amp;AR$21&amp;"]"))</f>
        <v>4</v>
      </c>
      <c r="BC63">
        <v>342</v>
      </c>
      <c r="BD63" cm="1">
        <f t="array" aca="1" ref="BD63" ca="1">_xlfn.XLOOKUP($BC63,LRC[id],INDIRECT("LRC["&amp;BD$21&amp;"]"))</f>
        <v>3</v>
      </c>
      <c r="BE63" cm="1">
        <f t="array" aca="1" ref="BE63" ca="1">_xlfn.XLOOKUP($BC63,LRC[id],INDIRECT("LRC["&amp;BE$21&amp;"]"))</f>
        <v>2</v>
      </c>
      <c r="BG63">
        <v>924</v>
      </c>
    </row>
    <row r="64" spans="10:59" x14ac:dyDescent="0.3">
      <c r="J64" s="24"/>
      <c r="K64" s="24"/>
      <c r="L64" s="24"/>
      <c r="M64" s="24"/>
      <c r="AL64">
        <v>43</v>
      </c>
      <c r="AM64" cm="1">
        <f t="array" aca="1" ref="AM64" ca="1">_xlfn.XLOOKUP($AL64,LRC[id],INDIRECT("LRC["&amp;AM$21&amp;"]"))</f>
        <v>4</v>
      </c>
      <c r="AN64" cm="1">
        <f t="array" aca="1" ref="AN64" ca="1">_xlfn.XLOOKUP($AL64,LRC[id],INDIRECT("LRC["&amp;AN$21&amp;"]"))</f>
        <v>3</v>
      </c>
      <c r="AP64">
        <v>333</v>
      </c>
      <c r="AQ64" cm="1">
        <f t="array" aca="1" ref="AQ64" ca="1">_xlfn.XLOOKUP($AP64,LRV[id],INDIRECT("LRV["&amp;AQ$21&amp;"]"))</f>
        <v>8.25</v>
      </c>
      <c r="AR64" cm="1">
        <f t="array" aca="1" ref="AR64" ca="1">_xlfn.XLOOKUP($AP64,LRV[id],INDIRECT("LRV["&amp;AR$21&amp;"]"))</f>
        <v>1</v>
      </c>
      <c r="BC64">
        <v>343</v>
      </c>
      <c r="BD64" cm="1">
        <f t="array" aca="1" ref="BD64" ca="1">_xlfn.XLOOKUP($BC64,LRC[id],INDIRECT("LRC["&amp;BD$21&amp;"]"))</f>
        <v>4</v>
      </c>
      <c r="BE64" cm="1">
        <f t="array" aca="1" ref="BE64" ca="1">_xlfn.XLOOKUP($BC64,LRC[id],INDIRECT("LRC["&amp;BE$21&amp;"]"))</f>
        <v>3</v>
      </c>
      <c r="BG64">
        <v>926</v>
      </c>
    </row>
    <row r="65" spans="10:59" x14ac:dyDescent="0.3">
      <c r="J65" s="24"/>
      <c r="K65" s="24"/>
      <c r="L65" s="24"/>
      <c r="M65" s="24"/>
      <c r="AL65">
        <v>44</v>
      </c>
      <c r="AM65" cm="1">
        <f t="array" aca="1" ref="AM65" ca="1">_xlfn.XLOOKUP($AL65,LRC[id],INDIRECT("LRC["&amp;AM$21&amp;"]"))</f>
        <v>4</v>
      </c>
      <c r="AN65" cm="1">
        <f t="array" aca="1" ref="AN65" ca="1">_xlfn.XLOOKUP($AL65,LRC[id],INDIRECT("LRC["&amp;AN$21&amp;"]"))</f>
        <v>4</v>
      </c>
      <c r="AP65">
        <v>334</v>
      </c>
      <c r="AQ65" cm="1">
        <f t="array" aca="1" ref="AQ65" ca="1">_xlfn.XLOOKUP($AP65,LRV[id],INDIRECT("LRV["&amp;AQ$21&amp;"]"))</f>
        <v>14.06</v>
      </c>
      <c r="AR65" cm="1">
        <f t="array" aca="1" ref="AR65" ca="1">_xlfn.XLOOKUP($AP65,LRV[id],INDIRECT("LRV["&amp;AR$21&amp;"]"))</f>
        <v>2</v>
      </c>
      <c r="BC65">
        <v>344</v>
      </c>
      <c r="BD65" cm="1">
        <f t="array" aca="1" ref="BD65" ca="1">_xlfn.XLOOKUP($BC65,LRC[id],INDIRECT("LRC["&amp;BD$21&amp;"]"))</f>
        <v>4</v>
      </c>
      <c r="BE65" cm="1">
        <f t="array" aca="1" ref="BE65" ca="1">_xlfn.XLOOKUP($BC65,LRC[id],INDIRECT("LRC["&amp;BE$21&amp;"]"))</f>
        <v>4</v>
      </c>
      <c r="BG65">
        <v>927</v>
      </c>
    </row>
    <row r="66" spans="10:59" x14ac:dyDescent="0.3">
      <c r="J66" s="24"/>
      <c r="K66" s="24"/>
      <c r="L66" s="24"/>
      <c r="M66" s="24"/>
      <c r="AL66">
        <v>45</v>
      </c>
      <c r="AM66" cm="1">
        <f t="array" aca="1" ref="AM66" ca="1">_xlfn.XLOOKUP($AL66,LRC[id],INDIRECT("LRC["&amp;AM$21&amp;"]"))</f>
        <v>4</v>
      </c>
      <c r="AN66" cm="1">
        <f t="array" aca="1" ref="AN66" ca="1">_xlfn.XLOOKUP($AL66,LRC[id],INDIRECT("LRC["&amp;AN$21&amp;"]"))</f>
        <v>1</v>
      </c>
      <c r="AP66">
        <v>335</v>
      </c>
      <c r="AQ66" cm="1">
        <f t="array" aca="1" ref="AQ66" ca="1">_xlfn.XLOOKUP($AP66,LRV[id],INDIRECT("LRV["&amp;AQ$21&amp;"]"))</f>
        <v>19.100000000000001</v>
      </c>
      <c r="AR66" cm="1">
        <f t="array" aca="1" ref="AR66" ca="1">_xlfn.XLOOKUP($AP66,LRV[id],INDIRECT("LRV["&amp;AR$21&amp;"]"))</f>
        <v>3</v>
      </c>
      <c r="BC66">
        <v>345</v>
      </c>
      <c r="BD66" cm="1">
        <f t="array" aca="1" ref="BD66" ca="1">_xlfn.XLOOKUP($BC66,LRC[id],INDIRECT("LRC["&amp;BD$21&amp;"]"))</f>
        <v>4</v>
      </c>
      <c r="BE66" cm="1">
        <f t="array" aca="1" ref="BE66" ca="1">_xlfn.XLOOKUP($BC66,LRC[id],INDIRECT("LRC["&amp;BE$21&amp;"]"))</f>
        <v>1</v>
      </c>
      <c r="BG66">
        <v>928</v>
      </c>
    </row>
    <row r="67" spans="10:59" x14ac:dyDescent="0.3">
      <c r="J67" s="24"/>
      <c r="K67" s="24"/>
      <c r="L67" s="24"/>
      <c r="M67" s="24"/>
      <c r="AL67">
        <v>46</v>
      </c>
      <c r="AM67" cm="1">
        <f t="array" aca="1" ref="AM67" ca="1">_xlfn.XLOOKUP($AL67,LRC[id],INDIRECT("LRC["&amp;AM$21&amp;"]"))</f>
        <v>5</v>
      </c>
      <c r="AN67" cm="1">
        <f t="array" aca="1" ref="AN67" ca="1">_xlfn.XLOOKUP($AL67,LRC[id],INDIRECT("LRC["&amp;AN$21&amp;"]"))</f>
        <v>2</v>
      </c>
      <c r="AP67">
        <v>336</v>
      </c>
      <c r="AQ67" cm="1">
        <f t="array" aca="1" ref="AQ67" ca="1">_xlfn.XLOOKUP($AP67,LRV[id],INDIRECT("LRV["&amp;AQ$21&amp;"]"))</f>
        <v>23.97</v>
      </c>
      <c r="AR67" cm="1">
        <f t="array" aca="1" ref="AR67" ca="1">_xlfn.XLOOKUP($AP67,LRV[id],INDIRECT("LRV["&amp;AR$21&amp;"]"))</f>
        <v>4</v>
      </c>
      <c r="BC67">
        <v>346</v>
      </c>
      <c r="BD67" cm="1">
        <f t="array" aca="1" ref="BD67" ca="1">_xlfn.XLOOKUP($BC67,LRC[id],INDIRECT("LRC["&amp;BD$21&amp;"]"))</f>
        <v>5</v>
      </c>
      <c r="BE67" cm="1">
        <f t="array" aca="1" ref="BE67" ca="1">_xlfn.XLOOKUP($BC67,LRC[id],INDIRECT("LRC["&amp;BE$21&amp;"]"))</f>
        <v>2</v>
      </c>
      <c r="BG67">
        <v>929</v>
      </c>
    </row>
    <row r="68" spans="10:59" x14ac:dyDescent="0.3">
      <c r="J68" s="24"/>
      <c r="K68" s="24"/>
      <c r="L68" s="24"/>
      <c r="M68" s="24"/>
      <c r="AL68">
        <v>47</v>
      </c>
      <c r="AM68" cm="1">
        <f t="array" aca="1" ref="AM68" ca="1">_xlfn.XLOOKUP($AL68,LRC[id],INDIRECT("LRC["&amp;AM$21&amp;"]"))</f>
        <v>7</v>
      </c>
      <c r="AN68" cm="1">
        <f t="array" aca="1" ref="AN68" ca="1">_xlfn.XLOOKUP($AL68,LRC[id],INDIRECT("LRC["&amp;AN$21&amp;"]"))</f>
        <v>3</v>
      </c>
      <c r="AP68">
        <v>337</v>
      </c>
      <c r="AQ68" cm="1">
        <f t="array" aca="1" ref="AQ68" ca="1">_xlfn.XLOOKUP($AP68,LRV[id],INDIRECT("LRV["&amp;AQ$21&amp;"]"))</f>
        <v>8.94</v>
      </c>
      <c r="AR68" cm="1">
        <f t="array" aca="1" ref="AR68" ca="1">_xlfn.XLOOKUP($AP68,LRV[id],INDIRECT("LRV["&amp;AR$21&amp;"]"))</f>
        <v>1</v>
      </c>
      <c r="BC68">
        <v>347</v>
      </c>
      <c r="BD68" cm="1">
        <f t="array" aca="1" ref="BD68" ca="1">_xlfn.XLOOKUP($BC68,LRC[id],INDIRECT("LRC["&amp;BD$21&amp;"]"))</f>
        <v>7</v>
      </c>
      <c r="BE68" cm="1">
        <f t="array" aca="1" ref="BE68" ca="1">_xlfn.XLOOKUP($BC68,LRC[id],INDIRECT("LRC["&amp;BE$21&amp;"]"))</f>
        <v>3</v>
      </c>
      <c r="BG68">
        <v>930</v>
      </c>
    </row>
    <row r="69" spans="10:59" x14ac:dyDescent="0.3">
      <c r="J69" s="24"/>
      <c r="K69" s="24"/>
      <c r="L69" s="24"/>
      <c r="M69" s="24"/>
      <c r="AL69">
        <v>48</v>
      </c>
      <c r="AM69" cm="1">
        <f t="array" aca="1" ref="AM69" ca="1">_xlfn.XLOOKUP($AL69,LRC[id],INDIRECT("LRC["&amp;AM$21&amp;"]"))</f>
        <v>8</v>
      </c>
      <c r="AN69" cm="1">
        <f t="array" aca="1" ref="AN69" ca="1">_xlfn.XLOOKUP($AL69,LRC[id],INDIRECT("LRC["&amp;AN$21&amp;"]"))</f>
        <v>4</v>
      </c>
      <c r="AP69">
        <v>338</v>
      </c>
      <c r="AQ69" cm="1">
        <f t="array" aca="1" ref="AQ69" ca="1">_xlfn.XLOOKUP($AP69,LRV[id],INDIRECT("LRV["&amp;AQ$21&amp;"]"))</f>
        <v>15.5</v>
      </c>
      <c r="AR69" cm="1">
        <f t="array" aca="1" ref="AR69" ca="1">_xlfn.XLOOKUP($AP69,LRV[id],INDIRECT("LRV["&amp;AR$21&amp;"]"))</f>
        <v>2</v>
      </c>
      <c r="BC69">
        <v>348</v>
      </c>
      <c r="BD69" cm="1">
        <f t="array" aca="1" ref="BD69" ca="1">_xlfn.XLOOKUP($BC69,LRC[id],INDIRECT("LRC["&amp;BD$21&amp;"]"))</f>
        <v>8</v>
      </c>
      <c r="BE69" cm="1">
        <f t="array" aca="1" ref="BE69" ca="1">_xlfn.XLOOKUP($BC69,LRC[id],INDIRECT("LRC["&amp;BE$21&amp;"]"))</f>
        <v>4</v>
      </c>
      <c r="BG69">
        <v>931</v>
      </c>
    </row>
    <row r="70" spans="10:59" x14ac:dyDescent="0.3">
      <c r="J70" s="24"/>
      <c r="K70" s="24"/>
      <c r="L70" s="24"/>
      <c r="M70" s="24"/>
      <c r="AL70">
        <v>49</v>
      </c>
      <c r="AM70" cm="1">
        <f t="array" aca="1" ref="AM70" ca="1">_xlfn.XLOOKUP($AL70,LRC[id],INDIRECT("LRC["&amp;AM$21&amp;"]"))</f>
        <v>5</v>
      </c>
      <c r="AN70" cm="1">
        <f t="array" aca="1" ref="AN70" ca="1">_xlfn.XLOOKUP($AL70,LRC[id],INDIRECT("LRC["&amp;AN$21&amp;"]"))</f>
        <v>1</v>
      </c>
      <c r="AP70">
        <v>339</v>
      </c>
      <c r="AQ70" cm="1">
        <f t="array" aca="1" ref="AQ70" ca="1">_xlfn.XLOOKUP($AP70,LRV[id],INDIRECT("LRV["&amp;AQ$21&amp;"]"))</f>
        <v>20.88</v>
      </c>
      <c r="AR70" cm="1">
        <f t="array" aca="1" ref="AR70" ca="1">_xlfn.XLOOKUP($AP70,LRV[id],INDIRECT("LRV["&amp;AR$21&amp;"]"))</f>
        <v>3</v>
      </c>
      <c r="BC70">
        <v>349</v>
      </c>
      <c r="BD70" cm="1">
        <f t="array" aca="1" ref="BD70" ca="1">_xlfn.XLOOKUP($BC70,LRC[id],INDIRECT("LRC["&amp;BD$21&amp;"]"))</f>
        <v>5</v>
      </c>
      <c r="BE70" cm="1">
        <f t="array" aca="1" ref="BE70" ca="1">_xlfn.XLOOKUP($BC70,LRC[id],INDIRECT("LRC["&amp;BE$21&amp;"]"))</f>
        <v>1</v>
      </c>
      <c r="BG70">
        <v>932</v>
      </c>
    </row>
    <row r="71" spans="10:59" x14ac:dyDescent="0.3">
      <c r="J71" s="24"/>
      <c r="K71" s="24"/>
      <c r="L71" s="24"/>
      <c r="M71" s="24"/>
      <c r="AL71">
        <v>50</v>
      </c>
      <c r="AM71" cm="1">
        <f t="array" aca="1" ref="AM71" ca="1">_xlfn.XLOOKUP($AL71,LRC[id],INDIRECT("LRC["&amp;AM$21&amp;"]"))</f>
        <v>7</v>
      </c>
      <c r="AN71" cm="1">
        <f t="array" aca="1" ref="AN71" ca="1">_xlfn.XLOOKUP($AL71,LRC[id],INDIRECT("LRC["&amp;AN$21&amp;"]"))</f>
        <v>2</v>
      </c>
      <c r="AP71">
        <v>340</v>
      </c>
      <c r="AQ71" cm="1">
        <f t="array" aca="1" ref="AQ71" ca="1">_xlfn.XLOOKUP($AP71,LRV[id],INDIRECT("LRV["&amp;AQ$21&amp;"]"))</f>
        <v>26</v>
      </c>
      <c r="AR71" cm="1">
        <f t="array" aca="1" ref="AR71" ca="1">_xlfn.XLOOKUP($AP71,LRV[id],INDIRECT("LRV["&amp;AR$21&amp;"]"))</f>
        <v>4</v>
      </c>
      <c r="BC71">
        <v>350</v>
      </c>
      <c r="BD71" cm="1">
        <f t="array" aca="1" ref="BD71" ca="1">_xlfn.XLOOKUP($BC71,LRC[id],INDIRECT("LRC["&amp;BD$21&amp;"]"))</f>
        <v>7</v>
      </c>
      <c r="BE71" cm="1">
        <f t="array" aca="1" ref="BE71" ca="1">_xlfn.XLOOKUP($BC71,LRC[id],INDIRECT("LRC["&amp;BE$21&amp;"]"))</f>
        <v>2</v>
      </c>
      <c r="BG71">
        <v>933</v>
      </c>
    </row>
    <row r="72" spans="10:59" x14ac:dyDescent="0.3">
      <c r="J72" s="24"/>
      <c r="K72" s="24"/>
      <c r="L72" s="24"/>
      <c r="M72" s="24"/>
      <c r="AL72">
        <v>51</v>
      </c>
      <c r="AM72" cm="1">
        <f t="array" aca="1" ref="AM72" ca="1">_xlfn.XLOOKUP($AL72,LRC[id],INDIRECT("LRC["&amp;AM$21&amp;"]"))</f>
        <v>9</v>
      </c>
      <c r="AN72" cm="1">
        <f t="array" aca="1" ref="AN72" ca="1">_xlfn.XLOOKUP($AL72,LRC[id],INDIRECT("LRC["&amp;AN$21&amp;"]"))</f>
        <v>3</v>
      </c>
      <c r="AP72">
        <v>341</v>
      </c>
      <c r="AQ72" cm="1">
        <f t="array" aca="1" ref="AQ72" ca="1">_xlfn.XLOOKUP($AP72,LRV[id],INDIRECT("LRV["&amp;AQ$21&amp;"]"))</f>
        <v>9.66</v>
      </c>
      <c r="AR72" cm="1">
        <f t="array" aca="1" ref="AR72" ca="1">_xlfn.XLOOKUP($AP72,LRV[id],INDIRECT("LRV["&amp;AR$21&amp;"]"))</f>
        <v>1</v>
      </c>
      <c r="BC72">
        <v>351</v>
      </c>
      <c r="BD72" cm="1">
        <f t="array" aca="1" ref="BD72" ca="1">_xlfn.XLOOKUP($BC72,LRC[id],INDIRECT("LRC["&amp;BD$21&amp;"]"))</f>
        <v>9</v>
      </c>
      <c r="BE72" cm="1">
        <f t="array" aca="1" ref="BE72" ca="1">_xlfn.XLOOKUP($BC72,LRC[id],INDIRECT("LRC["&amp;BE$21&amp;"]"))</f>
        <v>3</v>
      </c>
      <c r="BG72">
        <v>934</v>
      </c>
    </row>
    <row r="73" spans="10:59" x14ac:dyDescent="0.3">
      <c r="J73" s="24"/>
      <c r="K73" s="24"/>
      <c r="L73" s="24"/>
      <c r="M73" s="24"/>
      <c r="AL73">
        <v>52</v>
      </c>
      <c r="AM73" cm="1">
        <f t="array" aca="1" ref="AM73" ca="1">_xlfn.XLOOKUP($AL73,LRC[id],INDIRECT("LRC["&amp;AM$21&amp;"]"))</f>
        <v>12</v>
      </c>
      <c r="AN73" cm="1">
        <f t="array" aca="1" ref="AN73" ca="1">_xlfn.XLOOKUP($AL73,LRC[id],INDIRECT("LRC["&amp;AN$21&amp;"]"))</f>
        <v>4</v>
      </c>
      <c r="AP73">
        <v>342</v>
      </c>
      <c r="AQ73" cm="1">
        <f t="array" aca="1" ref="AQ73" ca="1">_xlfn.XLOOKUP($AP73,LRV[id],INDIRECT("LRV["&amp;AQ$21&amp;"]"))</f>
        <v>16.329999999999998</v>
      </c>
      <c r="AR73" cm="1">
        <f t="array" aca="1" ref="AR73" ca="1">_xlfn.XLOOKUP($AP73,LRV[id],INDIRECT("LRV["&amp;AR$21&amp;"]"))</f>
        <v>2</v>
      </c>
      <c r="BC73">
        <v>352</v>
      </c>
      <c r="BD73" cm="1">
        <f t="array" aca="1" ref="BD73" ca="1">_xlfn.XLOOKUP($BC73,LRC[id],INDIRECT("LRC["&amp;BD$21&amp;"]"))</f>
        <v>12</v>
      </c>
      <c r="BE73" cm="1">
        <f t="array" aca="1" ref="BE73" ca="1">_xlfn.XLOOKUP($BC73,LRC[id],INDIRECT("LRC["&amp;BE$21&amp;"]"))</f>
        <v>4</v>
      </c>
      <c r="BG73">
        <v>935</v>
      </c>
    </row>
    <row r="74" spans="10:59" x14ac:dyDescent="0.3">
      <c r="J74" s="24"/>
      <c r="K74" s="24"/>
      <c r="L74" s="24"/>
      <c r="M74" s="24"/>
      <c r="AL74">
        <v>53</v>
      </c>
      <c r="AM74" cm="1">
        <f t="array" aca="1" ref="AM74" ca="1">_xlfn.XLOOKUP($AL74,LRC[id],INDIRECT("LRC["&amp;AM$21&amp;"]"))</f>
        <v>6</v>
      </c>
      <c r="AN74" cm="1">
        <f t="array" aca="1" ref="AN74" ca="1">_xlfn.XLOOKUP($AL74,LRC[id],INDIRECT("LRC["&amp;AN$21&amp;"]"))</f>
        <v>1</v>
      </c>
      <c r="AP74">
        <v>343</v>
      </c>
      <c r="AQ74" cm="1">
        <f t="array" aca="1" ref="AQ74" ca="1">_xlfn.XLOOKUP($AP74,LRV[id],INDIRECT("LRV["&amp;AQ$21&amp;"]"))</f>
        <v>22.03</v>
      </c>
      <c r="AR74" cm="1">
        <f t="array" aca="1" ref="AR74" ca="1">_xlfn.XLOOKUP($AP74,LRV[id],INDIRECT("LRV["&amp;AR$21&amp;"]"))</f>
        <v>3</v>
      </c>
      <c r="BC74">
        <v>353</v>
      </c>
      <c r="BD74" cm="1">
        <f t="array" aca="1" ref="BD74" ca="1">_xlfn.XLOOKUP($BC74,LRC[id],INDIRECT("LRC["&amp;BD$21&amp;"]"))</f>
        <v>6</v>
      </c>
      <c r="BE74" cm="1">
        <f t="array" aca="1" ref="BE74" ca="1">_xlfn.XLOOKUP($BC74,LRC[id],INDIRECT("LRC["&amp;BE$21&amp;"]"))</f>
        <v>1</v>
      </c>
      <c r="BG74">
        <v>936</v>
      </c>
    </row>
    <row r="75" spans="10:59" x14ac:dyDescent="0.3">
      <c r="J75" s="24"/>
      <c r="K75" s="24"/>
      <c r="L75" s="24"/>
      <c r="M75" s="24"/>
      <c r="AL75">
        <v>54</v>
      </c>
      <c r="AM75" cm="1">
        <f t="array" aca="1" ref="AM75" ca="1">_xlfn.XLOOKUP($AL75,LRC[id],INDIRECT("LRC["&amp;AM$21&amp;"]"))</f>
        <v>9</v>
      </c>
      <c r="AN75" cm="1">
        <f t="array" aca="1" ref="AN75" ca="1">_xlfn.XLOOKUP($AL75,LRC[id],INDIRECT("LRC["&amp;AN$21&amp;"]"))</f>
        <v>2</v>
      </c>
      <c r="AP75">
        <v>344</v>
      </c>
      <c r="AQ75" cm="1">
        <f t="array" aca="1" ref="AQ75" ca="1">_xlfn.XLOOKUP($AP75,LRV[id],INDIRECT("LRV["&amp;AQ$21&amp;"]"))</f>
        <v>27.93</v>
      </c>
      <c r="AR75" cm="1">
        <f t="array" aca="1" ref="AR75" ca="1">_xlfn.XLOOKUP($AP75,LRV[id],INDIRECT("LRV["&amp;AR$21&amp;"]"))</f>
        <v>4</v>
      </c>
      <c r="BC75">
        <v>354</v>
      </c>
      <c r="BD75" cm="1">
        <f t="array" aca="1" ref="BD75" ca="1">_xlfn.XLOOKUP($BC75,LRC[id],INDIRECT("LRC["&amp;BD$21&amp;"]"))</f>
        <v>9</v>
      </c>
      <c r="BE75" cm="1">
        <f t="array" aca="1" ref="BE75" ca="1">_xlfn.XLOOKUP($BC75,LRC[id],INDIRECT("LRC["&amp;BE$21&amp;"]"))</f>
        <v>2</v>
      </c>
      <c r="BG75">
        <v>937</v>
      </c>
    </row>
    <row r="76" spans="10:59" x14ac:dyDescent="0.3">
      <c r="J76" s="24"/>
      <c r="K76" s="24"/>
      <c r="L76" s="24"/>
      <c r="M76" s="24"/>
      <c r="AL76">
        <v>55</v>
      </c>
      <c r="AM76" cm="1">
        <f t="array" aca="1" ref="AM76" ca="1">_xlfn.XLOOKUP($AL76,LRC[id],INDIRECT("LRC["&amp;AM$21&amp;"]"))</f>
        <v>12</v>
      </c>
      <c r="AN76" cm="1">
        <f t="array" aca="1" ref="AN76" ca="1">_xlfn.XLOOKUP($AL76,LRC[id],INDIRECT("LRC["&amp;AN$21&amp;"]"))</f>
        <v>3</v>
      </c>
      <c r="AP76">
        <v>345</v>
      </c>
      <c r="AQ76" cm="1">
        <f t="array" aca="1" ref="AQ76" ca="1">_xlfn.XLOOKUP($AP76,LRV[id],INDIRECT("LRV["&amp;AQ$21&amp;"]"))</f>
        <v>13.7</v>
      </c>
      <c r="AR76" cm="1">
        <f t="array" aca="1" ref="AR76" ca="1">_xlfn.XLOOKUP($AP76,LRV[id],INDIRECT("LRV["&amp;AR$21&amp;"]"))</f>
        <v>1</v>
      </c>
      <c r="BC76">
        <v>355</v>
      </c>
      <c r="BD76" cm="1">
        <f t="array" aca="1" ref="BD76" ca="1">_xlfn.XLOOKUP($BC76,LRC[id],INDIRECT("LRC["&amp;BD$21&amp;"]"))</f>
        <v>12</v>
      </c>
      <c r="BE76" cm="1">
        <f t="array" aca="1" ref="BE76" ca="1">_xlfn.XLOOKUP($BC76,LRC[id],INDIRECT("LRC["&amp;BE$21&amp;"]"))</f>
        <v>3</v>
      </c>
      <c r="BG76">
        <v>938</v>
      </c>
    </row>
    <row r="77" spans="10:59" x14ac:dyDescent="0.3">
      <c r="J77" s="24"/>
      <c r="K77" s="24"/>
      <c r="L77" s="24"/>
      <c r="M77" s="24"/>
      <c r="AL77">
        <v>56</v>
      </c>
      <c r="AM77" cm="1">
        <f t="array" aca="1" ref="AM77" ca="1">_xlfn.XLOOKUP($AL77,LRC[id],INDIRECT("LRC["&amp;AM$21&amp;"]"))</f>
        <v>15</v>
      </c>
      <c r="AN77" cm="1">
        <f t="array" aca="1" ref="AN77" ca="1">_xlfn.XLOOKUP($AL77,LRC[id],INDIRECT("LRC["&amp;AN$21&amp;"]"))</f>
        <v>4</v>
      </c>
      <c r="AP77">
        <v>346</v>
      </c>
      <c r="AQ77" cm="1">
        <f t="array" aca="1" ref="AQ77" ca="1">_xlfn.XLOOKUP($AP77,LRV[id],INDIRECT("LRV["&amp;AQ$21&amp;"]"))</f>
        <v>28.73</v>
      </c>
      <c r="AR77" cm="1">
        <f t="array" aca="1" ref="AR77" ca="1">_xlfn.XLOOKUP($AP77,LRV[id],INDIRECT("LRV["&amp;AR$21&amp;"]"))</f>
        <v>2</v>
      </c>
      <c r="BC77">
        <v>356</v>
      </c>
      <c r="BD77" cm="1">
        <f t="array" aca="1" ref="BD77" ca="1">_xlfn.XLOOKUP($BC77,LRC[id],INDIRECT("LRC["&amp;BD$21&amp;"]"))</f>
        <v>15</v>
      </c>
      <c r="BE77" cm="1">
        <f t="array" aca="1" ref="BE77" ca="1">_xlfn.XLOOKUP($BC77,LRC[id],INDIRECT("LRC["&amp;BE$21&amp;"]"))</f>
        <v>4</v>
      </c>
    </row>
    <row r="78" spans="10:59" x14ac:dyDescent="0.3">
      <c r="J78" s="24"/>
      <c r="K78" s="24"/>
      <c r="L78" s="24"/>
      <c r="M78" s="24"/>
      <c r="AL78">
        <v>57</v>
      </c>
      <c r="AM78" cm="1">
        <f t="array" aca="1" ref="AM78" ca="1">_xlfn.XLOOKUP($AL78,LRC[id],INDIRECT("LRC["&amp;AM$21&amp;"]"))</f>
        <v>6</v>
      </c>
      <c r="AN78" cm="1">
        <f t="array" aca="1" ref="AN78" ca="1">_xlfn.XLOOKUP($AL78,LRC[id],INDIRECT("LRC["&amp;AN$21&amp;"]"))</f>
        <v>1</v>
      </c>
      <c r="AP78">
        <v>347</v>
      </c>
      <c r="AQ78" cm="1">
        <f t="array" aca="1" ref="AQ78" ca="1">_xlfn.XLOOKUP($AP78,LRV[id],INDIRECT("LRV["&amp;AQ$21&amp;"]"))</f>
        <v>41.32</v>
      </c>
      <c r="AR78" cm="1">
        <f t="array" aca="1" ref="AR78" ca="1">_xlfn.XLOOKUP($AP78,LRV[id],INDIRECT("LRV["&amp;AR$21&amp;"]"))</f>
        <v>3</v>
      </c>
      <c r="BC78">
        <v>357</v>
      </c>
      <c r="BD78" cm="1">
        <f t="array" aca="1" ref="BD78" ca="1">_xlfn.XLOOKUP($BC78,LRC[id],INDIRECT("LRC["&amp;BD$21&amp;"]"))</f>
        <v>6</v>
      </c>
      <c r="BE78" cm="1">
        <f t="array" aca="1" ref="BE78" ca="1">_xlfn.XLOOKUP($BC78,LRC[id],INDIRECT("LRC["&amp;BE$21&amp;"]"))</f>
        <v>1</v>
      </c>
    </row>
    <row r="79" spans="10:59" x14ac:dyDescent="0.3">
      <c r="J79" s="24"/>
      <c r="K79" s="24"/>
      <c r="L79" s="24"/>
      <c r="M79" s="24"/>
      <c r="AL79">
        <v>58</v>
      </c>
      <c r="AM79" cm="1">
        <f t="array" aca="1" ref="AM79" ca="1">_xlfn.XLOOKUP($AL79,LRC[id],INDIRECT("LRC["&amp;AM$21&amp;"]"))</f>
        <v>10</v>
      </c>
      <c r="AN79" cm="1">
        <f t="array" aca="1" ref="AN79" ca="1">_xlfn.XLOOKUP($AL79,LRC[id],INDIRECT("LRC["&amp;AN$21&amp;"]"))</f>
        <v>2</v>
      </c>
      <c r="AP79">
        <v>348</v>
      </c>
      <c r="AQ79" cm="1">
        <f t="array" aca="1" ref="AQ79" ca="1">_xlfn.XLOOKUP($AP79,LRV[id],INDIRECT("LRV["&amp;AQ$21&amp;"]"))</f>
        <v>51.89</v>
      </c>
      <c r="AR79" cm="1">
        <f t="array" aca="1" ref="AR79" ca="1">_xlfn.XLOOKUP($AP79,LRV[id],INDIRECT("LRV["&amp;AR$21&amp;"]"))</f>
        <v>4</v>
      </c>
      <c r="BC79">
        <v>358</v>
      </c>
      <c r="BD79" cm="1">
        <f t="array" aca="1" ref="BD79" ca="1">_xlfn.XLOOKUP($BC79,LRC[id],INDIRECT("LRC["&amp;BD$21&amp;"]"))</f>
        <v>10</v>
      </c>
      <c r="BE79" cm="1">
        <f t="array" aca="1" ref="BE79" ca="1">_xlfn.XLOOKUP($BC79,LRC[id],INDIRECT("LRC["&amp;BE$21&amp;"]"))</f>
        <v>2</v>
      </c>
    </row>
    <row r="80" spans="10:59" x14ac:dyDescent="0.3">
      <c r="J80" s="24"/>
      <c r="K80" s="24"/>
      <c r="L80" s="24"/>
      <c r="M80" s="24"/>
      <c r="AL80">
        <v>59</v>
      </c>
      <c r="AM80" cm="1">
        <f t="array" aca="1" ref="AM80" ca="1">_xlfn.XLOOKUP($AL80,LRC[id],INDIRECT("LRC["&amp;AM$21&amp;"]"))</f>
        <v>14</v>
      </c>
      <c r="AN80" cm="1">
        <f t="array" aca="1" ref="AN80" ca="1">_xlfn.XLOOKUP($AL80,LRC[id],INDIRECT("LRC["&amp;AN$21&amp;"]"))</f>
        <v>3</v>
      </c>
      <c r="AP80">
        <v>555</v>
      </c>
      <c r="AQ80" cm="1">
        <f t="array" aca="1" ref="AQ80" ca="1">_xlfn.XLOOKUP($AP80,LRV[id],INDIRECT("LRV["&amp;AQ$21&amp;"]"))</f>
        <v>0</v>
      </c>
      <c r="AR80" cm="1">
        <f t="array" aca="1" ref="AR80" ca="1">_xlfn.XLOOKUP($AP80,LRV[id],INDIRECT("LRV["&amp;AR$21&amp;"]"))</f>
        <v>0.60205999132796229</v>
      </c>
      <c r="BC80">
        <v>359</v>
      </c>
      <c r="BD80" cm="1">
        <f t="array" aca="1" ref="BD80" ca="1">_xlfn.XLOOKUP($BC80,LRC[id],INDIRECT("LRC["&amp;BD$21&amp;"]"))</f>
        <v>14</v>
      </c>
      <c r="BE80" cm="1">
        <f t="array" aca="1" ref="BE80" ca="1">_xlfn.XLOOKUP($BC80,LRC[id],INDIRECT("LRC["&amp;BE$21&amp;"]"))</f>
        <v>3</v>
      </c>
    </row>
    <row r="81" spans="10:57" x14ac:dyDescent="0.3">
      <c r="J81" s="24"/>
      <c r="K81" s="24"/>
      <c r="L81" s="24"/>
      <c r="M81" s="24"/>
      <c r="AL81">
        <v>60</v>
      </c>
      <c r="AM81" cm="1">
        <f t="array" aca="1" ref="AM81" ca="1">_xlfn.XLOOKUP($AL81,LRC[id],INDIRECT("LRC["&amp;AM$21&amp;"]"))</f>
        <v>17</v>
      </c>
      <c r="AN81" cm="1">
        <f t="array" aca="1" ref="AN81" ca="1">_xlfn.XLOOKUP($AL81,LRC[id],INDIRECT("LRC["&amp;AN$21&amp;"]"))</f>
        <v>4</v>
      </c>
      <c r="AP81">
        <v>556</v>
      </c>
      <c r="AQ81" cm="1">
        <f t="array" aca="1" ref="AQ81" ca="1">_xlfn.XLOOKUP($AP81,LRV[id],INDIRECT("LRV["&amp;AQ$21&amp;"]"))</f>
        <v>0</v>
      </c>
      <c r="AR81" cm="1">
        <f t="array" aca="1" ref="AR81" ca="1">_xlfn.XLOOKUP($AP81,LRV[id],INDIRECT("LRV["&amp;AR$21&amp;"]"))</f>
        <v>0.81291335664285569</v>
      </c>
      <c r="BC81">
        <v>360</v>
      </c>
      <c r="BD81" cm="1">
        <f t="array" aca="1" ref="BD81" ca="1">_xlfn.XLOOKUP($BC81,LRC[id],INDIRECT("LRC["&amp;BD$21&amp;"]"))</f>
        <v>17</v>
      </c>
      <c r="BE81" cm="1">
        <f t="array" aca="1" ref="BE81" ca="1">_xlfn.XLOOKUP($BC81,LRC[id],INDIRECT("LRC["&amp;BE$21&amp;"]"))</f>
        <v>4</v>
      </c>
    </row>
    <row r="82" spans="10:57" x14ac:dyDescent="0.3">
      <c r="J82" s="24"/>
      <c r="K82" s="24"/>
      <c r="L82" s="24"/>
      <c r="M82" s="24"/>
      <c r="AL82">
        <v>61</v>
      </c>
      <c r="AM82" cm="1">
        <f t="array" aca="1" ref="AM82" ca="1">_xlfn.XLOOKUP($AL82,LRC[id],INDIRECT("LRC["&amp;AM$21&amp;"]"))</f>
        <v>2</v>
      </c>
      <c r="AN82" cm="1">
        <f t="array" aca="1" ref="AN82" ca="1">_xlfn.XLOOKUP($AL82,LRC[id],INDIRECT("LRC["&amp;AN$21&amp;"]"))</f>
        <v>1</v>
      </c>
      <c r="AP82">
        <v>557</v>
      </c>
      <c r="AQ82" cm="1">
        <f t="array" aca="1" ref="AQ82" ca="1">_xlfn.XLOOKUP($AP82,LRV[id],INDIRECT("LRV["&amp;AQ$21&amp;"]"))</f>
        <v>0</v>
      </c>
      <c r="AR82" cm="1">
        <f t="array" aca="1" ref="AR82" ca="1">_xlfn.XLOOKUP($AP82,LRV[id],INDIRECT("LRV["&amp;AR$21&amp;"]"))</f>
        <v>1.5185139398778875</v>
      </c>
      <c r="BC82">
        <v>361</v>
      </c>
      <c r="BD82" cm="1">
        <f t="array" aca="1" ref="BD82" ca="1">_xlfn.XLOOKUP($BC82,LRC[id],INDIRECT("LRC["&amp;BD$21&amp;"]"))</f>
        <v>2</v>
      </c>
      <c r="BE82" cm="1">
        <f t="array" aca="1" ref="BE82" ca="1">_xlfn.XLOOKUP($BC82,LRC[id],INDIRECT("LRC["&amp;BE$21&amp;"]"))</f>
        <v>1</v>
      </c>
    </row>
    <row r="83" spans="10:57" x14ac:dyDescent="0.3">
      <c r="J83" s="24"/>
      <c r="K83" s="24"/>
      <c r="L83" s="24"/>
      <c r="M83" s="24"/>
      <c r="AL83">
        <v>62</v>
      </c>
      <c r="AM83" cm="1">
        <f t="array" aca="1" ref="AM83" ca="1">_xlfn.XLOOKUP($AL83,LRC[id],INDIRECT("LRC["&amp;AM$21&amp;"]"))</f>
        <v>2</v>
      </c>
      <c r="AN83" cm="1">
        <f t="array" aca="1" ref="AN83" ca="1">_xlfn.XLOOKUP($AL83,LRC[id],INDIRECT("LRC["&amp;AN$21&amp;"]"))</f>
        <v>2</v>
      </c>
      <c r="AP83">
        <v>558</v>
      </c>
      <c r="AQ83" cm="1">
        <f t="array" aca="1" ref="AQ83" ca="1">_xlfn.XLOOKUP($AP83,LRV[id],INDIRECT("LRV["&amp;AQ$21&amp;"]"))</f>
        <v>0</v>
      </c>
      <c r="AR83" cm="1">
        <f t="array" aca="1" ref="AR83" ca="1">_xlfn.XLOOKUP($AP83,LRV[id],INDIRECT("LRV["&amp;AR$21&amp;"]"))</f>
        <v>0.51097952198062968</v>
      </c>
      <c r="BC83">
        <v>362</v>
      </c>
      <c r="BD83" cm="1">
        <f t="array" aca="1" ref="BD83" ca="1">_xlfn.XLOOKUP($BC83,LRC[id],INDIRECT("LRC["&amp;BD$21&amp;"]"))</f>
        <v>2</v>
      </c>
      <c r="BE83" cm="1">
        <f t="array" aca="1" ref="BE83" ca="1">_xlfn.XLOOKUP($BC83,LRC[id],INDIRECT("LRC["&amp;BE$21&amp;"]"))</f>
        <v>2</v>
      </c>
    </row>
    <row r="84" spans="10:57" x14ac:dyDescent="0.3">
      <c r="J84" s="24"/>
      <c r="K84" s="24"/>
      <c r="L84" s="24"/>
      <c r="M84" s="24"/>
      <c r="AL84">
        <v>63</v>
      </c>
      <c r="AM84" cm="1">
        <f t="array" aca="1" ref="AM84" ca="1">_xlfn.XLOOKUP($AL84,LRC[id],INDIRECT("LRC["&amp;AM$21&amp;"]"))</f>
        <v>3</v>
      </c>
      <c r="AN84" cm="1">
        <f t="array" aca="1" ref="AN84" ca="1">_xlfn.XLOOKUP($AL84,LRC[id],INDIRECT("LRC["&amp;AN$21&amp;"]"))</f>
        <v>3</v>
      </c>
      <c r="AP84">
        <v>597</v>
      </c>
      <c r="AQ84" cm="1">
        <f t="array" aca="1" ref="AQ84" ca="1">_xlfn.XLOOKUP($AP84,LRV[id],INDIRECT("LRV["&amp;AQ$21&amp;"]"))</f>
        <v>0</v>
      </c>
      <c r="AR84" cm="1">
        <f t="array" aca="1" ref="AR84" ca="1">_xlfn.XLOOKUP($AP84,LRV[id],INDIRECT("LRV["&amp;AR$21&amp;"]"))</f>
        <v>1.9208187539523753</v>
      </c>
      <c r="BC84">
        <v>363</v>
      </c>
      <c r="BD84" cm="1">
        <f t="array" aca="1" ref="BD84" ca="1">_xlfn.XLOOKUP($BC84,LRC[id],INDIRECT("LRC["&amp;BD$21&amp;"]"))</f>
        <v>3</v>
      </c>
      <c r="BE84" cm="1">
        <f t="array" aca="1" ref="BE84" ca="1">_xlfn.XLOOKUP($BC84,LRC[id],INDIRECT("LRC["&amp;BE$21&amp;"]"))</f>
        <v>3</v>
      </c>
    </row>
    <row r="85" spans="10:57" x14ac:dyDescent="0.3">
      <c r="J85" s="24"/>
      <c r="K85" s="24"/>
      <c r="L85" s="24"/>
      <c r="M85" s="24"/>
      <c r="AL85">
        <v>64</v>
      </c>
      <c r="AM85" cm="1">
        <f t="array" aca="1" ref="AM85" ca="1">_xlfn.XLOOKUP($AL85,LRC[id],INDIRECT("LRC["&amp;AM$21&amp;"]"))</f>
        <v>3</v>
      </c>
      <c r="AN85" cm="1">
        <f t="array" aca="1" ref="AN85" ca="1">_xlfn.XLOOKUP($AL85,LRC[id],INDIRECT("LRC["&amp;AN$21&amp;"]"))</f>
        <v>4</v>
      </c>
      <c r="AP85">
        <v>598</v>
      </c>
      <c r="AQ85" cm="1">
        <f t="array" aca="1" ref="AQ85" ca="1">_xlfn.XLOOKUP($AP85,LRV[id],INDIRECT("LRV["&amp;AQ$21&amp;"]"))</f>
        <v>0</v>
      </c>
      <c r="AR85" cm="1">
        <f t="array" aca="1" ref="AR85" ca="1">_xlfn.XLOOKUP($AP85,LRV[id],INDIRECT("LRV["&amp;AR$21&amp;"]"))</f>
        <v>1.2180557605992171</v>
      </c>
      <c r="BC85">
        <v>364</v>
      </c>
      <c r="BD85" cm="1">
        <f t="array" aca="1" ref="BD85" ca="1">_xlfn.XLOOKUP($BC85,LRC[id],INDIRECT("LRC["&amp;BD$21&amp;"]"))</f>
        <v>3</v>
      </c>
      <c r="BE85" cm="1">
        <f t="array" aca="1" ref="BE85" ca="1">_xlfn.XLOOKUP($BC85,LRC[id],INDIRECT("LRC["&amp;BE$21&amp;"]"))</f>
        <v>4</v>
      </c>
    </row>
    <row r="86" spans="10:57" x14ac:dyDescent="0.3">
      <c r="J86" s="24"/>
      <c r="K86" s="24"/>
      <c r="L86" s="24"/>
      <c r="M86" s="24"/>
      <c r="AL86">
        <v>65</v>
      </c>
      <c r="AM86" cm="1">
        <f t="array" aca="1" ref="AM86" ca="1">_xlfn.XLOOKUP($AL86,LRC[id],INDIRECT("LRC["&amp;AM$21&amp;"]"))</f>
        <v>3</v>
      </c>
      <c r="AN86" cm="1">
        <f t="array" aca="1" ref="AN86" ca="1">_xlfn.XLOOKUP($AL86,LRC[id],INDIRECT("LRC["&amp;AN$21&amp;"]"))</f>
        <v>1</v>
      </c>
      <c r="AP86">
        <v>599</v>
      </c>
      <c r="AQ86" cm="1">
        <f t="array" aca="1" ref="AQ86" ca="1">_xlfn.XLOOKUP($AP86,LRV[id],INDIRECT("LRV["&amp;AQ$21&amp;"]"))</f>
        <v>0</v>
      </c>
      <c r="AR86" cm="1">
        <f t="array" aca="1" ref="AR86" ca="1">_xlfn.XLOOKUP($AP86,LRV[id],INDIRECT("LRV["&amp;AR$21&amp;"]"))</f>
        <v>2.0791812460476251</v>
      </c>
      <c r="BC86">
        <v>365</v>
      </c>
      <c r="BD86" cm="1">
        <f t="array" aca="1" ref="BD86" ca="1">_xlfn.XLOOKUP($BC86,LRC[id],INDIRECT("LRC["&amp;BD$21&amp;"]"))</f>
        <v>3</v>
      </c>
      <c r="BE86" cm="1">
        <f t="array" aca="1" ref="BE86" ca="1">_xlfn.XLOOKUP($BC86,LRC[id],INDIRECT("LRC["&amp;BE$21&amp;"]"))</f>
        <v>1</v>
      </c>
    </row>
    <row r="87" spans="10:57" x14ac:dyDescent="0.3">
      <c r="J87" s="24"/>
      <c r="K87" s="24"/>
      <c r="L87" s="24"/>
      <c r="M87" s="24"/>
      <c r="AL87">
        <v>66</v>
      </c>
      <c r="AM87" cm="1">
        <f t="array" aca="1" ref="AM87" ca="1">_xlfn.XLOOKUP($AL87,LRC[id],INDIRECT("LRC["&amp;AM$21&amp;"]"))</f>
        <v>4</v>
      </c>
      <c r="AN87" cm="1">
        <f t="array" aca="1" ref="AN87" ca="1">_xlfn.XLOOKUP($AL87,LRC[id],INDIRECT("LRC["&amp;AN$21&amp;"]"))</f>
        <v>2</v>
      </c>
      <c r="AP87">
        <v>600</v>
      </c>
      <c r="AQ87" cm="1">
        <f t="array" aca="1" ref="AQ87" ca="1">_xlfn.XLOOKUP($AP87,LRV[id],INDIRECT("LRV["&amp;AQ$21&amp;"]"))</f>
        <v>0</v>
      </c>
      <c r="AR87" cm="1">
        <f t="array" aca="1" ref="AR87" ca="1">_xlfn.XLOOKUP($AP87,LRV[id],INDIRECT("LRV["&amp;AR$21&amp;"]"))</f>
        <v>1.4311083719246924</v>
      </c>
      <c r="BC87">
        <v>366</v>
      </c>
      <c r="BD87" cm="1">
        <f t="array" aca="1" ref="BD87" ca="1">_xlfn.XLOOKUP($BC87,LRC[id],INDIRECT("LRC["&amp;BD$21&amp;"]"))</f>
        <v>4</v>
      </c>
      <c r="BE87" cm="1">
        <f t="array" aca="1" ref="BE87" ca="1">_xlfn.XLOOKUP($BC87,LRC[id],INDIRECT("LRC["&amp;BE$21&amp;"]"))</f>
        <v>2</v>
      </c>
    </row>
    <row r="88" spans="10:57" x14ac:dyDescent="0.3">
      <c r="J88" s="24"/>
      <c r="K88" s="24"/>
      <c r="L88" s="24"/>
      <c r="M88" s="24"/>
      <c r="AL88">
        <v>67</v>
      </c>
      <c r="AM88" cm="1">
        <f t="array" aca="1" ref="AM88" ca="1">_xlfn.XLOOKUP($AL88,LRC[id],INDIRECT("LRC["&amp;AM$21&amp;"]"))</f>
        <v>5</v>
      </c>
      <c r="AN88" cm="1">
        <f t="array" aca="1" ref="AN88" ca="1">_xlfn.XLOOKUP($AL88,LRC[id],INDIRECT("LRC["&amp;AN$21&amp;"]"))</f>
        <v>3</v>
      </c>
      <c r="AP88">
        <v>639</v>
      </c>
      <c r="AQ88" cm="1">
        <f t="array" aca="1" ref="AQ88" ca="1">_xlfn.XLOOKUP($AP88,LRV[id],INDIRECT("LRV["&amp;AQ$21&amp;"]"))</f>
        <v>0</v>
      </c>
      <c r="AR88" cm="1">
        <f t="array" aca="1" ref="AR88" ca="1">_xlfn.XLOOKUP($AP88,LRV[id],INDIRECT("LRV["&amp;AR$21&amp;"]"))</f>
        <v>0.89354466908571317</v>
      </c>
      <c r="BC88">
        <v>367</v>
      </c>
      <c r="BD88" cm="1">
        <f t="array" aca="1" ref="BD88" ca="1">_xlfn.XLOOKUP($BC88,LRC[id],INDIRECT("LRC["&amp;BD$21&amp;"]"))</f>
        <v>5</v>
      </c>
      <c r="BE88" cm="1">
        <f t="array" aca="1" ref="BE88" ca="1">_xlfn.XLOOKUP($BC88,LRC[id],INDIRECT("LRC["&amp;BE$21&amp;"]"))</f>
        <v>3</v>
      </c>
    </row>
    <row r="89" spans="10:57" x14ac:dyDescent="0.3">
      <c r="J89" s="24"/>
      <c r="K89" s="24"/>
      <c r="L89" s="24"/>
      <c r="M89" s="24"/>
      <c r="AL89">
        <v>68</v>
      </c>
      <c r="AM89" cm="1">
        <f t="array" aca="1" ref="AM89" ca="1">_xlfn.XLOOKUP($AL89,LRC[id],INDIRECT("LRC["&amp;AM$21&amp;"]"))</f>
        <v>6</v>
      </c>
      <c r="AN89" cm="1">
        <f t="array" aca="1" ref="AN89" ca="1">_xlfn.XLOOKUP($AL89,LRC[id],INDIRECT("LRC["&amp;AN$21&amp;"]"))</f>
        <v>4</v>
      </c>
      <c r="AP89">
        <v>640</v>
      </c>
      <c r="AQ89" cm="1">
        <f t="array" aca="1" ref="AQ89" ca="1">_xlfn.XLOOKUP($AP89,LRV[id],INDIRECT("LRV["&amp;AQ$21&amp;"]"))</f>
        <v>0</v>
      </c>
      <c r="AR89" cm="1">
        <f t="array" aca="1" ref="AR89" ca="1">_xlfn.XLOOKUP($AP89,LRV[id],INDIRECT("LRV["&amp;AR$21&amp;"]"))</f>
        <v>-0.4242689473943867</v>
      </c>
      <c r="BC89">
        <v>368</v>
      </c>
      <c r="BD89" cm="1">
        <f t="array" aca="1" ref="BD89" ca="1">_xlfn.XLOOKUP($BC89,LRC[id],INDIRECT("LRC["&amp;BD$21&amp;"]"))</f>
        <v>6</v>
      </c>
      <c r="BE89" cm="1">
        <f t="array" aca="1" ref="BE89" ca="1">_xlfn.XLOOKUP($BC89,LRC[id],INDIRECT("LRC["&amp;BE$21&amp;"]"))</f>
        <v>4</v>
      </c>
    </row>
    <row r="90" spans="10:57" x14ac:dyDescent="0.3">
      <c r="J90" s="24"/>
      <c r="K90" s="24"/>
      <c r="L90" s="24"/>
      <c r="M90" s="24"/>
      <c r="AL90">
        <v>69</v>
      </c>
      <c r="AM90" cm="1">
        <f t="array" aca="1" ref="AM90" ca="1">_xlfn.XLOOKUP($AL90,LRC[id],INDIRECT("LRC["&amp;AM$21&amp;"]"))</f>
        <v>3</v>
      </c>
      <c r="AN90" cm="1">
        <f t="array" aca="1" ref="AN90" ca="1">_xlfn.XLOOKUP($AL90,LRC[id],INDIRECT("LRC["&amp;AN$21&amp;"]"))</f>
        <v>1</v>
      </c>
      <c r="AP90">
        <v>641</v>
      </c>
      <c r="AQ90" cm="1">
        <f t="array" aca="1" ref="AQ90" ca="1">_xlfn.XLOOKUP($AP90,LRV[id],INDIRECT("LRV["&amp;AQ$21&amp;"]"))</f>
        <v>0</v>
      </c>
      <c r="AR90" cm="1">
        <f t="array" aca="1" ref="AR90" ca="1">_xlfn.XLOOKUP($AP90,LRV[id],INDIRECT("LRV["&amp;AR$21&amp;"]"))</f>
        <v>0.92941892571429263</v>
      </c>
      <c r="BC90">
        <v>369</v>
      </c>
      <c r="BD90" cm="1">
        <f t="array" aca="1" ref="BD90" ca="1">_xlfn.XLOOKUP($BC90,LRC[id],INDIRECT("LRC["&amp;BD$21&amp;"]"))</f>
        <v>3</v>
      </c>
      <c r="BE90" cm="1">
        <f t="array" aca="1" ref="BE90" ca="1">_xlfn.XLOOKUP($BC90,LRC[id],INDIRECT("LRC["&amp;BE$21&amp;"]"))</f>
        <v>1</v>
      </c>
    </row>
    <row r="91" spans="10:57" x14ac:dyDescent="0.3">
      <c r="J91" s="24"/>
      <c r="K91" s="24"/>
      <c r="L91" s="24"/>
      <c r="M91" s="24"/>
      <c r="AL91">
        <v>70</v>
      </c>
      <c r="AM91" cm="1">
        <f t="array" aca="1" ref="AM91" ca="1">_xlfn.XLOOKUP($AL91,LRC[id],INDIRECT("LRC["&amp;AM$21&amp;"]"))</f>
        <v>5</v>
      </c>
      <c r="AN91" cm="1">
        <f t="array" aca="1" ref="AN91" ca="1">_xlfn.XLOOKUP($AL91,LRC[id],INDIRECT("LRC["&amp;AN$21&amp;"]"))</f>
        <v>2</v>
      </c>
      <c r="AP91">
        <v>642</v>
      </c>
      <c r="AQ91" cm="1">
        <f t="array" aca="1" ref="AQ91" ca="1">_xlfn.XLOOKUP($AP91,LRV[id],INDIRECT("LRV["&amp;AQ$21&amp;"]"))</f>
        <v>0</v>
      </c>
      <c r="AR91" cm="1">
        <f t="array" aca="1" ref="AR91" ca="1">_xlfn.XLOOKUP($AP91,LRV[id],INDIRECT("LRV["&amp;AR$21&amp;"]"))</f>
        <v>0.72699872793626241</v>
      </c>
      <c r="BC91">
        <v>370</v>
      </c>
      <c r="BD91" cm="1">
        <f t="array" aca="1" ref="BD91" ca="1">_xlfn.XLOOKUP($BC91,LRC[id],INDIRECT("LRC["&amp;BD$21&amp;"]"))</f>
        <v>5</v>
      </c>
      <c r="BE91" cm="1">
        <f t="array" aca="1" ref="BE91" ca="1">_xlfn.XLOOKUP($BC91,LRC[id],INDIRECT("LRC["&amp;BE$21&amp;"]"))</f>
        <v>2</v>
      </c>
    </row>
    <row r="92" spans="10:57" x14ac:dyDescent="0.3">
      <c r="J92" s="24"/>
      <c r="K92" s="24"/>
      <c r="L92" s="24"/>
      <c r="M92" s="24"/>
      <c r="AL92">
        <v>71</v>
      </c>
      <c r="AM92" cm="1">
        <f t="array" aca="1" ref="AM92" ca="1">_xlfn.XLOOKUP($AL92,LRC[id],INDIRECT("LRC["&amp;AM$21&amp;"]"))</f>
        <v>7</v>
      </c>
      <c r="AN92" cm="1">
        <f t="array" aca="1" ref="AN92" ca="1">_xlfn.XLOOKUP($AL92,LRC[id],INDIRECT("LRC["&amp;AN$21&amp;"]"))</f>
        <v>3</v>
      </c>
      <c r="AP92">
        <v>725</v>
      </c>
      <c r="AQ92" cm="1">
        <f t="array" aca="1" ref="AQ92" ca="1">_xlfn.XLOOKUP($AP92,LRV[id],INDIRECT("LRV["&amp;AQ$21&amp;"]"))</f>
        <v>0</v>
      </c>
      <c r="AR92" cm="1">
        <f t="array" aca="1" ref="AR92" ca="1">_xlfn.XLOOKUP($AP92,LRV[id],INDIRECT("LRV["&amp;AR$21&amp;"]"))</f>
        <v>0.74472749489669399</v>
      </c>
      <c r="BC92">
        <v>371</v>
      </c>
      <c r="BD92" cm="1">
        <f t="array" aca="1" ref="BD92" ca="1">_xlfn.XLOOKUP($BC92,LRC[id],INDIRECT("LRC["&amp;BD$21&amp;"]"))</f>
        <v>7</v>
      </c>
      <c r="BE92" cm="1">
        <f t="array" aca="1" ref="BE92" ca="1">_xlfn.XLOOKUP($BC92,LRC[id],INDIRECT("LRC["&amp;BE$21&amp;"]"))</f>
        <v>3</v>
      </c>
    </row>
    <row r="93" spans="10:57" x14ac:dyDescent="0.3">
      <c r="J93" s="24"/>
      <c r="K93" s="24"/>
      <c r="L93" s="24"/>
      <c r="M93" s="24"/>
      <c r="AL93">
        <v>72</v>
      </c>
      <c r="AM93" cm="1">
        <f t="array" aca="1" ref="AM93" ca="1">_xlfn.XLOOKUP($AL93,LRC[id],INDIRECT("LRC["&amp;AM$21&amp;"]"))</f>
        <v>8</v>
      </c>
      <c r="AN93" cm="1">
        <f t="array" aca="1" ref="AN93" ca="1">_xlfn.XLOOKUP($AL93,LRC[id],INDIRECT("LRC["&amp;AN$21&amp;"]"))</f>
        <v>4</v>
      </c>
      <c r="AP93">
        <v>779</v>
      </c>
      <c r="AQ93" cm="1">
        <f t="array" aca="1" ref="AQ93" ca="1">_xlfn.XLOOKUP($AP93,LRV[id],INDIRECT("LRV["&amp;AQ$21&amp;"]"))</f>
        <v>0</v>
      </c>
      <c r="AR93" cm="1">
        <f t="array" aca="1" ref="AR93" ca="1">_xlfn.XLOOKUP($AP93,LRV[id],INDIRECT("LRV["&amp;AR$21&amp;"]"))</f>
        <v>1.03</v>
      </c>
      <c r="BC93">
        <v>372</v>
      </c>
      <c r="BD93" cm="1">
        <f t="array" aca="1" ref="BD93" ca="1">_xlfn.XLOOKUP($BC93,LRC[id],INDIRECT("LRC["&amp;BD$21&amp;"]"))</f>
        <v>8</v>
      </c>
      <c r="BE93" cm="1">
        <f t="array" aca="1" ref="BE93" ca="1">_xlfn.XLOOKUP($BC93,LRC[id],INDIRECT("LRC["&amp;BE$21&amp;"]"))</f>
        <v>4</v>
      </c>
    </row>
    <row r="94" spans="10:57" x14ac:dyDescent="0.3">
      <c r="AL94">
        <v>73</v>
      </c>
      <c r="AM94" cm="1">
        <f t="array" aca="1" ref="AM94" ca="1">_xlfn.XLOOKUP($AL94,LRC[id],INDIRECT("LRC["&amp;AM$21&amp;"]"))</f>
        <v>4</v>
      </c>
      <c r="AN94" cm="1">
        <f t="array" aca="1" ref="AN94" ca="1">_xlfn.XLOOKUP($AL94,LRC[id],INDIRECT("LRC["&amp;AN$21&amp;"]"))</f>
        <v>1</v>
      </c>
      <c r="AP94">
        <v>908</v>
      </c>
      <c r="AQ94" cm="1">
        <f t="array" aca="1" ref="AQ94" ca="1">_xlfn.XLOOKUP($AP94,LRV[id],INDIRECT("LRV["&amp;AQ$21&amp;"]"))</f>
        <v>45</v>
      </c>
      <c r="AR94" cm="1">
        <f t="array" aca="1" ref="AR94" ca="1">_xlfn.XLOOKUP($AP94,LRV[id],INDIRECT("LRV["&amp;AR$21&amp;"]"))</f>
        <v>5.5</v>
      </c>
      <c r="BC94">
        <v>373</v>
      </c>
      <c r="BD94" cm="1">
        <f t="array" aca="1" ref="BD94" ca="1">_xlfn.XLOOKUP($BC94,LRC[id],INDIRECT("LRC["&amp;BD$21&amp;"]"))</f>
        <v>4</v>
      </c>
      <c r="BE94" cm="1">
        <f t="array" aca="1" ref="BE94" ca="1">_xlfn.XLOOKUP($BC94,LRC[id],INDIRECT("LRC["&amp;BE$21&amp;"]"))</f>
        <v>1</v>
      </c>
    </row>
    <row r="95" spans="10:57" x14ac:dyDescent="0.3">
      <c r="AL95">
        <v>74</v>
      </c>
      <c r="AM95" cm="1">
        <f t="array" aca="1" ref="AM95" ca="1">_xlfn.XLOOKUP($AL95,LRC[id],INDIRECT("LRC["&amp;AM$21&amp;"]"))</f>
        <v>6</v>
      </c>
      <c r="AN95" cm="1">
        <f t="array" aca="1" ref="AN95" ca="1">_xlfn.XLOOKUP($AL95,LRC[id],INDIRECT("LRC["&amp;AN$21&amp;"]"))</f>
        <v>2</v>
      </c>
      <c r="AP95">
        <v>909</v>
      </c>
      <c r="AQ95" cm="1">
        <f t="array" aca="1" ref="AQ95" ca="1">_xlfn.XLOOKUP($AP95,LRV[id],INDIRECT("LRV["&amp;AQ$21&amp;"]"))</f>
        <v>45</v>
      </c>
      <c r="AR95" cm="1">
        <f t="array" aca="1" ref="AR95" ca="1">_xlfn.XLOOKUP($AP95,LRV[id],INDIRECT("LRV["&amp;AR$21&amp;"]"))</f>
        <v>5.5</v>
      </c>
      <c r="BC95">
        <v>374</v>
      </c>
      <c r="BD95" cm="1">
        <f t="array" aca="1" ref="BD95" ca="1">_xlfn.XLOOKUP($BC95,LRC[id],INDIRECT("LRC["&amp;BD$21&amp;"]"))</f>
        <v>6</v>
      </c>
      <c r="BE95" cm="1">
        <f t="array" aca="1" ref="BE95" ca="1">_xlfn.XLOOKUP($BC95,LRC[id],INDIRECT("LRC["&amp;BE$21&amp;"]"))</f>
        <v>2</v>
      </c>
    </row>
    <row r="96" spans="10:57" x14ac:dyDescent="0.3">
      <c r="AL96">
        <v>75</v>
      </c>
      <c r="AM96" cm="1">
        <f t="array" aca="1" ref="AM96" ca="1">_xlfn.XLOOKUP($AL96,LRC[id],INDIRECT("LRC["&amp;AM$21&amp;"]"))</f>
        <v>9</v>
      </c>
      <c r="AN96" cm="1">
        <f t="array" aca="1" ref="AN96" ca="1">_xlfn.XLOOKUP($AL96,LRC[id],INDIRECT("LRC["&amp;AN$21&amp;"]"))</f>
        <v>3</v>
      </c>
      <c r="AP96">
        <v>910</v>
      </c>
      <c r="AQ96" cm="1">
        <f t="array" aca="1" ref="AQ96" ca="1">_xlfn.XLOOKUP($AP96,LRV[id],INDIRECT("LRV["&amp;AQ$21&amp;"]"))</f>
        <v>90</v>
      </c>
      <c r="AR96" cm="1">
        <f t="array" aca="1" ref="AR96" ca="1">_xlfn.XLOOKUP($AP96,LRV[id],INDIRECT("LRV["&amp;AR$21&amp;"]"))</f>
        <v>4.4000000000000004</v>
      </c>
      <c r="BC96">
        <v>375</v>
      </c>
      <c r="BD96" cm="1">
        <f t="array" aca="1" ref="BD96" ca="1">_xlfn.XLOOKUP($BC96,LRC[id],INDIRECT("LRC["&amp;BD$21&amp;"]"))</f>
        <v>9</v>
      </c>
      <c r="BE96" cm="1">
        <f t="array" aca="1" ref="BE96" ca="1">_xlfn.XLOOKUP($BC96,LRC[id],INDIRECT("LRC["&amp;BE$21&amp;"]"))</f>
        <v>3</v>
      </c>
    </row>
    <row r="97" spans="38:57" x14ac:dyDescent="0.3">
      <c r="AL97">
        <v>76</v>
      </c>
      <c r="AM97" cm="1">
        <f t="array" aca="1" ref="AM97" ca="1">_xlfn.XLOOKUP($AL97,LRC[id],INDIRECT("LRC["&amp;AM$21&amp;"]"))</f>
        <v>10</v>
      </c>
      <c r="AN97" cm="1">
        <f t="array" aca="1" ref="AN97" ca="1">_xlfn.XLOOKUP($AL97,LRC[id],INDIRECT("LRC["&amp;AN$21&amp;"]"))</f>
        <v>4</v>
      </c>
      <c r="AP97">
        <v>911</v>
      </c>
      <c r="AQ97" cm="1">
        <f t="array" aca="1" ref="AQ97" ca="1">_xlfn.XLOOKUP($AP97,LRV[id],INDIRECT("LRV["&amp;AQ$21&amp;"]"))</f>
        <v>200</v>
      </c>
      <c r="AR97" cm="1">
        <f t="array" aca="1" ref="AR97" ca="1">_xlfn.XLOOKUP($AP97,LRV[id],INDIRECT("LRV["&amp;AR$21&amp;"]"))</f>
        <v>5.5</v>
      </c>
      <c r="BC97">
        <v>376</v>
      </c>
      <c r="BD97" cm="1">
        <f t="array" aca="1" ref="BD97" ca="1">_xlfn.XLOOKUP($BC97,LRC[id],INDIRECT("LRC["&amp;BD$21&amp;"]"))</f>
        <v>10</v>
      </c>
      <c r="BE97" cm="1">
        <f t="array" aca="1" ref="BE97" ca="1">_xlfn.XLOOKUP($BC97,LRC[id],INDIRECT("LRC["&amp;BE$21&amp;"]"))</f>
        <v>4</v>
      </c>
    </row>
    <row r="98" spans="38:57" x14ac:dyDescent="0.3">
      <c r="AL98">
        <v>77</v>
      </c>
      <c r="AM98" cm="1">
        <f t="array" aca="1" ref="AM98" ca="1">_xlfn.XLOOKUP($AL98,LRC[id],INDIRECT("LRC["&amp;AM$21&amp;"]"))</f>
        <v>5</v>
      </c>
      <c r="AN98" cm="1">
        <f t="array" aca="1" ref="AN98" ca="1">_xlfn.XLOOKUP($AL98,LRC[id],INDIRECT("LRC["&amp;AN$21&amp;"]"))</f>
        <v>1</v>
      </c>
      <c r="AP98">
        <v>912</v>
      </c>
      <c r="AQ98" cm="1">
        <f t="array" aca="1" ref="AQ98" ca="1">_xlfn.XLOOKUP($AP98,LRV[id],INDIRECT("LRV["&amp;AQ$21&amp;"]"))</f>
        <v>100</v>
      </c>
      <c r="AR98" cm="1">
        <f t="array" aca="1" ref="AR98" ca="1">_xlfn.XLOOKUP($AP98,LRV[id],INDIRECT("LRV["&amp;AR$21&amp;"]"))</f>
        <v>6.2</v>
      </c>
      <c r="BC98">
        <v>377</v>
      </c>
      <c r="BD98" cm="1">
        <f t="array" aca="1" ref="BD98" ca="1">_xlfn.XLOOKUP($BC98,LRC[id],INDIRECT("LRC["&amp;BD$21&amp;"]"))</f>
        <v>5</v>
      </c>
      <c r="BE98" cm="1">
        <f t="array" aca="1" ref="BE98" ca="1">_xlfn.XLOOKUP($BC98,LRC[id],INDIRECT("LRC["&amp;BE$21&amp;"]"))</f>
        <v>1</v>
      </c>
    </row>
    <row r="99" spans="38:57" x14ac:dyDescent="0.3">
      <c r="AL99">
        <v>78</v>
      </c>
      <c r="AM99" cm="1">
        <f t="array" aca="1" ref="AM99" ca="1">_xlfn.XLOOKUP($AL99,LRC[id],INDIRECT("LRC["&amp;AM$21&amp;"]"))</f>
        <v>7</v>
      </c>
      <c r="AN99" cm="1">
        <f t="array" aca="1" ref="AN99" ca="1">_xlfn.XLOOKUP($AL99,LRC[id],INDIRECT("LRC["&amp;AN$21&amp;"]"))</f>
        <v>2</v>
      </c>
      <c r="AP99">
        <v>913</v>
      </c>
      <c r="AQ99" cm="1">
        <f t="array" aca="1" ref="AQ99" ca="1">_xlfn.XLOOKUP($AP99,LRV[id],INDIRECT("LRV["&amp;AQ$21&amp;"]"))</f>
        <v>280</v>
      </c>
      <c r="AR99" cm="1">
        <f t="array" aca="1" ref="AR99" ca="1">_xlfn.XLOOKUP($AP99,LRV[id],INDIRECT("LRV["&amp;AR$21&amp;"]"))</f>
        <v>5.5</v>
      </c>
      <c r="BC99">
        <v>378</v>
      </c>
      <c r="BD99" cm="1">
        <f t="array" aca="1" ref="BD99" ca="1">_xlfn.XLOOKUP($BC99,LRC[id],INDIRECT("LRC["&amp;BD$21&amp;"]"))</f>
        <v>7</v>
      </c>
      <c r="BE99" cm="1">
        <f t="array" aca="1" ref="BE99" ca="1">_xlfn.XLOOKUP($BC99,LRC[id],INDIRECT("LRC["&amp;BE$21&amp;"]"))</f>
        <v>2</v>
      </c>
    </row>
    <row r="100" spans="38:57" x14ac:dyDescent="0.3">
      <c r="AL100">
        <v>79</v>
      </c>
      <c r="AM100" cm="1">
        <f t="array" aca="1" ref="AM100" ca="1">_xlfn.XLOOKUP($AL100,LRC[id],INDIRECT("LRC["&amp;AM$21&amp;"]"))</f>
        <v>10</v>
      </c>
      <c r="AN100" cm="1">
        <f t="array" aca="1" ref="AN100" ca="1">_xlfn.XLOOKUP($AL100,LRC[id],INDIRECT("LRC["&amp;AN$21&amp;"]"))</f>
        <v>3</v>
      </c>
      <c r="AP100">
        <v>914</v>
      </c>
      <c r="AQ100" cm="1">
        <f t="array" aca="1" ref="AQ100" ca="1">_xlfn.XLOOKUP($AP100,LRV[id],INDIRECT("LRV["&amp;AQ$21&amp;"]"))</f>
        <v>300</v>
      </c>
      <c r="AR100" cm="1">
        <f t="array" aca="1" ref="AR100" ca="1">_xlfn.XLOOKUP($AP100,LRV[id],INDIRECT("LRV["&amp;AR$21&amp;"]"))</f>
        <v>6.1</v>
      </c>
      <c r="BC100">
        <v>379</v>
      </c>
      <c r="BD100" cm="1">
        <f t="array" aca="1" ref="BD100" ca="1">_xlfn.XLOOKUP($BC100,LRC[id],INDIRECT("LRC["&amp;BD$21&amp;"]"))</f>
        <v>10</v>
      </c>
      <c r="BE100" cm="1">
        <f t="array" aca="1" ref="BE100" ca="1">_xlfn.XLOOKUP($BC100,LRC[id],INDIRECT("LRC["&amp;BE$21&amp;"]"))</f>
        <v>3</v>
      </c>
    </row>
    <row r="101" spans="38:57" x14ac:dyDescent="0.3">
      <c r="AL101">
        <v>80</v>
      </c>
      <c r="AM101" cm="1">
        <f t="array" aca="1" ref="AM101" ca="1">_xlfn.XLOOKUP($AL101,LRC[id],INDIRECT("LRC["&amp;AM$21&amp;"]"))</f>
        <v>12</v>
      </c>
      <c r="AN101" cm="1">
        <f t="array" aca="1" ref="AN101" ca="1">_xlfn.XLOOKUP($AL101,LRC[id],INDIRECT("LRC["&amp;AN$21&amp;"]"))</f>
        <v>4</v>
      </c>
      <c r="AP101">
        <v>915</v>
      </c>
      <c r="AQ101" cm="1">
        <f t="array" aca="1" ref="AQ101" ca="1">_xlfn.XLOOKUP($AP101,LRV[id],INDIRECT("LRV["&amp;AQ$21&amp;"]"))</f>
        <v>430</v>
      </c>
      <c r="AR101" cm="1">
        <f t="array" aca="1" ref="AR101" ca="1">_xlfn.XLOOKUP($AP101,LRV[id],INDIRECT("LRV["&amp;AR$21&amp;"]"))</f>
        <v>5.5</v>
      </c>
      <c r="BC101">
        <v>380</v>
      </c>
      <c r="BD101" cm="1">
        <f t="array" aca="1" ref="BD101" ca="1">_xlfn.XLOOKUP($BC101,LRC[id],INDIRECT("LRC["&amp;BD$21&amp;"]"))</f>
        <v>12</v>
      </c>
      <c r="BE101" cm="1">
        <f t="array" aca="1" ref="BE101" ca="1">_xlfn.XLOOKUP($BC101,LRC[id],INDIRECT("LRC["&amp;BE$21&amp;"]"))</f>
        <v>4</v>
      </c>
    </row>
    <row r="102" spans="38:57" x14ac:dyDescent="0.3">
      <c r="AL102">
        <v>81</v>
      </c>
      <c r="AM102" cm="1">
        <f t="array" aca="1" ref="AM102" ca="1">_xlfn.XLOOKUP($AL102,LRC[id],INDIRECT("LRC["&amp;AM$21&amp;"]"))</f>
        <v>1</v>
      </c>
      <c r="AN102" cm="1">
        <f t="array" aca="1" ref="AN102" ca="1">_xlfn.XLOOKUP($AL102,LRC[id],INDIRECT("LRC["&amp;AN$21&amp;"]"))</f>
        <v>1</v>
      </c>
      <c r="AP102">
        <v>916</v>
      </c>
      <c r="AQ102" cm="1">
        <f t="array" aca="1" ref="AQ102" ca="1">_xlfn.XLOOKUP($AP102,LRV[id],INDIRECT("LRV["&amp;AQ$21&amp;"]"))</f>
        <v>460</v>
      </c>
      <c r="AR102" cm="1">
        <f t="array" aca="1" ref="AR102" ca="1">_xlfn.XLOOKUP($AP102,LRV[id],INDIRECT("LRV["&amp;AR$21&amp;"]"))</f>
        <v>6.5</v>
      </c>
      <c r="BC102">
        <v>381</v>
      </c>
      <c r="BD102" cm="1">
        <f t="array" aca="1" ref="BD102" ca="1">_xlfn.XLOOKUP($BC102,LRC[id],INDIRECT("LRC["&amp;BD$21&amp;"]"))</f>
        <v>1</v>
      </c>
      <c r="BE102" cm="1">
        <f t="array" aca="1" ref="BE102" ca="1">_xlfn.XLOOKUP($BC102,LRC[id],INDIRECT("LRC["&amp;BE$21&amp;"]"))</f>
        <v>1</v>
      </c>
    </row>
    <row r="103" spans="38:57" x14ac:dyDescent="0.3">
      <c r="AL103">
        <v>82</v>
      </c>
      <c r="AM103" cm="1">
        <f t="array" aca="1" ref="AM103" ca="1">_xlfn.XLOOKUP($AL103,LRC[id],INDIRECT("LRC["&amp;AM$21&amp;"]"))</f>
        <v>2</v>
      </c>
      <c r="AN103" cm="1">
        <f t="array" aca="1" ref="AN103" ca="1">_xlfn.XLOOKUP($AL103,LRC[id],INDIRECT("LRC["&amp;AN$21&amp;"]"))</f>
        <v>2</v>
      </c>
      <c r="AP103">
        <v>917</v>
      </c>
      <c r="AQ103" cm="1">
        <f t="array" aca="1" ref="AQ103" ca="1">_xlfn.XLOOKUP($AP103,LRV[id],INDIRECT("LRV["&amp;AQ$21&amp;"]"))</f>
        <v>500</v>
      </c>
      <c r="AR103" cm="1">
        <f t="array" aca="1" ref="AR103" ca="1">_xlfn.XLOOKUP($AP103,LRV[id],INDIRECT("LRV["&amp;AR$21&amp;"]"))</f>
        <v>6.1</v>
      </c>
      <c r="BC103">
        <v>382</v>
      </c>
      <c r="BD103" cm="1">
        <f t="array" aca="1" ref="BD103" ca="1">_xlfn.XLOOKUP($BC103,LRC[id],INDIRECT("LRC["&amp;BD$21&amp;"]"))</f>
        <v>2</v>
      </c>
      <c r="BE103" cm="1">
        <f t="array" aca="1" ref="BE103" ca="1">_xlfn.XLOOKUP($BC103,LRC[id],INDIRECT("LRC["&amp;BE$21&amp;"]"))</f>
        <v>2</v>
      </c>
    </row>
    <row r="104" spans="38:57" x14ac:dyDescent="0.3">
      <c r="AL104">
        <v>83</v>
      </c>
      <c r="AM104" cm="1">
        <f t="array" aca="1" ref="AM104" ca="1">_xlfn.XLOOKUP($AL104,LRC[id],INDIRECT("LRC["&amp;AM$21&amp;"]"))</f>
        <v>2</v>
      </c>
      <c r="AN104" cm="1">
        <f t="array" aca="1" ref="AN104" ca="1">_xlfn.XLOOKUP($AL104,LRC[id],INDIRECT("LRC["&amp;AN$21&amp;"]"))</f>
        <v>3</v>
      </c>
      <c r="AP104">
        <v>925</v>
      </c>
      <c r="AQ104" cm="1">
        <f t="array" aca="1" ref="AQ104" ca="1">_xlfn.XLOOKUP($AP104,LRV[id],INDIRECT("LRV["&amp;AQ$21&amp;"]"))</f>
        <v>474</v>
      </c>
      <c r="AR104" cm="1">
        <f t="array" aca="1" ref="AR104" ca="1">_xlfn.XLOOKUP($AP104,LRV[id],INDIRECT("LRV["&amp;AR$21&amp;"]"))</f>
        <v>3.8</v>
      </c>
      <c r="BC104">
        <v>383</v>
      </c>
      <c r="BD104" cm="1">
        <f t="array" aca="1" ref="BD104" ca="1">_xlfn.XLOOKUP($BC104,LRC[id],INDIRECT("LRC["&amp;BD$21&amp;"]"))</f>
        <v>2</v>
      </c>
      <c r="BE104" cm="1">
        <f t="array" aca="1" ref="BE104" ca="1">_xlfn.XLOOKUP($BC104,LRC[id],INDIRECT("LRC["&amp;BE$21&amp;"]"))</f>
        <v>3</v>
      </c>
    </row>
    <row r="105" spans="38:57" x14ac:dyDescent="0.3">
      <c r="AL105">
        <v>84</v>
      </c>
      <c r="AM105" cm="1">
        <f t="array" aca="1" ref="AM105" ca="1">_xlfn.XLOOKUP($AL105,LRC[id],INDIRECT("LRC["&amp;AM$21&amp;"]"))</f>
        <v>2</v>
      </c>
      <c r="AN105" cm="1">
        <f t="array" aca="1" ref="AN105" ca="1">_xlfn.XLOOKUP($AL105,LRC[id],INDIRECT("LRC["&amp;AN$21&amp;"]"))</f>
        <v>4</v>
      </c>
      <c r="AQ105" cm="1">
        <f t="array" aca="1" ref="AQ105" ca="1">_xlfn.XLOOKUP($AP105,LRV[id],INDIRECT("LRV["&amp;AQ$21&amp;"]"))</f>
        <v>0</v>
      </c>
      <c r="AR105" cm="1">
        <f t="array" aca="1" ref="AR105" ca="1">_xlfn.XLOOKUP($AP105,LRV[id],INDIRECT("LRV["&amp;AR$21&amp;"]"))</f>
        <v>0</v>
      </c>
      <c r="BC105">
        <v>384</v>
      </c>
      <c r="BD105" cm="1">
        <f t="array" aca="1" ref="BD105" ca="1">_xlfn.XLOOKUP($BC105,LRC[id],INDIRECT("LRC["&amp;BD$21&amp;"]"))</f>
        <v>2</v>
      </c>
      <c r="BE105" cm="1">
        <f t="array" aca="1" ref="BE105" ca="1">_xlfn.XLOOKUP($BC105,LRC[id],INDIRECT("LRC["&amp;BE$21&amp;"]"))</f>
        <v>4</v>
      </c>
    </row>
    <row r="106" spans="38:57" x14ac:dyDescent="0.3">
      <c r="AL106">
        <v>85</v>
      </c>
      <c r="AM106" cm="1">
        <f t="array" aca="1" ref="AM106" ca="1">_xlfn.XLOOKUP($AL106,LRC[id],INDIRECT("LRC["&amp;AM$21&amp;"]"))</f>
        <v>2</v>
      </c>
      <c r="AN106" cm="1">
        <f t="array" aca="1" ref="AN106" ca="1">_xlfn.XLOOKUP($AL106,LRC[id],INDIRECT("LRC["&amp;AN$21&amp;"]"))</f>
        <v>1</v>
      </c>
      <c r="AQ106" cm="1">
        <f t="array" aca="1" ref="AQ106" ca="1">_xlfn.XLOOKUP($AP106,LRV[id],INDIRECT("LRV["&amp;AQ$21&amp;"]"))</f>
        <v>0</v>
      </c>
      <c r="AR106" cm="1">
        <f t="array" aca="1" ref="AR106" ca="1">_xlfn.XLOOKUP($AP106,LRV[id],INDIRECT("LRV["&amp;AR$21&amp;"]"))</f>
        <v>0</v>
      </c>
      <c r="BC106">
        <v>385</v>
      </c>
      <c r="BD106" cm="1">
        <f t="array" aca="1" ref="BD106" ca="1">_xlfn.XLOOKUP($BC106,LRC[id],INDIRECT("LRC["&amp;BD$21&amp;"]"))</f>
        <v>2</v>
      </c>
      <c r="BE106" cm="1">
        <f t="array" aca="1" ref="BE106" ca="1">_xlfn.XLOOKUP($BC106,LRC[id],INDIRECT("LRC["&amp;BE$21&amp;"]"))</f>
        <v>1</v>
      </c>
    </row>
    <row r="107" spans="38:57" x14ac:dyDescent="0.3">
      <c r="AL107">
        <v>86</v>
      </c>
      <c r="AM107" cm="1">
        <f t="array" aca="1" ref="AM107" ca="1">_xlfn.XLOOKUP($AL107,LRC[id],INDIRECT("LRC["&amp;AM$21&amp;"]"))</f>
        <v>3</v>
      </c>
      <c r="AN107" cm="1">
        <f t="array" aca="1" ref="AN107" ca="1">_xlfn.XLOOKUP($AL107,LRC[id],INDIRECT("LRC["&amp;AN$21&amp;"]"))</f>
        <v>2</v>
      </c>
      <c r="BC107">
        <v>386</v>
      </c>
      <c r="BD107" cm="1">
        <f t="array" aca="1" ref="BD107" ca="1">_xlfn.XLOOKUP($BC107,LRC[id],INDIRECT("LRC["&amp;BD$21&amp;"]"))</f>
        <v>3</v>
      </c>
      <c r="BE107" cm="1">
        <f t="array" aca="1" ref="BE107" ca="1">_xlfn.XLOOKUP($BC107,LRC[id],INDIRECT("LRC["&amp;BE$21&amp;"]"))</f>
        <v>2</v>
      </c>
    </row>
    <row r="108" spans="38:57" x14ac:dyDescent="0.3">
      <c r="AL108">
        <v>87</v>
      </c>
      <c r="AM108" cm="1">
        <f t="array" aca="1" ref="AM108" ca="1">_xlfn.XLOOKUP($AL108,LRC[id],INDIRECT("LRC["&amp;AM$21&amp;"]"))</f>
        <v>4</v>
      </c>
      <c r="AN108" cm="1">
        <f t="array" aca="1" ref="AN108" ca="1">_xlfn.XLOOKUP($AL108,LRC[id],INDIRECT("LRC["&amp;AN$21&amp;"]"))</f>
        <v>3</v>
      </c>
      <c r="BC108">
        <v>387</v>
      </c>
      <c r="BD108" cm="1">
        <f t="array" aca="1" ref="BD108" ca="1">_xlfn.XLOOKUP($BC108,LRC[id],INDIRECT("LRC["&amp;BD$21&amp;"]"))</f>
        <v>4</v>
      </c>
      <c r="BE108" cm="1">
        <f t="array" aca="1" ref="BE108" ca="1">_xlfn.XLOOKUP($BC108,LRC[id],INDIRECT("LRC["&amp;BE$21&amp;"]"))</f>
        <v>3</v>
      </c>
    </row>
    <row r="109" spans="38:57" x14ac:dyDescent="0.3">
      <c r="AL109">
        <v>88</v>
      </c>
      <c r="AM109" cm="1">
        <f t="array" aca="1" ref="AM109" ca="1">_xlfn.XLOOKUP($AL109,LRC[id],INDIRECT("LRC["&amp;AM$21&amp;"]"))</f>
        <v>4</v>
      </c>
      <c r="AN109" cm="1">
        <f t="array" aca="1" ref="AN109" ca="1">_xlfn.XLOOKUP($AL109,LRC[id],INDIRECT("LRC["&amp;AN$21&amp;"]"))</f>
        <v>4</v>
      </c>
      <c r="BC109">
        <v>388</v>
      </c>
      <c r="BD109" cm="1">
        <f t="array" aca="1" ref="BD109" ca="1">_xlfn.XLOOKUP($BC109,LRC[id],INDIRECT("LRC["&amp;BD$21&amp;"]"))</f>
        <v>4</v>
      </c>
      <c r="BE109" cm="1">
        <f t="array" aca="1" ref="BE109" ca="1">_xlfn.XLOOKUP($BC109,LRC[id],INDIRECT("LRC["&amp;BE$21&amp;"]"))</f>
        <v>4</v>
      </c>
    </row>
    <row r="110" spans="38:57" x14ac:dyDescent="0.3">
      <c r="AL110">
        <v>89</v>
      </c>
      <c r="AM110" cm="1">
        <f t="array" aca="1" ref="AM110" ca="1">_xlfn.XLOOKUP($AL110,LRC[id],INDIRECT("LRC["&amp;AM$21&amp;"]"))</f>
        <v>3</v>
      </c>
      <c r="AN110" cm="1">
        <f t="array" aca="1" ref="AN110" ca="1">_xlfn.XLOOKUP($AL110,LRC[id],INDIRECT("LRC["&amp;AN$21&amp;"]"))</f>
        <v>1</v>
      </c>
      <c r="BC110">
        <v>389</v>
      </c>
      <c r="BD110" cm="1">
        <f t="array" aca="1" ref="BD110" ca="1">_xlfn.XLOOKUP($BC110,LRC[id],INDIRECT("LRC["&amp;BD$21&amp;"]"))</f>
        <v>3</v>
      </c>
      <c r="BE110" cm="1">
        <f t="array" aca="1" ref="BE110" ca="1">_xlfn.XLOOKUP($BC110,LRC[id],INDIRECT("LRC["&amp;BE$21&amp;"]"))</f>
        <v>1</v>
      </c>
    </row>
    <row r="111" spans="38:57" x14ac:dyDescent="0.3">
      <c r="AL111">
        <v>90</v>
      </c>
      <c r="AM111" cm="1">
        <f t="array" aca="1" ref="AM111" ca="1">_xlfn.XLOOKUP($AL111,LRC[id],INDIRECT("LRC["&amp;AM$21&amp;"]"))</f>
        <v>4</v>
      </c>
      <c r="AN111" cm="1">
        <f t="array" aca="1" ref="AN111" ca="1">_xlfn.XLOOKUP($AL111,LRC[id],INDIRECT("LRC["&amp;AN$21&amp;"]"))</f>
        <v>2</v>
      </c>
      <c r="BC111">
        <v>390</v>
      </c>
      <c r="BD111" cm="1">
        <f t="array" aca="1" ref="BD111" ca="1">_xlfn.XLOOKUP($BC111,LRC[id],INDIRECT("LRC["&amp;BD$21&amp;"]"))</f>
        <v>4</v>
      </c>
      <c r="BE111" cm="1">
        <f t="array" aca="1" ref="BE111" ca="1">_xlfn.XLOOKUP($BC111,LRC[id],INDIRECT("LRC["&amp;BE$21&amp;"]"))</f>
        <v>2</v>
      </c>
    </row>
    <row r="112" spans="38:57" x14ac:dyDescent="0.3">
      <c r="AL112">
        <v>91</v>
      </c>
      <c r="AM112" cm="1">
        <f t="array" aca="1" ref="AM112" ca="1">_xlfn.XLOOKUP($AL112,LRC[id],INDIRECT("LRC["&amp;AM$21&amp;"]"))</f>
        <v>5</v>
      </c>
      <c r="AN112" cm="1">
        <f t="array" aca="1" ref="AN112" ca="1">_xlfn.XLOOKUP($AL112,LRC[id],INDIRECT("LRC["&amp;AN$21&amp;"]"))</f>
        <v>3</v>
      </c>
      <c r="BC112">
        <v>391</v>
      </c>
      <c r="BD112" cm="1">
        <f t="array" aca="1" ref="BD112" ca="1">_xlfn.XLOOKUP($BC112,LRC[id],INDIRECT("LRC["&amp;BD$21&amp;"]"))</f>
        <v>5</v>
      </c>
      <c r="BE112" cm="1">
        <f t="array" aca="1" ref="BE112" ca="1">_xlfn.XLOOKUP($BC112,LRC[id],INDIRECT("LRC["&amp;BE$21&amp;"]"))</f>
        <v>3</v>
      </c>
    </row>
    <row r="113" spans="38:57" x14ac:dyDescent="0.3">
      <c r="AL113">
        <v>92</v>
      </c>
      <c r="AM113" cm="1">
        <f t="array" aca="1" ref="AM113" ca="1">_xlfn.XLOOKUP($AL113,LRC[id],INDIRECT("LRC["&amp;AM$21&amp;"]"))</f>
        <v>6</v>
      </c>
      <c r="AN113" cm="1">
        <f t="array" aca="1" ref="AN113" ca="1">_xlfn.XLOOKUP($AL113,LRC[id],INDIRECT("LRC["&amp;AN$21&amp;"]"))</f>
        <v>4</v>
      </c>
      <c r="BC113">
        <v>392</v>
      </c>
      <c r="BD113" cm="1">
        <f t="array" aca="1" ref="BD113" ca="1">_xlfn.XLOOKUP($BC113,LRC[id],INDIRECT("LRC["&amp;BD$21&amp;"]"))</f>
        <v>6</v>
      </c>
      <c r="BE113" cm="1">
        <f t="array" aca="1" ref="BE113" ca="1">_xlfn.XLOOKUP($BC113,LRC[id],INDIRECT("LRC["&amp;BE$21&amp;"]"))</f>
        <v>4</v>
      </c>
    </row>
    <row r="114" spans="38:57" x14ac:dyDescent="0.3">
      <c r="AL114">
        <v>93</v>
      </c>
      <c r="AM114" cm="1">
        <f t="array" aca="1" ref="AM114" ca="1">_xlfn.XLOOKUP($AL114,LRC[id],INDIRECT("LRC["&amp;AM$21&amp;"]"))</f>
        <v>3</v>
      </c>
      <c r="AN114" cm="1">
        <f t="array" aca="1" ref="AN114" ca="1">_xlfn.XLOOKUP($AL114,LRC[id],INDIRECT("LRC["&amp;AN$21&amp;"]"))</f>
        <v>1</v>
      </c>
      <c r="BC114">
        <v>393</v>
      </c>
      <c r="BD114" cm="1">
        <f t="array" aca="1" ref="BD114" ca="1">_xlfn.XLOOKUP($BC114,LRC[id],INDIRECT("LRC["&amp;BD$21&amp;"]"))</f>
        <v>3</v>
      </c>
      <c r="BE114" cm="1">
        <f t="array" aca="1" ref="BE114" ca="1">_xlfn.XLOOKUP($BC114,LRC[id],INDIRECT("LRC["&amp;BE$21&amp;"]"))</f>
        <v>1</v>
      </c>
    </row>
    <row r="115" spans="38:57" x14ac:dyDescent="0.3">
      <c r="AL115">
        <v>94</v>
      </c>
      <c r="AM115" cm="1">
        <f t="array" aca="1" ref="AM115" ca="1">_xlfn.XLOOKUP($AL115,LRC[id],INDIRECT("LRC["&amp;AM$21&amp;"]"))</f>
        <v>5</v>
      </c>
      <c r="AN115" cm="1">
        <f t="array" aca="1" ref="AN115" ca="1">_xlfn.XLOOKUP($AL115,LRC[id],INDIRECT("LRC["&amp;AN$21&amp;"]"))</f>
        <v>2</v>
      </c>
      <c r="BC115">
        <v>394</v>
      </c>
      <c r="BD115" cm="1">
        <f t="array" aca="1" ref="BD115" ca="1">_xlfn.XLOOKUP($BC115,LRC[id],INDIRECT("LRC["&amp;BD$21&amp;"]"))</f>
        <v>5</v>
      </c>
      <c r="BE115" cm="1">
        <f t="array" aca="1" ref="BE115" ca="1">_xlfn.XLOOKUP($BC115,LRC[id],INDIRECT("LRC["&amp;BE$21&amp;"]"))</f>
        <v>2</v>
      </c>
    </row>
    <row r="116" spans="38:57" x14ac:dyDescent="0.3">
      <c r="AL116">
        <v>95</v>
      </c>
      <c r="AM116" cm="1">
        <f t="array" aca="1" ref="AM116" ca="1">_xlfn.XLOOKUP($AL116,LRC[id],INDIRECT("LRC["&amp;AM$21&amp;"]"))</f>
        <v>6</v>
      </c>
      <c r="AN116" cm="1">
        <f t="array" aca="1" ref="AN116" ca="1">_xlfn.XLOOKUP($AL116,LRC[id],INDIRECT("LRC["&amp;AN$21&amp;"]"))</f>
        <v>3</v>
      </c>
      <c r="BC116">
        <v>395</v>
      </c>
      <c r="BD116" cm="1">
        <f t="array" aca="1" ref="BD116" ca="1">_xlfn.XLOOKUP($BC116,LRC[id],INDIRECT("LRC["&amp;BD$21&amp;"]"))</f>
        <v>6</v>
      </c>
      <c r="BE116" cm="1">
        <f t="array" aca="1" ref="BE116" ca="1">_xlfn.XLOOKUP($BC116,LRC[id],INDIRECT("LRC["&amp;BE$21&amp;"]"))</f>
        <v>3</v>
      </c>
    </row>
    <row r="117" spans="38:57" x14ac:dyDescent="0.3">
      <c r="AL117">
        <v>96</v>
      </c>
      <c r="AM117" cm="1">
        <f t="array" aca="1" ref="AM117" ca="1">_xlfn.XLOOKUP($AL117,LRC[id],INDIRECT("LRC["&amp;AM$21&amp;"]"))</f>
        <v>8</v>
      </c>
      <c r="AN117" cm="1">
        <f t="array" aca="1" ref="AN117" ca="1">_xlfn.XLOOKUP($AL117,LRC[id],INDIRECT("LRC["&amp;AN$21&amp;"]"))</f>
        <v>4</v>
      </c>
      <c r="BC117">
        <v>396</v>
      </c>
      <c r="BD117" cm="1">
        <f t="array" aca="1" ref="BD117" ca="1">_xlfn.XLOOKUP($BC117,LRC[id],INDIRECT("LRC["&amp;BD$21&amp;"]"))</f>
        <v>8</v>
      </c>
      <c r="BE117" cm="1">
        <f t="array" aca="1" ref="BE117" ca="1">_xlfn.XLOOKUP($BC117,LRC[id],INDIRECT("LRC["&amp;BE$21&amp;"]"))</f>
        <v>4</v>
      </c>
    </row>
    <row r="118" spans="38:57" x14ac:dyDescent="0.3">
      <c r="AL118">
        <v>97</v>
      </c>
      <c r="AM118" cm="1">
        <f t="array" aca="1" ref="AM118" ca="1">_xlfn.XLOOKUP($AL118,LRC[id],INDIRECT("LRC["&amp;AM$21&amp;"]"))</f>
        <v>3</v>
      </c>
      <c r="AN118" cm="1">
        <f t="array" aca="1" ref="AN118" ca="1">_xlfn.XLOOKUP($AL118,LRC[id],INDIRECT("LRC["&amp;AN$21&amp;"]"))</f>
        <v>1</v>
      </c>
      <c r="BC118">
        <v>397</v>
      </c>
      <c r="BD118" cm="1">
        <f t="array" aca="1" ref="BD118" ca="1">_xlfn.XLOOKUP($BC118,LRC[id],INDIRECT("LRC["&amp;BD$21&amp;"]"))</f>
        <v>3</v>
      </c>
      <c r="BE118" cm="1">
        <f t="array" aca="1" ref="BE118" ca="1">_xlfn.XLOOKUP($BC118,LRC[id],INDIRECT("LRC["&amp;BE$21&amp;"]"))</f>
        <v>1</v>
      </c>
    </row>
    <row r="119" spans="38:57" x14ac:dyDescent="0.3">
      <c r="AL119">
        <v>98</v>
      </c>
      <c r="AM119" cm="1">
        <f t="array" aca="1" ref="AM119" ca="1">_xlfn.XLOOKUP($AL119,LRC[id],INDIRECT("LRC["&amp;AM$21&amp;"]"))</f>
        <v>5</v>
      </c>
      <c r="AN119" cm="1">
        <f t="array" aca="1" ref="AN119" ca="1">_xlfn.XLOOKUP($AL119,LRC[id],INDIRECT("LRC["&amp;AN$21&amp;"]"))</f>
        <v>2</v>
      </c>
      <c r="BC119">
        <v>398</v>
      </c>
      <c r="BD119" cm="1">
        <f t="array" aca="1" ref="BD119" ca="1">_xlfn.XLOOKUP($BC119,LRC[id],INDIRECT("LRC["&amp;BD$21&amp;"]"))</f>
        <v>5</v>
      </c>
      <c r="BE119" cm="1">
        <f t="array" aca="1" ref="BE119" ca="1">_xlfn.XLOOKUP($BC119,LRC[id],INDIRECT("LRC["&amp;BE$21&amp;"]"))</f>
        <v>2</v>
      </c>
    </row>
    <row r="120" spans="38:57" x14ac:dyDescent="0.3">
      <c r="AL120">
        <v>99</v>
      </c>
      <c r="AM120" cm="1">
        <f t="array" aca="1" ref="AM120" ca="1">_xlfn.XLOOKUP($AL120,LRC[id],INDIRECT("LRC["&amp;AM$21&amp;"]"))</f>
        <v>7</v>
      </c>
      <c r="AN120" cm="1">
        <f t="array" aca="1" ref="AN120" ca="1">_xlfn.XLOOKUP($AL120,LRC[id],INDIRECT("LRC["&amp;AN$21&amp;"]"))</f>
        <v>3</v>
      </c>
      <c r="BC120">
        <v>399</v>
      </c>
      <c r="BD120" cm="1">
        <f t="array" aca="1" ref="BD120" ca="1">_xlfn.XLOOKUP($BC120,LRC[id],INDIRECT("LRC["&amp;BD$21&amp;"]"))</f>
        <v>7</v>
      </c>
      <c r="BE120" cm="1">
        <f t="array" aca="1" ref="BE120" ca="1">_xlfn.XLOOKUP($BC120,LRC[id],INDIRECT("LRC["&amp;BE$21&amp;"]"))</f>
        <v>3</v>
      </c>
    </row>
    <row r="121" spans="38:57" x14ac:dyDescent="0.3">
      <c r="AL121">
        <v>100</v>
      </c>
      <c r="AM121" cm="1">
        <f t="array" aca="1" ref="AM121" ca="1">_xlfn.XLOOKUP($AL121,LRC[id],INDIRECT("LRC["&amp;AM$21&amp;"]"))</f>
        <v>9</v>
      </c>
      <c r="AN121" cm="1">
        <f t="array" aca="1" ref="AN121" ca="1">_xlfn.XLOOKUP($AL121,LRC[id],INDIRECT("LRC["&amp;AN$21&amp;"]"))</f>
        <v>4</v>
      </c>
      <c r="BC121">
        <v>400</v>
      </c>
      <c r="BD121" cm="1">
        <f t="array" aca="1" ref="BD121" ca="1">_xlfn.XLOOKUP($BC121,LRC[id],INDIRECT("LRC["&amp;BD$21&amp;"]"))</f>
        <v>9</v>
      </c>
      <c r="BE121" cm="1">
        <f t="array" aca="1" ref="BE121" ca="1">_xlfn.XLOOKUP($BC121,LRC[id],INDIRECT("LRC["&amp;BE$21&amp;"]"))</f>
        <v>4</v>
      </c>
    </row>
    <row r="122" spans="38:57" x14ac:dyDescent="0.3">
      <c r="AL122">
        <v>101</v>
      </c>
      <c r="AM122" cm="1">
        <f t="array" aca="1" ref="AM122" ca="1">_xlfn.XLOOKUP($AL122,LRC[id],INDIRECT("LRC["&amp;AM$21&amp;"]"))</f>
        <v>4</v>
      </c>
      <c r="AN122" cm="1">
        <f t="array" aca="1" ref="AN122" ca="1">_xlfn.XLOOKUP($AL122,LRC[id],INDIRECT("LRC["&amp;AN$21&amp;"]"))</f>
        <v>1</v>
      </c>
      <c r="BC122">
        <v>401</v>
      </c>
      <c r="BD122" cm="1">
        <f t="array" aca="1" ref="BD122" ca="1">_xlfn.XLOOKUP($BC122,LRC[id],INDIRECT("LRC["&amp;BD$21&amp;"]"))</f>
        <v>4</v>
      </c>
      <c r="BE122" cm="1">
        <f t="array" aca="1" ref="BE122" ca="1">_xlfn.XLOOKUP($BC122,LRC[id],INDIRECT("LRC["&amp;BE$21&amp;"]"))</f>
        <v>1</v>
      </c>
    </row>
    <row r="123" spans="38:57" x14ac:dyDescent="0.3">
      <c r="AL123">
        <v>102</v>
      </c>
      <c r="AM123" cm="1">
        <f t="array" aca="1" ref="AM123" ca="1">_xlfn.XLOOKUP($AL123,LRC[id],INDIRECT("LRC["&amp;AM$21&amp;"]"))</f>
        <v>5</v>
      </c>
      <c r="AN123" cm="1">
        <f t="array" aca="1" ref="AN123" ca="1">_xlfn.XLOOKUP($AL123,LRC[id],INDIRECT("LRC["&amp;AN$21&amp;"]"))</f>
        <v>2</v>
      </c>
      <c r="BC123">
        <v>402</v>
      </c>
      <c r="BD123" cm="1">
        <f t="array" aca="1" ref="BD123" ca="1">_xlfn.XLOOKUP($BC123,LRC[id],INDIRECT("LRC["&amp;BD$21&amp;"]"))</f>
        <v>5</v>
      </c>
      <c r="BE123" cm="1">
        <f t="array" aca="1" ref="BE123" ca="1">_xlfn.XLOOKUP($BC123,LRC[id],INDIRECT("LRC["&amp;BE$21&amp;"]"))</f>
        <v>2</v>
      </c>
    </row>
    <row r="124" spans="38:57" x14ac:dyDescent="0.3">
      <c r="AL124">
        <v>103</v>
      </c>
      <c r="AM124" cm="1">
        <f t="array" aca="1" ref="AM124" ca="1">_xlfn.XLOOKUP($AL124,LRC[id],INDIRECT("LRC["&amp;AM$21&amp;"]"))</f>
        <v>7</v>
      </c>
      <c r="AN124" cm="1">
        <f t="array" aca="1" ref="AN124" ca="1">_xlfn.XLOOKUP($AL124,LRC[id],INDIRECT("LRC["&amp;AN$21&amp;"]"))</f>
        <v>3</v>
      </c>
      <c r="BC124">
        <v>403</v>
      </c>
      <c r="BD124" cm="1">
        <f t="array" aca="1" ref="BD124" ca="1">_xlfn.XLOOKUP($BC124,LRC[id],INDIRECT("LRC["&amp;BD$21&amp;"]"))</f>
        <v>7</v>
      </c>
      <c r="BE124" cm="1">
        <f t="array" aca="1" ref="BE124" ca="1">_xlfn.XLOOKUP($BC124,LRC[id],INDIRECT("LRC["&amp;BE$21&amp;"]"))</f>
        <v>3</v>
      </c>
    </row>
    <row r="125" spans="38:57" x14ac:dyDescent="0.3">
      <c r="AL125">
        <v>104</v>
      </c>
      <c r="AM125" cm="1">
        <f t="array" aca="1" ref="AM125" ca="1">_xlfn.XLOOKUP($AL125,LRC[id],INDIRECT("LRC["&amp;AM$21&amp;"]"))</f>
        <v>9</v>
      </c>
      <c r="AN125" cm="1">
        <f t="array" aca="1" ref="AN125" ca="1">_xlfn.XLOOKUP($AL125,LRC[id],INDIRECT("LRC["&amp;AN$21&amp;"]"))</f>
        <v>4</v>
      </c>
      <c r="BC125">
        <v>404</v>
      </c>
      <c r="BD125" cm="1">
        <f t="array" aca="1" ref="BD125" ca="1">_xlfn.XLOOKUP($BC125,LRC[id],INDIRECT("LRC["&amp;BD$21&amp;"]"))</f>
        <v>9</v>
      </c>
      <c r="BE125" cm="1">
        <f t="array" aca="1" ref="BE125" ca="1">_xlfn.XLOOKUP($BC125,LRC[id],INDIRECT("LRC["&amp;BE$21&amp;"]"))</f>
        <v>4</v>
      </c>
    </row>
    <row r="126" spans="38:57" x14ac:dyDescent="0.3">
      <c r="AL126">
        <v>105</v>
      </c>
      <c r="AM126" cm="1">
        <f t="array" aca="1" ref="AM126" ca="1">_xlfn.XLOOKUP($AL126,LRC[id],INDIRECT("LRC["&amp;AM$21&amp;"]"))</f>
        <v>7</v>
      </c>
      <c r="AN126" cm="1">
        <f t="array" aca="1" ref="AN126" ca="1">_xlfn.XLOOKUP($AL126,LRC[id],INDIRECT("LRC["&amp;AN$21&amp;"]"))</f>
        <v>1</v>
      </c>
      <c r="BC126">
        <v>405</v>
      </c>
      <c r="BD126" cm="1">
        <f t="array" aca="1" ref="BD126" ca="1">_xlfn.XLOOKUP($BC126,LRC[id],INDIRECT("LRC["&amp;BD$21&amp;"]"))</f>
        <v>7</v>
      </c>
      <c r="BE126" cm="1">
        <f t="array" aca="1" ref="BE126" ca="1">_xlfn.XLOOKUP($BC126,LRC[id],INDIRECT("LRC["&amp;BE$21&amp;"]"))</f>
        <v>1</v>
      </c>
    </row>
    <row r="127" spans="38:57" x14ac:dyDescent="0.3">
      <c r="AL127">
        <v>106</v>
      </c>
      <c r="AM127" cm="1">
        <f t="array" aca="1" ref="AM127" ca="1">_xlfn.XLOOKUP($AL127,LRC[id],INDIRECT("LRC["&amp;AM$21&amp;"]"))</f>
        <v>10</v>
      </c>
      <c r="AN127" cm="1">
        <f t="array" aca="1" ref="AN127" ca="1">_xlfn.XLOOKUP($AL127,LRC[id],INDIRECT("LRC["&amp;AN$21&amp;"]"))</f>
        <v>2</v>
      </c>
      <c r="BC127">
        <v>406</v>
      </c>
      <c r="BD127" cm="1">
        <f t="array" aca="1" ref="BD127" ca="1">_xlfn.XLOOKUP($BC127,LRC[id],INDIRECT("LRC["&amp;BD$21&amp;"]"))</f>
        <v>10</v>
      </c>
      <c r="BE127" cm="1">
        <f t="array" aca="1" ref="BE127" ca="1">_xlfn.XLOOKUP($BC127,LRC[id],INDIRECT("LRC["&amp;BE$21&amp;"]"))</f>
        <v>2</v>
      </c>
    </row>
    <row r="128" spans="38:57" x14ac:dyDescent="0.3">
      <c r="AL128">
        <v>107</v>
      </c>
      <c r="AM128" cm="1">
        <f t="array" aca="1" ref="AM128" ca="1">_xlfn.XLOOKUP($AL128,LRC[id],INDIRECT("LRC["&amp;AM$21&amp;"]"))</f>
        <v>13</v>
      </c>
      <c r="AN128" cm="1">
        <f t="array" aca="1" ref="AN128" ca="1">_xlfn.XLOOKUP($AL128,LRC[id],INDIRECT("LRC["&amp;AN$21&amp;"]"))</f>
        <v>3</v>
      </c>
      <c r="BC128">
        <v>407</v>
      </c>
      <c r="BD128" cm="1">
        <f t="array" aca="1" ref="BD128" ca="1">_xlfn.XLOOKUP($BC128,LRC[id],INDIRECT("LRC["&amp;BD$21&amp;"]"))</f>
        <v>13</v>
      </c>
      <c r="BE128" cm="1">
        <f t="array" aca="1" ref="BE128" ca="1">_xlfn.XLOOKUP($BC128,LRC[id],INDIRECT("LRC["&amp;BE$21&amp;"]"))</f>
        <v>3</v>
      </c>
    </row>
    <row r="129" spans="38:57" x14ac:dyDescent="0.3">
      <c r="AL129">
        <v>108</v>
      </c>
      <c r="AM129" cm="1">
        <f t="array" aca="1" ref="AM129" ca="1">_xlfn.XLOOKUP($AL129,LRC[id],INDIRECT("LRC["&amp;AM$21&amp;"]"))</f>
        <v>16</v>
      </c>
      <c r="AN129" cm="1">
        <f t="array" aca="1" ref="AN129" ca="1">_xlfn.XLOOKUP($AL129,LRC[id],INDIRECT("LRC["&amp;AN$21&amp;"]"))</f>
        <v>4</v>
      </c>
      <c r="BC129">
        <v>408</v>
      </c>
      <c r="BD129" cm="1">
        <f t="array" aca="1" ref="BD129" ca="1">_xlfn.XLOOKUP($BC129,LRC[id],INDIRECT("LRC["&amp;BD$21&amp;"]"))</f>
        <v>16</v>
      </c>
      <c r="BE129" cm="1">
        <f t="array" aca="1" ref="BE129" ca="1">_xlfn.XLOOKUP($BC129,LRC[id],INDIRECT("LRC["&amp;BE$21&amp;"]"))</f>
        <v>4</v>
      </c>
    </row>
    <row r="130" spans="38:57" x14ac:dyDescent="0.3">
      <c r="AL130">
        <v>109</v>
      </c>
      <c r="AM130" cm="1">
        <f t="array" aca="1" ref="AM130" ca="1">_xlfn.XLOOKUP($AL130,LRC[id],INDIRECT("LRC["&amp;AM$21&amp;"]"))</f>
        <v>10</v>
      </c>
      <c r="AN130" cm="1">
        <f t="array" aca="1" ref="AN130" ca="1">_xlfn.XLOOKUP($AL130,LRC[id],INDIRECT("LRC["&amp;AN$21&amp;"]"))</f>
        <v>1</v>
      </c>
      <c r="BC130">
        <v>409</v>
      </c>
      <c r="BD130" cm="1">
        <f t="array" aca="1" ref="BD130" ca="1">_xlfn.XLOOKUP($BC130,LRC[id],INDIRECT("LRC["&amp;BD$21&amp;"]"))</f>
        <v>10</v>
      </c>
      <c r="BE130" cm="1">
        <f t="array" aca="1" ref="BE130" ca="1">_xlfn.XLOOKUP($BC130,LRC[id],INDIRECT("LRC["&amp;BE$21&amp;"]"))</f>
        <v>1</v>
      </c>
    </row>
    <row r="131" spans="38:57" x14ac:dyDescent="0.3">
      <c r="AL131">
        <v>110</v>
      </c>
      <c r="AM131" cm="1">
        <f t="array" aca="1" ref="AM131" ca="1">_xlfn.XLOOKUP($AL131,LRC[id],INDIRECT("LRC["&amp;AM$21&amp;"]"))</f>
        <v>15</v>
      </c>
      <c r="AN131" cm="1">
        <f t="array" aca="1" ref="AN131" ca="1">_xlfn.XLOOKUP($AL131,LRC[id],INDIRECT("LRC["&amp;AN$21&amp;"]"))</f>
        <v>2</v>
      </c>
      <c r="BC131">
        <v>410</v>
      </c>
      <c r="BD131" cm="1">
        <f t="array" aca="1" ref="BD131" ca="1">_xlfn.XLOOKUP($BC131,LRC[id],INDIRECT("LRC["&amp;BD$21&amp;"]"))</f>
        <v>15</v>
      </c>
      <c r="BE131" cm="1">
        <f t="array" aca="1" ref="BE131" ca="1">_xlfn.XLOOKUP($BC131,LRC[id],INDIRECT("LRC["&amp;BE$21&amp;"]"))</f>
        <v>2</v>
      </c>
    </row>
    <row r="132" spans="38:57" x14ac:dyDescent="0.3">
      <c r="AL132">
        <v>111</v>
      </c>
      <c r="AM132" cm="1">
        <f t="array" aca="1" ref="AM132" ca="1">_xlfn.XLOOKUP($AL132,LRC[id],INDIRECT("LRC["&amp;AM$21&amp;"]"))</f>
        <v>19</v>
      </c>
      <c r="AN132" cm="1">
        <f t="array" aca="1" ref="AN132" ca="1">_xlfn.XLOOKUP($AL132,LRC[id],INDIRECT("LRC["&amp;AN$21&amp;"]"))</f>
        <v>3</v>
      </c>
      <c r="BC132">
        <v>411</v>
      </c>
      <c r="BD132" cm="1">
        <f t="array" aca="1" ref="BD132" ca="1">_xlfn.XLOOKUP($BC132,LRC[id],INDIRECT("LRC["&amp;BD$21&amp;"]"))</f>
        <v>19</v>
      </c>
      <c r="BE132" cm="1">
        <f t="array" aca="1" ref="BE132" ca="1">_xlfn.XLOOKUP($BC132,LRC[id],INDIRECT("LRC["&amp;BE$21&amp;"]"))</f>
        <v>3</v>
      </c>
    </row>
    <row r="133" spans="38:57" x14ac:dyDescent="0.3">
      <c r="AL133">
        <v>112</v>
      </c>
      <c r="AM133" cm="1">
        <f t="array" aca="1" ref="AM133" ca="1">_xlfn.XLOOKUP($AL133,LRC[id],INDIRECT("LRC["&amp;AM$21&amp;"]"))</f>
        <v>23</v>
      </c>
      <c r="AN133" cm="1">
        <f t="array" aca="1" ref="AN133" ca="1">_xlfn.XLOOKUP($AL133,LRC[id],INDIRECT("LRC["&amp;AN$21&amp;"]"))</f>
        <v>4</v>
      </c>
      <c r="BC133">
        <v>412</v>
      </c>
      <c r="BD133" cm="1">
        <f t="array" aca="1" ref="BD133" ca="1">_xlfn.XLOOKUP($BC133,LRC[id],INDIRECT("LRC["&amp;BD$21&amp;"]"))</f>
        <v>23</v>
      </c>
      <c r="BE133" cm="1">
        <f t="array" aca="1" ref="BE133" ca="1">_xlfn.XLOOKUP($BC133,LRC[id],INDIRECT("LRC["&amp;BE$21&amp;"]"))</f>
        <v>4</v>
      </c>
    </row>
    <row r="134" spans="38:57" x14ac:dyDescent="0.3">
      <c r="AL134">
        <v>113</v>
      </c>
      <c r="AM134" cm="1">
        <f t="array" aca="1" ref="AM134" ca="1">_xlfn.XLOOKUP($AL134,LRC[id],INDIRECT("LRC["&amp;AM$21&amp;"]"))</f>
        <v>12</v>
      </c>
      <c r="AN134" cm="1">
        <f t="array" aca="1" ref="AN134" ca="1">_xlfn.XLOOKUP($AL134,LRC[id],INDIRECT("LRC["&amp;AN$21&amp;"]"))</f>
        <v>1</v>
      </c>
      <c r="BC134">
        <v>413</v>
      </c>
      <c r="BD134" cm="1">
        <f t="array" aca="1" ref="BD134" ca="1">_xlfn.XLOOKUP($BC134,LRC[id],INDIRECT("LRC["&amp;BD$21&amp;"]"))</f>
        <v>12</v>
      </c>
      <c r="BE134" cm="1">
        <f t="array" aca="1" ref="BE134" ca="1">_xlfn.XLOOKUP($BC134,LRC[id],INDIRECT("LRC["&amp;BE$21&amp;"]"))</f>
        <v>1</v>
      </c>
    </row>
    <row r="135" spans="38:57" x14ac:dyDescent="0.3">
      <c r="AL135">
        <v>114</v>
      </c>
      <c r="AM135" cm="1">
        <f t="array" aca="1" ref="AM135" ca="1">_xlfn.XLOOKUP($AL135,LRC[id],INDIRECT("LRC["&amp;AM$21&amp;"]"))</f>
        <v>19</v>
      </c>
      <c r="AN135" cm="1">
        <f t="array" aca="1" ref="AN135" ca="1">_xlfn.XLOOKUP($AL135,LRC[id],INDIRECT("LRC["&amp;AN$21&amp;"]"))</f>
        <v>2</v>
      </c>
      <c r="BC135">
        <v>414</v>
      </c>
      <c r="BD135" cm="1">
        <f t="array" aca="1" ref="BD135" ca="1">_xlfn.XLOOKUP($BC135,LRC[id],INDIRECT("LRC["&amp;BD$21&amp;"]"))</f>
        <v>19</v>
      </c>
      <c r="BE135" cm="1">
        <f t="array" aca="1" ref="BE135" ca="1">_xlfn.XLOOKUP($BC135,LRC[id],INDIRECT("LRC["&amp;BE$21&amp;"]"))</f>
        <v>2</v>
      </c>
    </row>
    <row r="136" spans="38:57" x14ac:dyDescent="0.3">
      <c r="AL136">
        <v>115</v>
      </c>
      <c r="AM136" cm="1">
        <f t="array" aca="1" ref="AM136" ca="1">_xlfn.XLOOKUP($AL136,LRC[id],INDIRECT("LRC["&amp;AM$21&amp;"]"))</f>
        <v>25</v>
      </c>
      <c r="AN136" cm="1">
        <f t="array" aca="1" ref="AN136" ca="1">_xlfn.XLOOKUP($AL136,LRC[id],INDIRECT("LRC["&amp;AN$21&amp;"]"))</f>
        <v>3</v>
      </c>
      <c r="BC136">
        <v>415</v>
      </c>
      <c r="BD136" cm="1">
        <f t="array" aca="1" ref="BD136" ca="1">_xlfn.XLOOKUP($BC136,LRC[id],INDIRECT("LRC["&amp;BD$21&amp;"]"))</f>
        <v>25</v>
      </c>
      <c r="BE136" cm="1">
        <f t="array" aca="1" ref="BE136" ca="1">_xlfn.XLOOKUP($BC136,LRC[id],INDIRECT("LRC["&amp;BE$21&amp;"]"))</f>
        <v>3</v>
      </c>
    </row>
    <row r="137" spans="38:57" x14ac:dyDescent="0.3">
      <c r="AL137">
        <v>116</v>
      </c>
      <c r="AM137" cm="1">
        <f t="array" aca="1" ref="AM137" ca="1">_xlfn.XLOOKUP($AL137,LRC[id],INDIRECT("LRC["&amp;AM$21&amp;"]"))</f>
        <v>31</v>
      </c>
      <c r="AN137" cm="1">
        <f t="array" aca="1" ref="AN137" ca="1">_xlfn.XLOOKUP($AL137,LRC[id],INDIRECT("LRC["&amp;AN$21&amp;"]"))</f>
        <v>4</v>
      </c>
      <c r="BC137">
        <v>416</v>
      </c>
      <c r="BD137" cm="1">
        <f t="array" aca="1" ref="BD137" ca="1">_xlfn.XLOOKUP($BC137,LRC[id],INDIRECT("LRC["&amp;BD$21&amp;"]"))</f>
        <v>31</v>
      </c>
      <c r="BE137" cm="1">
        <f t="array" aca="1" ref="BE137" ca="1">_xlfn.XLOOKUP($BC137,LRC[id],INDIRECT("LRC["&amp;BE$21&amp;"]"))</f>
        <v>4</v>
      </c>
    </row>
    <row r="138" spans="38:57" x14ac:dyDescent="0.3">
      <c r="AL138">
        <v>117</v>
      </c>
      <c r="AM138" cm="1">
        <f t="array" aca="1" ref="AM138" ca="1">_xlfn.XLOOKUP($AL138,LRC[id],INDIRECT("LRC["&amp;AM$21&amp;"]"))</f>
        <v>14</v>
      </c>
      <c r="AN138" cm="1">
        <f t="array" aca="1" ref="AN138" ca="1">_xlfn.XLOOKUP($AL138,LRC[id],INDIRECT("LRC["&amp;AN$21&amp;"]"))</f>
        <v>1</v>
      </c>
      <c r="BC138">
        <v>417</v>
      </c>
      <c r="BD138" cm="1">
        <f t="array" aca="1" ref="BD138" ca="1">_xlfn.XLOOKUP($BC138,LRC[id],INDIRECT("LRC["&amp;BD$21&amp;"]"))</f>
        <v>14</v>
      </c>
      <c r="BE138" cm="1">
        <f t="array" aca="1" ref="BE138" ca="1">_xlfn.XLOOKUP($BC138,LRC[id],INDIRECT("LRC["&amp;BE$21&amp;"]"))</f>
        <v>1</v>
      </c>
    </row>
    <row r="139" spans="38:57" x14ac:dyDescent="0.3">
      <c r="AL139">
        <v>118</v>
      </c>
      <c r="AM139" cm="1">
        <f t="array" aca="1" ref="AM139" ca="1">_xlfn.XLOOKUP($AL139,LRC[id],INDIRECT("LRC["&amp;AM$21&amp;"]"))</f>
        <v>22</v>
      </c>
      <c r="AN139" cm="1">
        <f t="array" aca="1" ref="AN139" ca="1">_xlfn.XLOOKUP($AL139,LRC[id],INDIRECT("LRC["&amp;AN$21&amp;"]"))</f>
        <v>2</v>
      </c>
      <c r="BC139">
        <v>418</v>
      </c>
      <c r="BD139" cm="1">
        <f t="array" aca="1" ref="BD139" ca="1">_xlfn.XLOOKUP($BC139,LRC[id],INDIRECT("LRC["&amp;BD$21&amp;"]"))</f>
        <v>22</v>
      </c>
      <c r="BE139" cm="1">
        <f t="array" aca="1" ref="BE139" ca="1">_xlfn.XLOOKUP($BC139,LRC[id],INDIRECT("LRC["&amp;BE$21&amp;"]"))</f>
        <v>2</v>
      </c>
    </row>
    <row r="140" spans="38:57" x14ac:dyDescent="0.3">
      <c r="AL140">
        <v>119</v>
      </c>
      <c r="AM140" cm="1">
        <f t="array" aca="1" ref="AM140" ca="1">_xlfn.XLOOKUP($AL140,LRC[id],INDIRECT("LRC["&amp;AM$21&amp;"]"))</f>
        <v>30</v>
      </c>
      <c r="AN140" cm="1">
        <f t="array" aca="1" ref="AN140" ca="1">_xlfn.XLOOKUP($AL140,LRC[id],INDIRECT("LRC["&amp;AN$21&amp;"]"))</f>
        <v>3</v>
      </c>
      <c r="BC140">
        <v>419</v>
      </c>
      <c r="BD140" cm="1">
        <f t="array" aca="1" ref="BD140" ca="1">_xlfn.XLOOKUP($BC140,LRC[id],INDIRECT("LRC["&amp;BD$21&amp;"]"))</f>
        <v>30</v>
      </c>
      <c r="BE140" cm="1">
        <f t="array" aca="1" ref="BE140" ca="1">_xlfn.XLOOKUP($BC140,LRC[id],INDIRECT("LRC["&amp;BE$21&amp;"]"))</f>
        <v>3</v>
      </c>
    </row>
    <row r="141" spans="38:57" x14ac:dyDescent="0.3">
      <c r="AL141">
        <v>120</v>
      </c>
      <c r="AM141" cm="1">
        <f t="array" aca="1" ref="AM141" ca="1">_xlfn.XLOOKUP($AL141,LRC[id],INDIRECT("LRC["&amp;AM$21&amp;"]"))</f>
        <v>38</v>
      </c>
      <c r="AN141" cm="1">
        <f t="array" aca="1" ref="AN141" ca="1">_xlfn.XLOOKUP($AL141,LRC[id],INDIRECT("LRC["&amp;AN$21&amp;"]"))</f>
        <v>4</v>
      </c>
      <c r="BC141">
        <v>420</v>
      </c>
      <c r="BD141" cm="1">
        <f t="array" aca="1" ref="BD141" ca="1">_xlfn.XLOOKUP($BC141,LRC[id],INDIRECT("LRC["&amp;BD$21&amp;"]"))</f>
        <v>38</v>
      </c>
      <c r="BE141" cm="1">
        <f t="array" aca="1" ref="BE141" ca="1">_xlfn.XLOOKUP($BC141,LRC[id],INDIRECT("LRC["&amp;BE$21&amp;"]"))</f>
        <v>4</v>
      </c>
    </row>
    <row r="142" spans="38:57" x14ac:dyDescent="0.3">
      <c r="AL142">
        <v>121</v>
      </c>
      <c r="AM142" cm="1">
        <f t="array" aca="1" ref="AM142" ca="1">_xlfn.XLOOKUP($AL142,LRC[id],INDIRECT("LRC["&amp;AM$21&amp;"]"))</f>
        <v>3</v>
      </c>
      <c r="AN142" cm="1">
        <f t="array" aca="1" ref="AN142" ca="1">_xlfn.XLOOKUP($AL142,LRC[id],INDIRECT("LRC["&amp;AN$21&amp;"]"))</f>
        <v>1</v>
      </c>
      <c r="BC142">
        <v>421</v>
      </c>
      <c r="BD142" cm="1">
        <f t="array" aca="1" ref="BD142" ca="1">_xlfn.XLOOKUP($BC142,LRC[id],INDIRECT("LRC["&amp;BD$21&amp;"]"))</f>
        <v>3</v>
      </c>
      <c r="BE142" cm="1">
        <f t="array" aca="1" ref="BE142" ca="1">_xlfn.XLOOKUP($BC142,LRC[id],INDIRECT("LRC["&amp;BE$21&amp;"]"))</f>
        <v>1</v>
      </c>
    </row>
    <row r="143" spans="38:57" x14ac:dyDescent="0.3">
      <c r="AL143">
        <v>122</v>
      </c>
      <c r="AM143" cm="1">
        <f t="array" aca="1" ref="AM143" ca="1">_xlfn.XLOOKUP($AL143,LRC[id],INDIRECT("LRC["&amp;AM$21&amp;"]"))</f>
        <v>4</v>
      </c>
      <c r="AN143" cm="1">
        <f t="array" aca="1" ref="AN143" ca="1">_xlfn.XLOOKUP($AL143,LRC[id],INDIRECT("LRC["&amp;AN$21&amp;"]"))</f>
        <v>2</v>
      </c>
      <c r="BC143">
        <v>422</v>
      </c>
      <c r="BD143" cm="1">
        <f t="array" aca="1" ref="BD143" ca="1">_xlfn.XLOOKUP($BC143,LRC[id],INDIRECT("LRC["&amp;BD$21&amp;"]"))</f>
        <v>4</v>
      </c>
      <c r="BE143" cm="1">
        <f t="array" aca="1" ref="BE143" ca="1">_xlfn.XLOOKUP($BC143,LRC[id],INDIRECT("LRC["&amp;BE$21&amp;"]"))</f>
        <v>2</v>
      </c>
    </row>
    <row r="144" spans="38:57" x14ac:dyDescent="0.3">
      <c r="AL144">
        <v>123</v>
      </c>
      <c r="AM144" cm="1">
        <f t="array" aca="1" ref="AM144" ca="1">_xlfn.XLOOKUP($AL144,LRC[id],INDIRECT("LRC["&amp;AM$21&amp;"]"))</f>
        <v>5</v>
      </c>
      <c r="AN144" cm="1">
        <f t="array" aca="1" ref="AN144" ca="1">_xlfn.XLOOKUP($AL144,LRC[id],INDIRECT("LRC["&amp;AN$21&amp;"]"))</f>
        <v>3</v>
      </c>
      <c r="BC144">
        <v>423</v>
      </c>
      <c r="BD144" cm="1">
        <f t="array" aca="1" ref="BD144" ca="1">_xlfn.XLOOKUP($BC144,LRC[id],INDIRECT("LRC["&amp;BD$21&amp;"]"))</f>
        <v>5</v>
      </c>
      <c r="BE144" cm="1">
        <f t="array" aca="1" ref="BE144" ca="1">_xlfn.XLOOKUP($BC144,LRC[id],INDIRECT("LRC["&amp;BE$21&amp;"]"))</f>
        <v>3</v>
      </c>
    </row>
    <row r="145" spans="38:57" x14ac:dyDescent="0.3">
      <c r="AL145">
        <v>124</v>
      </c>
      <c r="AM145" cm="1">
        <f t="array" aca="1" ref="AM145" ca="1">_xlfn.XLOOKUP($AL145,LRC[id],INDIRECT("LRC["&amp;AM$21&amp;"]"))</f>
        <v>6</v>
      </c>
      <c r="AN145" cm="1">
        <f t="array" aca="1" ref="AN145" ca="1">_xlfn.XLOOKUP($AL145,LRC[id],INDIRECT("LRC["&amp;AN$21&amp;"]"))</f>
        <v>4</v>
      </c>
      <c r="BC145">
        <v>424</v>
      </c>
      <c r="BD145" cm="1">
        <f t="array" aca="1" ref="BD145" ca="1">_xlfn.XLOOKUP($BC145,LRC[id],INDIRECT("LRC["&amp;BD$21&amp;"]"))</f>
        <v>6</v>
      </c>
      <c r="BE145" cm="1">
        <f t="array" aca="1" ref="BE145" ca="1">_xlfn.XLOOKUP($BC145,LRC[id],INDIRECT("LRC["&amp;BE$21&amp;"]"))</f>
        <v>4</v>
      </c>
    </row>
    <row r="146" spans="38:57" x14ac:dyDescent="0.3">
      <c r="AL146">
        <v>125</v>
      </c>
      <c r="AM146" cm="1">
        <f t="array" aca="1" ref="AM146" ca="1">_xlfn.XLOOKUP($AL146,LRC[id],INDIRECT("LRC["&amp;AM$21&amp;"]"))</f>
        <v>5</v>
      </c>
      <c r="AN146" cm="1">
        <f t="array" aca="1" ref="AN146" ca="1">_xlfn.XLOOKUP($AL146,LRC[id],INDIRECT("LRC["&amp;AN$21&amp;"]"))</f>
        <v>1</v>
      </c>
      <c r="BC146">
        <v>425</v>
      </c>
      <c r="BD146" cm="1">
        <f t="array" aca="1" ref="BD146" ca="1">_xlfn.XLOOKUP($BC146,LRC[id],INDIRECT("LRC["&amp;BD$21&amp;"]"))</f>
        <v>5</v>
      </c>
      <c r="BE146" cm="1">
        <f t="array" aca="1" ref="BE146" ca="1">_xlfn.XLOOKUP($BC146,LRC[id],INDIRECT("LRC["&amp;BE$21&amp;"]"))</f>
        <v>1</v>
      </c>
    </row>
    <row r="147" spans="38:57" x14ac:dyDescent="0.3">
      <c r="AL147">
        <v>126</v>
      </c>
      <c r="AM147" cm="1">
        <f t="array" aca="1" ref="AM147" ca="1">_xlfn.XLOOKUP($AL147,LRC[id],INDIRECT("LRC["&amp;AM$21&amp;"]"))</f>
        <v>7</v>
      </c>
      <c r="AN147" cm="1">
        <f t="array" aca="1" ref="AN147" ca="1">_xlfn.XLOOKUP($AL147,LRC[id],INDIRECT("LRC["&amp;AN$21&amp;"]"))</f>
        <v>2</v>
      </c>
      <c r="BC147">
        <v>426</v>
      </c>
      <c r="BD147" cm="1">
        <f t="array" aca="1" ref="BD147" ca="1">_xlfn.XLOOKUP($BC147,LRC[id],INDIRECT("LRC["&amp;BD$21&amp;"]"))</f>
        <v>7</v>
      </c>
      <c r="BE147" cm="1">
        <f t="array" aca="1" ref="BE147" ca="1">_xlfn.XLOOKUP($BC147,LRC[id],INDIRECT("LRC["&amp;BE$21&amp;"]"))</f>
        <v>2</v>
      </c>
    </row>
    <row r="148" spans="38:57" x14ac:dyDescent="0.3">
      <c r="AL148">
        <v>127</v>
      </c>
      <c r="AM148" cm="1">
        <f t="array" aca="1" ref="AM148" ca="1">_xlfn.XLOOKUP($AL148,LRC[id],INDIRECT("LRC["&amp;AM$21&amp;"]"))</f>
        <v>9</v>
      </c>
      <c r="AN148" cm="1">
        <f t="array" aca="1" ref="AN148" ca="1">_xlfn.XLOOKUP($AL148,LRC[id],INDIRECT("LRC["&amp;AN$21&amp;"]"))</f>
        <v>3</v>
      </c>
      <c r="BC148">
        <v>427</v>
      </c>
      <c r="BD148" cm="1">
        <f t="array" aca="1" ref="BD148" ca="1">_xlfn.XLOOKUP($BC148,LRC[id],INDIRECT("LRC["&amp;BD$21&amp;"]"))</f>
        <v>9</v>
      </c>
      <c r="BE148" cm="1">
        <f t="array" aca="1" ref="BE148" ca="1">_xlfn.XLOOKUP($BC148,LRC[id],INDIRECT("LRC["&amp;BE$21&amp;"]"))</f>
        <v>3</v>
      </c>
    </row>
    <row r="149" spans="38:57" x14ac:dyDescent="0.3">
      <c r="AL149">
        <v>128</v>
      </c>
      <c r="AM149" cm="1">
        <f t="array" aca="1" ref="AM149" ca="1">_xlfn.XLOOKUP($AL149,LRC[id],INDIRECT("LRC["&amp;AM$21&amp;"]"))</f>
        <v>11</v>
      </c>
      <c r="AN149" cm="1">
        <f t="array" aca="1" ref="AN149" ca="1">_xlfn.XLOOKUP($AL149,LRC[id],INDIRECT("LRC["&amp;AN$21&amp;"]"))</f>
        <v>4</v>
      </c>
      <c r="BC149">
        <v>428</v>
      </c>
      <c r="BD149" cm="1">
        <f t="array" aca="1" ref="BD149" ca="1">_xlfn.XLOOKUP($BC149,LRC[id],INDIRECT("LRC["&amp;BD$21&amp;"]"))</f>
        <v>11</v>
      </c>
      <c r="BE149" cm="1">
        <f t="array" aca="1" ref="BE149" ca="1">_xlfn.XLOOKUP($BC149,LRC[id],INDIRECT("LRC["&amp;BE$21&amp;"]"))</f>
        <v>4</v>
      </c>
    </row>
    <row r="150" spans="38:57" x14ac:dyDescent="0.3">
      <c r="AL150">
        <v>129</v>
      </c>
      <c r="AM150" cm="1">
        <f t="array" aca="1" ref="AM150" ca="1">_xlfn.XLOOKUP($AL150,LRC[id],INDIRECT("LRC["&amp;AM$21&amp;"]"))</f>
        <v>7</v>
      </c>
      <c r="AN150" cm="1">
        <f t="array" aca="1" ref="AN150" ca="1">_xlfn.XLOOKUP($AL150,LRC[id],INDIRECT("LRC["&amp;AN$21&amp;"]"))</f>
        <v>1</v>
      </c>
      <c r="BC150">
        <v>429</v>
      </c>
      <c r="BD150" cm="1">
        <f t="array" aca="1" ref="BD150" ca="1">_xlfn.XLOOKUP($BC150,LRC[id],INDIRECT("LRC["&amp;BD$21&amp;"]"))</f>
        <v>7</v>
      </c>
      <c r="BE150" cm="1">
        <f t="array" aca="1" ref="BE150" ca="1">_xlfn.XLOOKUP($BC150,LRC[id],INDIRECT("LRC["&amp;BE$21&amp;"]"))</f>
        <v>1</v>
      </c>
    </row>
    <row r="151" spans="38:57" x14ac:dyDescent="0.3">
      <c r="AL151">
        <v>130</v>
      </c>
      <c r="AM151" cm="1">
        <f t="array" aca="1" ref="AM151" ca="1">_xlfn.XLOOKUP($AL151,LRC[id],INDIRECT("LRC["&amp;AM$21&amp;"]"))</f>
        <v>10</v>
      </c>
      <c r="AN151" cm="1">
        <f t="array" aca="1" ref="AN151" ca="1">_xlfn.XLOOKUP($AL151,LRC[id],INDIRECT("LRC["&amp;AN$21&amp;"]"))</f>
        <v>2</v>
      </c>
      <c r="BC151">
        <v>430</v>
      </c>
      <c r="BD151" cm="1">
        <f t="array" aca="1" ref="BD151" ca="1">_xlfn.XLOOKUP($BC151,LRC[id],INDIRECT("LRC["&amp;BD$21&amp;"]"))</f>
        <v>10</v>
      </c>
      <c r="BE151" cm="1">
        <f t="array" aca="1" ref="BE151" ca="1">_xlfn.XLOOKUP($BC151,LRC[id],INDIRECT("LRC["&amp;BE$21&amp;"]"))</f>
        <v>2</v>
      </c>
    </row>
    <row r="152" spans="38:57" x14ac:dyDescent="0.3">
      <c r="AL152">
        <v>131</v>
      </c>
      <c r="AM152" cm="1">
        <f t="array" aca="1" ref="AM152" ca="1">_xlfn.XLOOKUP($AL152,LRC[id],INDIRECT("LRC["&amp;AM$21&amp;"]"))</f>
        <v>13</v>
      </c>
      <c r="AN152" cm="1">
        <f t="array" aca="1" ref="AN152" ca="1">_xlfn.XLOOKUP($AL152,LRC[id],INDIRECT("LRC["&amp;AN$21&amp;"]"))</f>
        <v>3</v>
      </c>
      <c r="BC152">
        <v>431</v>
      </c>
      <c r="BD152" cm="1">
        <f t="array" aca="1" ref="BD152" ca="1">_xlfn.XLOOKUP($BC152,LRC[id],INDIRECT("LRC["&amp;BD$21&amp;"]"))</f>
        <v>13</v>
      </c>
      <c r="BE152" cm="1">
        <f t="array" aca="1" ref="BE152" ca="1">_xlfn.XLOOKUP($BC152,LRC[id],INDIRECT("LRC["&amp;BE$21&amp;"]"))</f>
        <v>3</v>
      </c>
    </row>
    <row r="153" spans="38:57" x14ac:dyDescent="0.3">
      <c r="AL153">
        <v>132</v>
      </c>
      <c r="AM153" cm="1">
        <f t="array" aca="1" ref="AM153" ca="1">_xlfn.XLOOKUP($AL153,LRC[id],INDIRECT("LRC["&amp;AM$21&amp;"]"))</f>
        <v>16</v>
      </c>
      <c r="AN153" cm="1">
        <f t="array" aca="1" ref="AN153" ca="1">_xlfn.XLOOKUP($AL153,LRC[id],INDIRECT("LRC["&amp;AN$21&amp;"]"))</f>
        <v>4</v>
      </c>
      <c r="BC153">
        <v>432</v>
      </c>
      <c r="BD153" cm="1">
        <f t="array" aca="1" ref="BD153" ca="1">_xlfn.XLOOKUP($BC153,LRC[id],INDIRECT("LRC["&amp;BD$21&amp;"]"))</f>
        <v>16</v>
      </c>
      <c r="BE153" cm="1">
        <f t="array" aca="1" ref="BE153" ca="1">_xlfn.XLOOKUP($BC153,LRC[id],INDIRECT("LRC["&amp;BE$21&amp;"]"))</f>
        <v>4</v>
      </c>
    </row>
    <row r="154" spans="38:57" x14ac:dyDescent="0.3">
      <c r="AL154">
        <v>133</v>
      </c>
      <c r="AM154" cm="1">
        <f t="array" aca="1" ref="AM154" ca="1">_xlfn.XLOOKUP($AL154,LRC[id],INDIRECT("LRC["&amp;AM$21&amp;"]"))</f>
        <v>9</v>
      </c>
      <c r="AN154" cm="1">
        <f t="array" aca="1" ref="AN154" ca="1">_xlfn.XLOOKUP($AL154,LRC[id],INDIRECT("LRC["&amp;AN$21&amp;"]"))</f>
        <v>1</v>
      </c>
      <c r="BC154">
        <v>433</v>
      </c>
      <c r="BD154" cm="1">
        <f t="array" aca="1" ref="BD154" ca="1">_xlfn.XLOOKUP($BC154,LRC[id],INDIRECT("LRC["&amp;BD$21&amp;"]"))</f>
        <v>9</v>
      </c>
      <c r="BE154" cm="1">
        <f t="array" aca="1" ref="BE154" ca="1">_xlfn.XLOOKUP($BC154,LRC[id],INDIRECT("LRC["&amp;BE$21&amp;"]"))</f>
        <v>1</v>
      </c>
    </row>
    <row r="155" spans="38:57" x14ac:dyDescent="0.3">
      <c r="AL155">
        <v>134</v>
      </c>
      <c r="AM155" cm="1">
        <f t="array" aca="1" ref="AM155" ca="1">_xlfn.XLOOKUP($AL155,LRC[id],INDIRECT("LRC["&amp;AM$21&amp;"]"))</f>
        <v>13</v>
      </c>
      <c r="AN155" cm="1">
        <f t="array" aca="1" ref="AN155" ca="1">_xlfn.XLOOKUP($AL155,LRC[id],INDIRECT("LRC["&amp;AN$21&amp;"]"))</f>
        <v>2</v>
      </c>
      <c r="BC155">
        <v>434</v>
      </c>
      <c r="BD155" cm="1">
        <f t="array" aca="1" ref="BD155" ca="1">_xlfn.XLOOKUP($BC155,LRC[id],INDIRECT("LRC["&amp;BD$21&amp;"]"))</f>
        <v>13</v>
      </c>
      <c r="BE155" cm="1">
        <f t="array" aca="1" ref="BE155" ca="1">_xlfn.XLOOKUP($BC155,LRC[id],INDIRECT("LRC["&amp;BE$21&amp;"]"))</f>
        <v>2</v>
      </c>
    </row>
    <row r="156" spans="38:57" x14ac:dyDescent="0.3">
      <c r="AL156">
        <v>135</v>
      </c>
      <c r="AM156" cm="1">
        <f t="array" aca="1" ref="AM156" ca="1">_xlfn.XLOOKUP($AL156,LRC[id],INDIRECT("LRC["&amp;AM$21&amp;"]"))</f>
        <v>17</v>
      </c>
      <c r="AN156" cm="1">
        <f t="array" aca="1" ref="AN156" ca="1">_xlfn.XLOOKUP($AL156,LRC[id],INDIRECT("LRC["&amp;AN$21&amp;"]"))</f>
        <v>3</v>
      </c>
      <c r="BC156">
        <v>435</v>
      </c>
      <c r="BD156" cm="1">
        <f t="array" aca="1" ref="BD156" ca="1">_xlfn.XLOOKUP($BC156,LRC[id],INDIRECT("LRC["&amp;BD$21&amp;"]"))</f>
        <v>17</v>
      </c>
      <c r="BE156" cm="1">
        <f t="array" aca="1" ref="BE156" ca="1">_xlfn.XLOOKUP($BC156,LRC[id],INDIRECT("LRC["&amp;BE$21&amp;"]"))</f>
        <v>3</v>
      </c>
    </row>
    <row r="157" spans="38:57" x14ac:dyDescent="0.3">
      <c r="AL157">
        <v>136</v>
      </c>
      <c r="AM157" cm="1">
        <f t="array" aca="1" ref="AM157" ca="1">_xlfn.XLOOKUP($AL157,LRC[id],INDIRECT("LRC["&amp;AM$21&amp;"]"))</f>
        <v>22</v>
      </c>
      <c r="AN157" cm="1">
        <f t="array" aca="1" ref="AN157" ca="1">_xlfn.XLOOKUP($AL157,LRC[id],INDIRECT("LRC["&amp;AN$21&amp;"]"))</f>
        <v>4</v>
      </c>
      <c r="BC157">
        <v>436</v>
      </c>
      <c r="BD157" cm="1">
        <f t="array" aca="1" ref="BD157" ca="1">_xlfn.XLOOKUP($BC157,LRC[id],INDIRECT("LRC["&amp;BD$21&amp;"]"))</f>
        <v>22</v>
      </c>
      <c r="BE157" cm="1">
        <f t="array" aca="1" ref="BE157" ca="1">_xlfn.XLOOKUP($BC157,LRC[id],INDIRECT("LRC["&amp;BE$21&amp;"]"))</f>
        <v>4</v>
      </c>
    </row>
    <row r="158" spans="38:57" x14ac:dyDescent="0.3">
      <c r="AL158">
        <v>137</v>
      </c>
      <c r="AM158" cm="1">
        <f t="array" aca="1" ref="AM158" ca="1">_xlfn.XLOOKUP($AL158,LRC[id],INDIRECT("LRC["&amp;AM$21&amp;"]"))</f>
        <v>10</v>
      </c>
      <c r="AN158" cm="1">
        <f t="array" aca="1" ref="AN158" ca="1">_xlfn.XLOOKUP($AL158,LRC[id],INDIRECT("LRC["&amp;AN$21&amp;"]"))</f>
        <v>1</v>
      </c>
      <c r="BC158">
        <v>437</v>
      </c>
      <c r="BD158" cm="1">
        <f t="array" aca="1" ref="BD158" ca="1">_xlfn.XLOOKUP($BC158,LRC[id],INDIRECT("LRC["&amp;BD$21&amp;"]"))</f>
        <v>10</v>
      </c>
      <c r="BE158" cm="1">
        <f t="array" aca="1" ref="BE158" ca="1">_xlfn.XLOOKUP($BC158,LRC[id],INDIRECT("LRC["&amp;BE$21&amp;"]"))</f>
        <v>1</v>
      </c>
    </row>
    <row r="159" spans="38:57" x14ac:dyDescent="0.3">
      <c r="AL159">
        <v>138</v>
      </c>
      <c r="AM159" cm="1">
        <f t="array" aca="1" ref="AM159" ca="1">_xlfn.XLOOKUP($AL159,LRC[id],INDIRECT("LRC["&amp;AM$21&amp;"]"))</f>
        <v>16</v>
      </c>
      <c r="AN159" cm="1">
        <f t="array" aca="1" ref="AN159" ca="1">_xlfn.XLOOKUP($AL159,LRC[id],INDIRECT("LRC["&amp;AN$21&amp;"]"))</f>
        <v>2</v>
      </c>
      <c r="BC159">
        <v>438</v>
      </c>
      <c r="BD159" cm="1">
        <f t="array" aca="1" ref="BD159" ca="1">_xlfn.XLOOKUP($BC159,LRC[id],INDIRECT("LRC["&amp;BD$21&amp;"]"))</f>
        <v>16</v>
      </c>
      <c r="BE159" cm="1">
        <f t="array" aca="1" ref="BE159" ca="1">_xlfn.XLOOKUP($BC159,LRC[id],INDIRECT("LRC["&amp;BE$21&amp;"]"))</f>
        <v>2</v>
      </c>
    </row>
    <row r="160" spans="38:57" x14ac:dyDescent="0.3">
      <c r="AL160">
        <v>139</v>
      </c>
      <c r="AM160" cm="1">
        <f t="array" aca="1" ref="AM160" ca="1">_xlfn.XLOOKUP($AL160,LRC[id],INDIRECT("LRC["&amp;AM$21&amp;"]"))</f>
        <v>21</v>
      </c>
      <c r="AN160" cm="1">
        <f t="array" aca="1" ref="AN160" ca="1">_xlfn.XLOOKUP($AL160,LRC[id],INDIRECT("LRC["&amp;AN$21&amp;"]"))</f>
        <v>3</v>
      </c>
      <c r="BC160">
        <v>439</v>
      </c>
      <c r="BD160" cm="1">
        <f t="array" aca="1" ref="BD160" ca="1">_xlfn.XLOOKUP($BC160,LRC[id],INDIRECT("LRC["&amp;BD$21&amp;"]"))</f>
        <v>21</v>
      </c>
      <c r="BE160" cm="1">
        <f t="array" aca="1" ref="BE160" ca="1">_xlfn.XLOOKUP($BC160,LRC[id],INDIRECT("LRC["&amp;BE$21&amp;"]"))</f>
        <v>3</v>
      </c>
    </row>
    <row r="161" spans="38:57" x14ac:dyDescent="0.3">
      <c r="AL161">
        <v>140</v>
      </c>
      <c r="AM161" cm="1">
        <f t="array" aca="1" ref="AM161" ca="1">_xlfn.XLOOKUP($AL161,LRC[id],INDIRECT("LRC["&amp;AM$21&amp;"]"))</f>
        <v>27</v>
      </c>
      <c r="AN161" cm="1">
        <f t="array" aca="1" ref="AN161" ca="1">_xlfn.XLOOKUP($AL161,LRC[id],INDIRECT("LRC["&amp;AN$21&amp;"]"))</f>
        <v>4</v>
      </c>
      <c r="BC161">
        <v>440</v>
      </c>
      <c r="BD161" cm="1">
        <f t="array" aca="1" ref="BD161" ca="1">_xlfn.XLOOKUP($BC161,LRC[id],INDIRECT("LRC["&amp;BD$21&amp;"]"))</f>
        <v>27</v>
      </c>
      <c r="BE161" cm="1">
        <f t="array" aca="1" ref="BE161" ca="1">_xlfn.XLOOKUP($BC161,LRC[id],INDIRECT("LRC["&amp;BE$21&amp;"]"))</f>
        <v>4</v>
      </c>
    </row>
    <row r="162" spans="38:57" x14ac:dyDescent="0.3">
      <c r="AL162">
        <v>141</v>
      </c>
      <c r="AM162" cm="1">
        <f t="array" aca="1" ref="AM162" ca="1">_xlfn.XLOOKUP($AL162,LRC[id],INDIRECT("LRC["&amp;AM$21&amp;"]"))</f>
        <v>2</v>
      </c>
      <c r="AN162" cm="1">
        <f t="array" aca="1" ref="AN162" ca="1">_xlfn.XLOOKUP($AL162,LRC[id],INDIRECT("LRC["&amp;AN$21&amp;"]"))</f>
        <v>1</v>
      </c>
      <c r="BC162">
        <v>441</v>
      </c>
      <c r="BD162" cm="1">
        <f t="array" aca="1" ref="BD162" ca="1">_xlfn.XLOOKUP($BC162,LRC[id],INDIRECT("LRC["&amp;BD$21&amp;"]"))</f>
        <v>2</v>
      </c>
      <c r="BE162" cm="1">
        <f t="array" aca="1" ref="BE162" ca="1">_xlfn.XLOOKUP($BC162,LRC[id],INDIRECT("LRC["&amp;BE$21&amp;"]"))</f>
        <v>1</v>
      </c>
    </row>
    <row r="163" spans="38:57" x14ac:dyDescent="0.3">
      <c r="AL163">
        <v>142</v>
      </c>
      <c r="AM163" cm="1">
        <f t="array" aca="1" ref="AM163" ca="1">_xlfn.XLOOKUP($AL163,LRC[id],INDIRECT("LRC["&amp;AM$21&amp;"]"))</f>
        <v>3</v>
      </c>
      <c r="AN163" cm="1">
        <f t="array" aca="1" ref="AN163" ca="1">_xlfn.XLOOKUP($AL163,LRC[id],INDIRECT("LRC["&amp;AN$21&amp;"]"))</f>
        <v>2</v>
      </c>
      <c r="BC163">
        <v>442</v>
      </c>
      <c r="BD163" cm="1">
        <f t="array" aca="1" ref="BD163" ca="1">_xlfn.XLOOKUP($BC163,LRC[id],INDIRECT("LRC["&amp;BD$21&amp;"]"))</f>
        <v>3</v>
      </c>
      <c r="BE163" cm="1">
        <f t="array" aca="1" ref="BE163" ca="1">_xlfn.XLOOKUP($BC163,LRC[id],INDIRECT("LRC["&amp;BE$21&amp;"]"))</f>
        <v>2</v>
      </c>
    </row>
    <row r="164" spans="38:57" x14ac:dyDescent="0.3">
      <c r="AL164">
        <v>143</v>
      </c>
      <c r="AM164" cm="1">
        <f t="array" aca="1" ref="AM164" ca="1">_xlfn.XLOOKUP($AL164,LRC[id],INDIRECT("LRC["&amp;AM$21&amp;"]"))</f>
        <v>4</v>
      </c>
      <c r="AN164" cm="1">
        <f t="array" aca="1" ref="AN164" ca="1">_xlfn.XLOOKUP($AL164,LRC[id],INDIRECT("LRC["&amp;AN$21&amp;"]"))</f>
        <v>3</v>
      </c>
      <c r="BC164">
        <v>443</v>
      </c>
      <c r="BD164" cm="1">
        <f t="array" aca="1" ref="BD164" ca="1">_xlfn.XLOOKUP($BC164,LRC[id],INDIRECT("LRC["&amp;BD$21&amp;"]"))</f>
        <v>4</v>
      </c>
      <c r="BE164" cm="1">
        <f t="array" aca="1" ref="BE164" ca="1">_xlfn.XLOOKUP($BC164,LRC[id],INDIRECT("LRC["&amp;BE$21&amp;"]"))</f>
        <v>3</v>
      </c>
    </row>
    <row r="165" spans="38:57" x14ac:dyDescent="0.3">
      <c r="AL165">
        <v>144</v>
      </c>
      <c r="AM165" cm="1">
        <f t="array" aca="1" ref="AM165" ca="1">_xlfn.XLOOKUP($AL165,LRC[id],INDIRECT("LRC["&amp;AM$21&amp;"]"))</f>
        <v>4</v>
      </c>
      <c r="AN165" cm="1">
        <f t="array" aca="1" ref="AN165" ca="1">_xlfn.XLOOKUP($AL165,LRC[id],INDIRECT("LRC["&amp;AN$21&amp;"]"))</f>
        <v>4</v>
      </c>
      <c r="BC165">
        <v>444</v>
      </c>
      <c r="BD165" cm="1">
        <f t="array" aca="1" ref="BD165" ca="1">_xlfn.XLOOKUP($BC165,LRC[id],INDIRECT("LRC["&amp;BD$21&amp;"]"))</f>
        <v>4</v>
      </c>
      <c r="BE165" cm="1">
        <f t="array" aca="1" ref="BE165" ca="1">_xlfn.XLOOKUP($BC165,LRC[id],INDIRECT("LRC["&amp;BE$21&amp;"]"))</f>
        <v>4</v>
      </c>
    </row>
    <row r="166" spans="38:57" x14ac:dyDescent="0.3">
      <c r="AL166">
        <v>145</v>
      </c>
      <c r="AM166" cm="1">
        <f t="array" aca="1" ref="AM166" ca="1">_xlfn.XLOOKUP($AL166,LRC[id],INDIRECT("LRC["&amp;AM$21&amp;"]"))</f>
        <v>4</v>
      </c>
      <c r="AN166" cm="1">
        <f t="array" aca="1" ref="AN166" ca="1">_xlfn.XLOOKUP($AL166,LRC[id],INDIRECT("LRC["&amp;AN$21&amp;"]"))</f>
        <v>1</v>
      </c>
      <c r="BC166">
        <v>445</v>
      </c>
      <c r="BD166" cm="1">
        <f t="array" aca="1" ref="BD166" ca="1">_xlfn.XLOOKUP($BC166,LRC[id],INDIRECT("LRC["&amp;BD$21&amp;"]"))</f>
        <v>4</v>
      </c>
      <c r="BE166" cm="1">
        <f t="array" aca="1" ref="BE166" ca="1">_xlfn.XLOOKUP($BC166,LRC[id],INDIRECT("LRC["&amp;BE$21&amp;"]"))</f>
        <v>1</v>
      </c>
    </row>
    <row r="167" spans="38:57" x14ac:dyDescent="0.3">
      <c r="AL167">
        <v>146</v>
      </c>
      <c r="AM167" cm="1">
        <f t="array" aca="1" ref="AM167" ca="1">_xlfn.XLOOKUP($AL167,LRC[id],INDIRECT("LRC["&amp;AM$21&amp;"]"))</f>
        <v>5</v>
      </c>
      <c r="AN167" cm="1">
        <f t="array" aca="1" ref="AN167" ca="1">_xlfn.XLOOKUP($AL167,LRC[id],INDIRECT("LRC["&amp;AN$21&amp;"]"))</f>
        <v>2</v>
      </c>
      <c r="BC167">
        <v>446</v>
      </c>
      <c r="BD167" cm="1">
        <f t="array" aca="1" ref="BD167" ca="1">_xlfn.XLOOKUP($BC167,LRC[id],INDIRECT("LRC["&amp;BD$21&amp;"]"))</f>
        <v>5</v>
      </c>
      <c r="BE167" cm="1">
        <f t="array" aca="1" ref="BE167" ca="1">_xlfn.XLOOKUP($BC167,LRC[id],INDIRECT("LRC["&amp;BE$21&amp;"]"))</f>
        <v>2</v>
      </c>
    </row>
    <row r="168" spans="38:57" x14ac:dyDescent="0.3">
      <c r="AL168">
        <v>147</v>
      </c>
      <c r="AM168" cm="1">
        <f t="array" aca="1" ref="AM168" ca="1">_xlfn.XLOOKUP($AL168,LRC[id],INDIRECT("LRC["&amp;AM$21&amp;"]"))</f>
        <v>7</v>
      </c>
      <c r="AN168" cm="1">
        <f t="array" aca="1" ref="AN168" ca="1">_xlfn.XLOOKUP($AL168,LRC[id],INDIRECT("LRC["&amp;AN$21&amp;"]"))</f>
        <v>3</v>
      </c>
      <c r="BC168">
        <v>447</v>
      </c>
      <c r="BD168" cm="1">
        <f t="array" aca="1" ref="BD168" ca="1">_xlfn.XLOOKUP($BC168,LRC[id],INDIRECT("LRC["&amp;BD$21&amp;"]"))</f>
        <v>7</v>
      </c>
      <c r="BE168" cm="1">
        <f t="array" aca="1" ref="BE168" ca="1">_xlfn.XLOOKUP($BC168,LRC[id],INDIRECT("LRC["&amp;BE$21&amp;"]"))</f>
        <v>3</v>
      </c>
    </row>
    <row r="169" spans="38:57" x14ac:dyDescent="0.3">
      <c r="AL169">
        <v>148</v>
      </c>
      <c r="AM169" cm="1">
        <f t="array" aca="1" ref="AM169" ca="1">_xlfn.XLOOKUP($AL169,LRC[id],INDIRECT("LRC["&amp;AM$21&amp;"]"))</f>
        <v>8</v>
      </c>
      <c r="AN169" cm="1">
        <f t="array" aca="1" ref="AN169" ca="1">_xlfn.XLOOKUP($AL169,LRC[id],INDIRECT("LRC["&amp;AN$21&amp;"]"))</f>
        <v>4</v>
      </c>
      <c r="BC169">
        <v>448</v>
      </c>
      <c r="BD169" cm="1">
        <f t="array" aca="1" ref="BD169" ca="1">_xlfn.XLOOKUP($BC169,LRC[id],INDIRECT("LRC["&amp;BD$21&amp;"]"))</f>
        <v>8</v>
      </c>
      <c r="BE169" cm="1">
        <f t="array" aca="1" ref="BE169" ca="1">_xlfn.XLOOKUP($BC169,LRC[id],INDIRECT("LRC["&amp;BE$21&amp;"]"))</f>
        <v>4</v>
      </c>
    </row>
    <row r="170" spans="38:57" x14ac:dyDescent="0.3">
      <c r="AL170">
        <v>149</v>
      </c>
      <c r="AM170" cm="1">
        <f t="array" aca="1" ref="AM170" ca="1">_xlfn.XLOOKUP($AL170,LRC[id],INDIRECT("LRC["&amp;AM$21&amp;"]"))</f>
        <v>5</v>
      </c>
      <c r="AN170" cm="1">
        <f t="array" aca="1" ref="AN170" ca="1">_xlfn.XLOOKUP($AL170,LRC[id],INDIRECT("LRC["&amp;AN$21&amp;"]"))</f>
        <v>1</v>
      </c>
      <c r="BC170">
        <v>449</v>
      </c>
      <c r="BD170" cm="1">
        <f t="array" aca="1" ref="BD170" ca="1">_xlfn.XLOOKUP($BC170,LRC[id],INDIRECT("LRC["&amp;BD$21&amp;"]"))</f>
        <v>5</v>
      </c>
      <c r="BE170" cm="1">
        <f t="array" aca="1" ref="BE170" ca="1">_xlfn.XLOOKUP($BC170,LRC[id],INDIRECT("LRC["&amp;BE$21&amp;"]"))</f>
        <v>1</v>
      </c>
    </row>
    <row r="171" spans="38:57" x14ac:dyDescent="0.3">
      <c r="AL171">
        <v>150</v>
      </c>
      <c r="AM171" cm="1">
        <f t="array" aca="1" ref="AM171" ca="1">_xlfn.XLOOKUP($AL171,LRC[id],INDIRECT("LRC["&amp;AM$21&amp;"]"))</f>
        <v>7</v>
      </c>
      <c r="AN171" cm="1">
        <f t="array" aca="1" ref="AN171" ca="1">_xlfn.XLOOKUP($AL171,LRC[id],INDIRECT("LRC["&amp;AN$21&amp;"]"))</f>
        <v>2</v>
      </c>
      <c r="BC171">
        <v>450</v>
      </c>
      <c r="BD171" cm="1">
        <f t="array" aca="1" ref="BD171" ca="1">_xlfn.XLOOKUP($BC171,LRC[id],INDIRECT("LRC["&amp;BD$21&amp;"]"))</f>
        <v>7</v>
      </c>
      <c r="BE171" cm="1">
        <f t="array" aca="1" ref="BE171" ca="1">_xlfn.XLOOKUP($BC171,LRC[id],INDIRECT("LRC["&amp;BE$21&amp;"]"))</f>
        <v>2</v>
      </c>
    </row>
    <row r="172" spans="38:57" x14ac:dyDescent="0.3">
      <c r="AL172">
        <v>151</v>
      </c>
      <c r="AM172" cm="1">
        <f t="array" aca="1" ref="AM172" ca="1">_xlfn.XLOOKUP($AL172,LRC[id],INDIRECT("LRC["&amp;AM$21&amp;"]"))</f>
        <v>10</v>
      </c>
      <c r="AN172" cm="1">
        <f t="array" aca="1" ref="AN172" ca="1">_xlfn.XLOOKUP($AL172,LRC[id],INDIRECT("LRC["&amp;AN$21&amp;"]"))</f>
        <v>3</v>
      </c>
      <c r="BC172">
        <v>451</v>
      </c>
      <c r="BD172" cm="1">
        <f t="array" aca="1" ref="BD172" ca="1">_xlfn.XLOOKUP($BC172,LRC[id],INDIRECT("LRC["&amp;BD$21&amp;"]"))</f>
        <v>10</v>
      </c>
      <c r="BE172" cm="1">
        <f t="array" aca="1" ref="BE172" ca="1">_xlfn.XLOOKUP($BC172,LRC[id],INDIRECT("LRC["&amp;BE$21&amp;"]"))</f>
        <v>3</v>
      </c>
    </row>
    <row r="173" spans="38:57" x14ac:dyDescent="0.3">
      <c r="AL173">
        <v>152</v>
      </c>
      <c r="AM173" cm="1">
        <f t="array" aca="1" ref="AM173" ca="1">_xlfn.XLOOKUP($AL173,LRC[id],INDIRECT("LRC["&amp;AM$21&amp;"]"))</f>
        <v>12</v>
      </c>
      <c r="AN173" cm="1">
        <f t="array" aca="1" ref="AN173" ca="1">_xlfn.XLOOKUP($AL173,LRC[id],INDIRECT("LRC["&amp;AN$21&amp;"]"))</f>
        <v>4</v>
      </c>
      <c r="BC173">
        <v>452</v>
      </c>
      <c r="BD173" cm="1">
        <f t="array" aca="1" ref="BD173" ca="1">_xlfn.XLOOKUP($BC173,LRC[id],INDIRECT("LRC["&amp;BD$21&amp;"]"))</f>
        <v>12</v>
      </c>
      <c r="BE173" cm="1">
        <f t="array" aca="1" ref="BE173" ca="1">_xlfn.XLOOKUP($BC173,LRC[id],INDIRECT("LRC["&amp;BE$21&amp;"]"))</f>
        <v>4</v>
      </c>
    </row>
    <row r="174" spans="38:57" x14ac:dyDescent="0.3">
      <c r="AL174">
        <v>153</v>
      </c>
      <c r="AM174" cm="1">
        <f t="array" aca="1" ref="AM174" ca="1">_xlfn.XLOOKUP($AL174,LRC[id],INDIRECT("LRC["&amp;AM$21&amp;"]"))</f>
        <v>6</v>
      </c>
      <c r="AN174" cm="1">
        <f t="array" aca="1" ref="AN174" ca="1">_xlfn.XLOOKUP($AL174,LRC[id],INDIRECT("LRC["&amp;AN$21&amp;"]"))</f>
        <v>1</v>
      </c>
      <c r="BC174">
        <v>453</v>
      </c>
      <c r="BD174" cm="1">
        <f t="array" aca="1" ref="BD174" ca="1">_xlfn.XLOOKUP($BC174,LRC[id],INDIRECT("LRC["&amp;BD$21&amp;"]"))</f>
        <v>6</v>
      </c>
      <c r="BE174" cm="1">
        <f t="array" aca="1" ref="BE174" ca="1">_xlfn.XLOOKUP($BC174,LRC[id],INDIRECT("LRC["&amp;BE$21&amp;"]"))</f>
        <v>1</v>
      </c>
    </row>
    <row r="175" spans="38:57" x14ac:dyDescent="0.3">
      <c r="AL175">
        <v>154</v>
      </c>
      <c r="AM175" cm="1">
        <f t="array" aca="1" ref="AM175" ca="1">_xlfn.XLOOKUP($AL175,LRC[id],INDIRECT("LRC["&amp;AM$21&amp;"]"))</f>
        <v>9</v>
      </c>
      <c r="AN175" cm="1">
        <f t="array" aca="1" ref="AN175" ca="1">_xlfn.XLOOKUP($AL175,LRC[id],INDIRECT("LRC["&amp;AN$21&amp;"]"))</f>
        <v>2</v>
      </c>
      <c r="BC175">
        <v>454</v>
      </c>
      <c r="BD175" cm="1">
        <f t="array" aca="1" ref="BD175" ca="1">_xlfn.XLOOKUP($BC175,LRC[id],INDIRECT("LRC["&amp;BD$21&amp;"]"))</f>
        <v>9</v>
      </c>
      <c r="BE175" cm="1">
        <f t="array" aca="1" ref="BE175" ca="1">_xlfn.XLOOKUP($BC175,LRC[id],INDIRECT("LRC["&amp;BE$21&amp;"]"))</f>
        <v>2</v>
      </c>
    </row>
    <row r="176" spans="38:57" x14ac:dyDescent="0.3">
      <c r="AL176">
        <v>155</v>
      </c>
      <c r="AM176" cm="1">
        <f t="array" aca="1" ref="AM176" ca="1">_xlfn.XLOOKUP($AL176,LRC[id],INDIRECT("LRC["&amp;AM$21&amp;"]"))</f>
        <v>13</v>
      </c>
      <c r="AN176" cm="1">
        <f t="array" aca="1" ref="AN176" ca="1">_xlfn.XLOOKUP($AL176,LRC[id],INDIRECT("LRC["&amp;AN$21&amp;"]"))</f>
        <v>3</v>
      </c>
      <c r="BC176">
        <v>455</v>
      </c>
      <c r="BD176" cm="1">
        <f t="array" aca="1" ref="BD176" ca="1">_xlfn.XLOOKUP($BC176,LRC[id],INDIRECT("LRC["&amp;BD$21&amp;"]"))</f>
        <v>13</v>
      </c>
      <c r="BE176" cm="1">
        <f t="array" aca="1" ref="BE176" ca="1">_xlfn.XLOOKUP($BC176,LRC[id],INDIRECT("LRC["&amp;BE$21&amp;"]"))</f>
        <v>3</v>
      </c>
    </row>
    <row r="177" spans="38:57" x14ac:dyDescent="0.3">
      <c r="AL177">
        <v>156</v>
      </c>
      <c r="AM177" cm="1">
        <f t="array" aca="1" ref="AM177" ca="1">_xlfn.XLOOKUP($AL177,LRC[id],INDIRECT("LRC["&amp;AM$21&amp;"]"))</f>
        <v>16</v>
      </c>
      <c r="AN177" cm="1">
        <f t="array" aca="1" ref="AN177" ca="1">_xlfn.XLOOKUP($AL177,LRC[id],INDIRECT("LRC["&amp;AN$21&amp;"]"))</f>
        <v>4</v>
      </c>
      <c r="BC177">
        <v>456</v>
      </c>
      <c r="BD177" cm="1">
        <f t="array" aca="1" ref="BD177" ca="1">_xlfn.XLOOKUP($BC177,LRC[id],INDIRECT("LRC["&amp;BD$21&amp;"]"))</f>
        <v>16</v>
      </c>
      <c r="BE177" cm="1">
        <f t="array" aca="1" ref="BE177" ca="1">_xlfn.XLOOKUP($BC177,LRC[id],INDIRECT("LRC["&amp;BE$21&amp;"]"))</f>
        <v>4</v>
      </c>
    </row>
    <row r="178" spans="38:57" x14ac:dyDescent="0.3">
      <c r="AL178">
        <v>157</v>
      </c>
      <c r="AM178" cm="1">
        <f t="array" aca="1" ref="AM178" ca="1">_xlfn.XLOOKUP($AL178,LRC[id],INDIRECT("LRC["&amp;AM$21&amp;"]"))</f>
        <v>7</v>
      </c>
      <c r="AN178" cm="1">
        <f t="array" aca="1" ref="AN178" ca="1">_xlfn.XLOOKUP($AL178,LRC[id],INDIRECT("LRC["&amp;AN$21&amp;"]"))</f>
        <v>1</v>
      </c>
      <c r="BC178">
        <v>457</v>
      </c>
      <c r="BD178" cm="1">
        <f t="array" aca="1" ref="BD178" ca="1">_xlfn.XLOOKUP($BC178,LRC[id],INDIRECT("LRC["&amp;BD$21&amp;"]"))</f>
        <v>7</v>
      </c>
      <c r="BE178" cm="1">
        <f t="array" aca="1" ref="BE178" ca="1">_xlfn.XLOOKUP($BC178,LRC[id],INDIRECT("LRC["&amp;BE$21&amp;"]"))</f>
        <v>1</v>
      </c>
    </row>
    <row r="179" spans="38:57" x14ac:dyDescent="0.3">
      <c r="AL179">
        <v>158</v>
      </c>
      <c r="AM179" cm="1">
        <f t="array" aca="1" ref="AM179" ca="1">_xlfn.XLOOKUP($AL179,LRC[id],INDIRECT("LRC["&amp;AM$21&amp;"]"))</f>
        <v>11</v>
      </c>
      <c r="AN179" cm="1">
        <f t="array" aca="1" ref="AN179" ca="1">_xlfn.XLOOKUP($AL179,LRC[id],INDIRECT("LRC["&amp;AN$21&amp;"]"))</f>
        <v>2</v>
      </c>
      <c r="BC179">
        <v>458</v>
      </c>
      <c r="BD179" cm="1">
        <f t="array" aca="1" ref="BD179" ca="1">_xlfn.XLOOKUP($BC179,LRC[id],INDIRECT("LRC["&amp;BD$21&amp;"]"))</f>
        <v>11</v>
      </c>
      <c r="BE179" cm="1">
        <f t="array" aca="1" ref="BE179" ca="1">_xlfn.XLOOKUP($BC179,LRC[id],INDIRECT("LRC["&amp;BE$21&amp;"]"))</f>
        <v>2</v>
      </c>
    </row>
    <row r="180" spans="38:57" x14ac:dyDescent="0.3">
      <c r="AL180">
        <v>159</v>
      </c>
      <c r="AM180" cm="1">
        <f t="array" aca="1" ref="AM180" ca="1">_xlfn.XLOOKUP($AL180,LRC[id],INDIRECT("LRC["&amp;AM$21&amp;"]"))</f>
        <v>15</v>
      </c>
      <c r="AN180" cm="1">
        <f t="array" aca="1" ref="AN180" ca="1">_xlfn.XLOOKUP($AL180,LRC[id],INDIRECT("LRC["&amp;AN$21&amp;"]"))</f>
        <v>3</v>
      </c>
      <c r="BC180">
        <v>459</v>
      </c>
      <c r="BD180" cm="1">
        <f t="array" aca="1" ref="BD180" ca="1">_xlfn.XLOOKUP($BC180,LRC[id],INDIRECT("LRC["&amp;BD$21&amp;"]"))</f>
        <v>15</v>
      </c>
      <c r="BE180" cm="1">
        <f t="array" aca="1" ref="BE180" ca="1">_xlfn.XLOOKUP($BC180,LRC[id],INDIRECT("LRC["&amp;BE$21&amp;"]"))</f>
        <v>3</v>
      </c>
    </row>
    <row r="181" spans="38:57" x14ac:dyDescent="0.3">
      <c r="AL181">
        <v>160</v>
      </c>
      <c r="AM181" cm="1">
        <f t="array" aca="1" ref="AM181" ca="1">_xlfn.XLOOKUP($AL181,LRC[id],INDIRECT("LRC["&amp;AM$21&amp;"]"))</f>
        <v>19</v>
      </c>
      <c r="AN181" cm="1">
        <f t="array" aca="1" ref="AN181" ca="1">_xlfn.XLOOKUP($AL181,LRC[id],INDIRECT("LRC["&amp;AN$21&amp;"]"))</f>
        <v>4</v>
      </c>
      <c r="BC181">
        <v>460</v>
      </c>
      <c r="BD181" cm="1">
        <f t="array" aca="1" ref="BD181" ca="1">_xlfn.XLOOKUP($BC181,LRC[id],INDIRECT("LRC["&amp;BD$21&amp;"]"))</f>
        <v>19</v>
      </c>
      <c r="BE181" cm="1">
        <f t="array" aca="1" ref="BE181" ca="1">_xlfn.XLOOKUP($BC181,LRC[id],INDIRECT("LRC["&amp;BE$21&amp;"]"))</f>
        <v>4</v>
      </c>
    </row>
    <row r="182" spans="38:57" x14ac:dyDescent="0.3">
      <c r="AL182">
        <v>161</v>
      </c>
      <c r="AM182" cm="1">
        <f t="array" aca="1" ref="AM182" ca="1">_xlfn.XLOOKUP($AL182,LRC[id],INDIRECT("LRC["&amp;AM$21&amp;"]"))</f>
        <v>2</v>
      </c>
      <c r="AN182" cm="1">
        <f t="array" aca="1" ref="AN182" ca="1">_xlfn.XLOOKUP($AL182,LRC[id],INDIRECT("LRC["&amp;AN$21&amp;"]"))</f>
        <v>1</v>
      </c>
      <c r="BC182">
        <v>461</v>
      </c>
      <c r="BD182" cm="1">
        <f t="array" aca="1" ref="BD182" ca="1">_xlfn.XLOOKUP($BC182,LRC[id],INDIRECT("LRC["&amp;BD$21&amp;"]"))</f>
        <v>2</v>
      </c>
      <c r="BE182" cm="1">
        <f t="array" aca="1" ref="BE182" ca="1">_xlfn.XLOOKUP($BC182,LRC[id],INDIRECT("LRC["&amp;BE$21&amp;"]"))</f>
        <v>1</v>
      </c>
    </row>
    <row r="183" spans="38:57" x14ac:dyDescent="0.3">
      <c r="AL183">
        <v>162</v>
      </c>
      <c r="AM183" cm="1">
        <f t="array" aca="1" ref="AM183" ca="1">_xlfn.XLOOKUP($AL183,LRC[id],INDIRECT("LRC["&amp;AM$21&amp;"]"))</f>
        <v>2</v>
      </c>
      <c r="AN183" cm="1">
        <f t="array" aca="1" ref="AN183" ca="1">_xlfn.XLOOKUP($AL183,LRC[id],INDIRECT("LRC["&amp;AN$21&amp;"]"))</f>
        <v>2</v>
      </c>
      <c r="BC183">
        <v>462</v>
      </c>
      <c r="BD183" cm="1">
        <f t="array" aca="1" ref="BD183" ca="1">_xlfn.XLOOKUP($BC183,LRC[id],INDIRECT("LRC["&amp;BD$21&amp;"]"))</f>
        <v>2</v>
      </c>
      <c r="BE183" cm="1">
        <f t="array" aca="1" ref="BE183" ca="1">_xlfn.XLOOKUP($BC183,LRC[id],INDIRECT("LRC["&amp;BE$21&amp;"]"))</f>
        <v>2</v>
      </c>
    </row>
    <row r="184" spans="38:57" x14ac:dyDescent="0.3">
      <c r="AL184">
        <v>163</v>
      </c>
      <c r="AM184" cm="1">
        <f t="array" aca="1" ref="AM184" ca="1">_xlfn.XLOOKUP($AL184,LRC[id],INDIRECT("LRC["&amp;AM$21&amp;"]"))</f>
        <v>3</v>
      </c>
      <c r="AN184" cm="1">
        <f t="array" aca="1" ref="AN184" ca="1">_xlfn.XLOOKUP($AL184,LRC[id],INDIRECT("LRC["&amp;AN$21&amp;"]"))</f>
        <v>3</v>
      </c>
      <c r="BC184">
        <v>463</v>
      </c>
      <c r="BD184" cm="1">
        <f t="array" aca="1" ref="BD184" ca="1">_xlfn.XLOOKUP($BC184,LRC[id],INDIRECT("LRC["&amp;BD$21&amp;"]"))</f>
        <v>3</v>
      </c>
      <c r="BE184" cm="1">
        <f t="array" aca="1" ref="BE184" ca="1">_xlfn.XLOOKUP($BC184,LRC[id],INDIRECT("LRC["&amp;BE$21&amp;"]"))</f>
        <v>3</v>
      </c>
    </row>
    <row r="185" spans="38:57" x14ac:dyDescent="0.3">
      <c r="AL185">
        <v>164</v>
      </c>
      <c r="AM185" cm="1">
        <f t="array" aca="1" ref="AM185" ca="1">_xlfn.XLOOKUP($AL185,LRC[id],INDIRECT("LRC["&amp;AM$21&amp;"]"))</f>
        <v>3</v>
      </c>
      <c r="AN185" cm="1">
        <f t="array" aca="1" ref="AN185" ca="1">_xlfn.XLOOKUP($AL185,LRC[id],INDIRECT("LRC["&amp;AN$21&amp;"]"))</f>
        <v>4</v>
      </c>
      <c r="BC185">
        <v>464</v>
      </c>
      <c r="BD185" cm="1">
        <f t="array" aca="1" ref="BD185" ca="1">_xlfn.XLOOKUP($BC185,LRC[id],INDIRECT("LRC["&amp;BD$21&amp;"]"))</f>
        <v>3</v>
      </c>
      <c r="BE185" cm="1">
        <f t="array" aca="1" ref="BE185" ca="1">_xlfn.XLOOKUP($BC185,LRC[id],INDIRECT("LRC["&amp;BE$21&amp;"]"))</f>
        <v>4</v>
      </c>
    </row>
    <row r="186" spans="38:57" x14ac:dyDescent="0.3">
      <c r="AL186">
        <v>165</v>
      </c>
      <c r="AM186" cm="1">
        <f t="array" aca="1" ref="AM186" ca="1">_xlfn.XLOOKUP($AL186,LRC[id],INDIRECT("LRC["&amp;AM$21&amp;"]"))</f>
        <v>3</v>
      </c>
      <c r="AN186" cm="1">
        <f t="array" aca="1" ref="AN186" ca="1">_xlfn.XLOOKUP($AL186,LRC[id],INDIRECT("LRC["&amp;AN$21&amp;"]"))</f>
        <v>1</v>
      </c>
      <c r="BC186">
        <v>465</v>
      </c>
      <c r="BD186" cm="1">
        <f t="array" aca="1" ref="BD186" ca="1">_xlfn.XLOOKUP($BC186,LRC[id],INDIRECT("LRC["&amp;BD$21&amp;"]"))</f>
        <v>3</v>
      </c>
      <c r="BE186" cm="1">
        <f t="array" aca="1" ref="BE186" ca="1">_xlfn.XLOOKUP($BC186,LRC[id],INDIRECT("LRC["&amp;BE$21&amp;"]"))</f>
        <v>1</v>
      </c>
    </row>
    <row r="187" spans="38:57" x14ac:dyDescent="0.3">
      <c r="AL187">
        <v>166</v>
      </c>
      <c r="AM187" cm="1">
        <f t="array" aca="1" ref="AM187" ca="1">_xlfn.XLOOKUP($AL187,LRC[id],INDIRECT("LRC["&amp;AM$21&amp;"]"))</f>
        <v>4</v>
      </c>
      <c r="AN187" cm="1">
        <f t="array" aca="1" ref="AN187" ca="1">_xlfn.XLOOKUP($AL187,LRC[id],INDIRECT("LRC["&amp;AN$21&amp;"]"))</f>
        <v>2</v>
      </c>
      <c r="BC187">
        <v>466</v>
      </c>
      <c r="BD187" cm="1">
        <f t="array" aca="1" ref="BD187" ca="1">_xlfn.XLOOKUP($BC187,LRC[id],INDIRECT("LRC["&amp;BD$21&amp;"]"))</f>
        <v>4</v>
      </c>
      <c r="BE187" cm="1">
        <f t="array" aca="1" ref="BE187" ca="1">_xlfn.XLOOKUP($BC187,LRC[id],INDIRECT("LRC["&amp;BE$21&amp;"]"))</f>
        <v>2</v>
      </c>
    </row>
    <row r="188" spans="38:57" x14ac:dyDescent="0.3">
      <c r="AL188">
        <v>167</v>
      </c>
      <c r="AM188" cm="1">
        <f t="array" aca="1" ref="AM188" ca="1">_xlfn.XLOOKUP($AL188,LRC[id],INDIRECT("LRC["&amp;AM$21&amp;"]"))</f>
        <v>5</v>
      </c>
      <c r="AN188" cm="1">
        <f t="array" aca="1" ref="AN188" ca="1">_xlfn.XLOOKUP($AL188,LRC[id],INDIRECT("LRC["&amp;AN$21&amp;"]"))</f>
        <v>3</v>
      </c>
      <c r="BC188">
        <v>467</v>
      </c>
      <c r="BD188" cm="1">
        <f t="array" aca="1" ref="BD188" ca="1">_xlfn.XLOOKUP($BC188,LRC[id],INDIRECT("LRC["&amp;BD$21&amp;"]"))</f>
        <v>5</v>
      </c>
      <c r="BE188" cm="1">
        <f t="array" aca="1" ref="BE188" ca="1">_xlfn.XLOOKUP($BC188,LRC[id],INDIRECT("LRC["&amp;BE$21&amp;"]"))</f>
        <v>3</v>
      </c>
    </row>
    <row r="189" spans="38:57" x14ac:dyDescent="0.3">
      <c r="AL189">
        <v>168</v>
      </c>
      <c r="AM189" cm="1">
        <f t="array" aca="1" ref="AM189" ca="1">_xlfn.XLOOKUP($AL189,LRC[id],INDIRECT("LRC["&amp;AM$21&amp;"]"))</f>
        <v>6</v>
      </c>
      <c r="AN189" cm="1">
        <f t="array" aca="1" ref="AN189" ca="1">_xlfn.XLOOKUP($AL189,LRC[id],INDIRECT("LRC["&amp;AN$21&amp;"]"))</f>
        <v>4</v>
      </c>
      <c r="BC189">
        <v>468</v>
      </c>
      <c r="BD189" cm="1">
        <f t="array" aca="1" ref="BD189" ca="1">_xlfn.XLOOKUP($BC189,LRC[id],INDIRECT("LRC["&amp;BD$21&amp;"]"))</f>
        <v>6</v>
      </c>
      <c r="BE189" cm="1">
        <f t="array" aca="1" ref="BE189" ca="1">_xlfn.XLOOKUP($BC189,LRC[id],INDIRECT("LRC["&amp;BE$21&amp;"]"))</f>
        <v>4</v>
      </c>
    </row>
    <row r="190" spans="38:57" x14ac:dyDescent="0.3">
      <c r="AL190">
        <v>169</v>
      </c>
      <c r="AM190" cm="1">
        <f t="array" aca="1" ref="AM190" ca="1">_xlfn.XLOOKUP($AL190,LRC[id],INDIRECT("LRC["&amp;AM$21&amp;"]"))</f>
        <v>4</v>
      </c>
      <c r="AN190" cm="1">
        <f t="array" aca="1" ref="AN190" ca="1">_xlfn.XLOOKUP($AL190,LRC[id],INDIRECT("LRC["&amp;AN$21&amp;"]"))</f>
        <v>1</v>
      </c>
      <c r="BC190">
        <v>469</v>
      </c>
      <c r="BD190" cm="1">
        <f t="array" aca="1" ref="BD190" ca="1">_xlfn.XLOOKUP($BC190,LRC[id],INDIRECT("LRC["&amp;BD$21&amp;"]"))</f>
        <v>4</v>
      </c>
      <c r="BE190" cm="1">
        <f t="array" aca="1" ref="BE190" ca="1">_xlfn.XLOOKUP($BC190,LRC[id],INDIRECT("LRC["&amp;BE$21&amp;"]"))</f>
        <v>1</v>
      </c>
    </row>
    <row r="191" spans="38:57" x14ac:dyDescent="0.3">
      <c r="AL191">
        <v>170</v>
      </c>
      <c r="AM191" cm="1">
        <f t="array" aca="1" ref="AM191" ca="1">_xlfn.XLOOKUP($AL191,LRC[id],INDIRECT("LRC["&amp;AM$21&amp;"]"))</f>
        <v>5</v>
      </c>
      <c r="AN191" cm="1">
        <f t="array" aca="1" ref="AN191" ca="1">_xlfn.XLOOKUP($AL191,LRC[id],INDIRECT("LRC["&amp;AN$21&amp;"]"))</f>
        <v>2</v>
      </c>
      <c r="BC191">
        <v>470</v>
      </c>
      <c r="BD191" cm="1">
        <f t="array" aca="1" ref="BD191" ca="1">_xlfn.XLOOKUP($BC191,LRC[id],INDIRECT("LRC["&amp;BD$21&amp;"]"))</f>
        <v>5</v>
      </c>
      <c r="BE191" cm="1">
        <f t="array" aca="1" ref="BE191" ca="1">_xlfn.XLOOKUP($BC191,LRC[id],INDIRECT("LRC["&amp;BE$21&amp;"]"))</f>
        <v>2</v>
      </c>
    </row>
    <row r="192" spans="38:57" x14ac:dyDescent="0.3">
      <c r="AL192">
        <v>171</v>
      </c>
      <c r="AM192" cm="1">
        <f t="array" aca="1" ref="AM192" ca="1">_xlfn.XLOOKUP($AL192,LRC[id],INDIRECT("LRC["&amp;AM$21&amp;"]"))</f>
        <v>7</v>
      </c>
      <c r="AN192" cm="1">
        <f t="array" aca="1" ref="AN192" ca="1">_xlfn.XLOOKUP($AL192,LRC[id],INDIRECT("LRC["&amp;AN$21&amp;"]"))</f>
        <v>3</v>
      </c>
      <c r="BC192">
        <v>471</v>
      </c>
      <c r="BD192" cm="1">
        <f t="array" aca="1" ref="BD192" ca="1">_xlfn.XLOOKUP($BC192,LRC[id],INDIRECT("LRC["&amp;BD$21&amp;"]"))</f>
        <v>7</v>
      </c>
      <c r="BE192" cm="1">
        <f t="array" aca="1" ref="BE192" ca="1">_xlfn.XLOOKUP($BC192,LRC[id],INDIRECT("LRC["&amp;BE$21&amp;"]"))</f>
        <v>3</v>
      </c>
    </row>
    <row r="193" spans="38:57" x14ac:dyDescent="0.3">
      <c r="AL193">
        <v>172</v>
      </c>
      <c r="AM193" cm="1">
        <f t="array" aca="1" ref="AM193" ca="1">_xlfn.XLOOKUP($AL193,LRC[id],INDIRECT("LRC["&amp;AM$21&amp;"]"))</f>
        <v>8</v>
      </c>
      <c r="AN193" cm="1">
        <f t="array" aca="1" ref="AN193" ca="1">_xlfn.XLOOKUP($AL193,LRC[id],INDIRECT("LRC["&amp;AN$21&amp;"]"))</f>
        <v>4</v>
      </c>
      <c r="BC193">
        <v>472</v>
      </c>
      <c r="BD193" cm="1">
        <f t="array" aca="1" ref="BD193" ca="1">_xlfn.XLOOKUP($BC193,LRC[id],INDIRECT("LRC["&amp;BD$21&amp;"]"))</f>
        <v>8</v>
      </c>
      <c r="BE193" cm="1">
        <f t="array" aca="1" ref="BE193" ca="1">_xlfn.XLOOKUP($BC193,LRC[id],INDIRECT("LRC["&amp;BE$21&amp;"]"))</f>
        <v>4</v>
      </c>
    </row>
    <row r="194" spans="38:57" x14ac:dyDescent="0.3">
      <c r="AL194">
        <v>173</v>
      </c>
      <c r="AM194" cm="1">
        <f t="array" aca="1" ref="AM194" ca="1">_xlfn.XLOOKUP($AL194,LRC[id],INDIRECT("LRC["&amp;AM$21&amp;"]"))</f>
        <v>5</v>
      </c>
      <c r="AN194" cm="1">
        <f t="array" aca="1" ref="AN194" ca="1">_xlfn.XLOOKUP($AL194,LRC[id],INDIRECT("LRC["&amp;AN$21&amp;"]"))</f>
        <v>1</v>
      </c>
      <c r="BC194">
        <v>473</v>
      </c>
      <c r="BD194" cm="1">
        <f t="array" aca="1" ref="BD194" ca="1">_xlfn.XLOOKUP($BC194,LRC[id],INDIRECT("LRC["&amp;BD$21&amp;"]"))</f>
        <v>5</v>
      </c>
      <c r="BE194" cm="1">
        <f t="array" aca="1" ref="BE194" ca="1">_xlfn.XLOOKUP($BC194,LRC[id],INDIRECT("LRC["&amp;BE$21&amp;"]"))</f>
        <v>1</v>
      </c>
    </row>
    <row r="195" spans="38:57" x14ac:dyDescent="0.3">
      <c r="AL195">
        <v>174</v>
      </c>
      <c r="AM195" cm="1">
        <f t="array" aca="1" ref="AM195" ca="1">_xlfn.XLOOKUP($AL195,LRC[id],INDIRECT("LRC["&amp;AM$21&amp;"]"))</f>
        <v>7</v>
      </c>
      <c r="AN195" cm="1">
        <f t="array" aca="1" ref="AN195" ca="1">_xlfn.XLOOKUP($AL195,LRC[id],INDIRECT("LRC["&amp;AN$21&amp;"]"))</f>
        <v>2</v>
      </c>
      <c r="BC195">
        <v>474</v>
      </c>
      <c r="BD195" cm="1">
        <f t="array" aca="1" ref="BD195" ca="1">_xlfn.XLOOKUP($BC195,LRC[id],INDIRECT("LRC["&amp;BD$21&amp;"]"))</f>
        <v>7</v>
      </c>
      <c r="BE195" cm="1">
        <f t="array" aca="1" ref="BE195" ca="1">_xlfn.XLOOKUP($BC195,LRC[id],INDIRECT("LRC["&amp;BE$21&amp;"]"))</f>
        <v>2</v>
      </c>
    </row>
    <row r="196" spans="38:57" x14ac:dyDescent="0.3">
      <c r="AL196">
        <v>175</v>
      </c>
      <c r="AM196" cm="1">
        <f t="array" aca="1" ref="AM196" ca="1">_xlfn.XLOOKUP($AL196,LRC[id],INDIRECT("LRC["&amp;AM$21&amp;"]"))</f>
        <v>9</v>
      </c>
      <c r="AN196" cm="1">
        <f t="array" aca="1" ref="AN196" ca="1">_xlfn.XLOOKUP($AL196,LRC[id],INDIRECT("LRC["&amp;AN$21&amp;"]"))</f>
        <v>3</v>
      </c>
      <c r="BC196">
        <v>475</v>
      </c>
      <c r="BD196" cm="1">
        <f t="array" aca="1" ref="BD196" ca="1">_xlfn.XLOOKUP($BC196,LRC[id],INDIRECT("LRC["&amp;BD$21&amp;"]"))</f>
        <v>9</v>
      </c>
      <c r="BE196" cm="1">
        <f t="array" aca="1" ref="BE196" ca="1">_xlfn.XLOOKUP($BC196,LRC[id],INDIRECT("LRC["&amp;BE$21&amp;"]"))</f>
        <v>3</v>
      </c>
    </row>
    <row r="197" spans="38:57" x14ac:dyDescent="0.3">
      <c r="AL197">
        <v>176</v>
      </c>
      <c r="AM197" cm="1">
        <f t="array" aca="1" ref="AM197" ca="1">_xlfn.XLOOKUP($AL197,LRC[id],INDIRECT("LRC["&amp;AM$21&amp;"]"))</f>
        <v>11</v>
      </c>
      <c r="AN197" cm="1">
        <f t="array" aca="1" ref="AN197" ca="1">_xlfn.XLOOKUP($AL197,LRC[id],INDIRECT("LRC["&amp;AN$21&amp;"]"))</f>
        <v>4</v>
      </c>
      <c r="BC197">
        <v>476</v>
      </c>
      <c r="BD197" cm="1">
        <f t="array" aca="1" ref="BD197" ca="1">_xlfn.XLOOKUP($BC197,LRC[id],INDIRECT("LRC["&amp;BD$21&amp;"]"))</f>
        <v>11</v>
      </c>
      <c r="BE197" cm="1">
        <f t="array" aca="1" ref="BE197" ca="1">_xlfn.XLOOKUP($BC197,LRC[id],INDIRECT("LRC["&amp;BE$21&amp;"]"))</f>
        <v>4</v>
      </c>
    </row>
    <row r="198" spans="38:57" x14ac:dyDescent="0.3">
      <c r="AL198">
        <v>177</v>
      </c>
      <c r="AM198" cm="1">
        <f t="array" aca="1" ref="AM198" ca="1">_xlfn.XLOOKUP($AL198,LRC[id],INDIRECT("LRC["&amp;AM$21&amp;"]"))</f>
        <v>5</v>
      </c>
      <c r="AN198" cm="1">
        <f t="array" aca="1" ref="AN198" ca="1">_xlfn.XLOOKUP($AL198,LRC[id],INDIRECT("LRC["&amp;AN$21&amp;"]"))</f>
        <v>1</v>
      </c>
      <c r="BC198">
        <v>477</v>
      </c>
      <c r="BD198" cm="1">
        <f t="array" aca="1" ref="BD198" ca="1">_xlfn.XLOOKUP($BC198,LRC[id],INDIRECT("LRC["&amp;BD$21&amp;"]"))</f>
        <v>5</v>
      </c>
      <c r="BE198" cm="1">
        <f t="array" aca="1" ref="BE198" ca="1">_xlfn.XLOOKUP($BC198,LRC[id],INDIRECT("LRC["&amp;BE$21&amp;"]"))</f>
        <v>1</v>
      </c>
    </row>
    <row r="199" spans="38:57" x14ac:dyDescent="0.3">
      <c r="AL199">
        <v>178</v>
      </c>
      <c r="AM199" cm="1">
        <f t="array" aca="1" ref="AM199" ca="1">_xlfn.XLOOKUP($AL199,LRC[id],INDIRECT("LRC["&amp;AM$21&amp;"]"))</f>
        <v>8</v>
      </c>
      <c r="AN199" cm="1">
        <f t="array" aca="1" ref="AN199" ca="1">_xlfn.XLOOKUP($AL199,LRC[id],INDIRECT("LRC["&amp;AN$21&amp;"]"))</f>
        <v>2</v>
      </c>
      <c r="BC199">
        <v>478</v>
      </c>
      <c r="BD199" cm="1">
        <f t="array" aca="1" ref="BD199" ca="1">_xlfn.XLOOKUP($BC199,LRC[id],INDIRECT("LRC["&amp;BD$21&amp;"]"))</f>
        <v>8</v>
      </c>
      <c r="BE199" cm="1">
        <f t="array" aca="1" ref="BE199" ca="1">_xlfn.XLOOKUP($BC199,LRC[id],INDIRECT("LRC["&amp;BE$21&amp;"]"))</f>
        <v>2</v>
      </c>
    </row>
    <row r="200" spans="38:57" x14ac:dyDescent="0.3">
      <c r="AL200">
        <v>179</v>
      </c>
      <c r="AM200" cm="1">
        <f t="array" aca="1" ref="AM200" ca="1">_xlfn.XLOOKUP($AL200,LRC[id],INDIRECT("LRC["&amp;AM$21&amp;"]"))</f>
        <v>11</v>
      </c>
      <c r="AN200" cm="1">
        <f t="array" aca="1" ref="AN200" ca="1">_xlfn.XLOOKUP($AL200,LRC[id],INDIRECT("LRC["&amp;AN$21&amp;"]"))</f>
        <v>3</v>
      </c>
      <c r="BC200">
        <v>479</v>
      </c>
      <c r="BD200" cm="1">
        <f t="array" aca="1" ref="BD200" ca="1">_xlfn.XLOOKUP($BC200,LRC[id],INDIRECT("LRC["&amp;BD$21&amp;"]"))</f>
        <v>11</v>
      </c>
      <c r="BE200" cm="1">
        <f t="array" aca="1" ref="BE200" ca="1">_xlfn.XLOOKUP($BC200,LRC[id],INDIRECT("LRC["&amp;BE$21&amp;"]"))</f>
        <v>3</v>
      </c>
    </row>
    <row r="201" spans="38:57" x14ac:dyDescent="0.3">
      <c r="AL201">
        <v>180</v>
      </c>
      <c r="AM201" cm="1">
        <f t="array" aca="1" ref="AM201" ca="1">_xlfn.XLOOKUP($AL201,LRC[id],INDIRECT("LRC["&amp;AM$21&amp;"]"))</f>
        <v>13</v>
      </c>
      <c r="AN201" cm="1">
        <f t="array" aca="1" ref="AN201" ca="1">_xlfn.XLOOKUP($AL201,LRC[id],INDIRECT("LRC["&amp;AN$21&amp;"]"))</f>
        <v>4</v>
      </c>
      <c r="BC201">
        <v>480</v>
      </c>
      <c r="BD201" cm="1">
        <f t="array" aca="1" ref="BD201" ca="1">_xlfn.XLOOKUP($BC201,LRC[id],INDIRECT("LRC["&amp;BD$21&amp;"]"))</f>
        <v>13</v>
      </c>
      <c r="BE201" cm="1">
        <f t="array" aca="1" ref="BE201" ca="1">_xlfn.XLOOKUP($BC201,LRC[id],INDIRECT("LRC["&amp;BE$21&amp;"]"))</f>
        <v>4</v>
      </c>
    </row>
    <row r="202" spans="38:57" x14ac:dyDescent="0.3">
      <c r="AL202">
        <v>181</v>
      </c>
      <c r="AM202" cm="1">
        <f t="array" aca="1" ref="AM202" ca="1">_xlfn.XLOOKUP($AL202,LRC[id],INDIRECT("LRC["&amp;AM$21&amp;"]"))</f>
        <v>1</v>
      </c>
      <c r="AN202" cm="1">
        <f t="array" aca="1" ref="AN202" ca="1">_xlfn.XLOOKUP($AL202,LRC[id],INDIRECT("LRC["&amp;AN$21&amp;"]"))</f>
        <v>1</v>
      </c>
      <c r="BC202">
        <v>481</v>
      </c>
      <c r="BD202" cm="1">
        <f t="array" aca="1" ref="BD202" ca="1">_xlfn.XLOOKUP($BC202,LRC[id],INDIRECT("LRC["&amp;BD$21&amp;"]"))</f>
        <v>1</v>
      </c>
      <c r="BE202" cm="1">
        <f t="array" aca="1" ref="BE202" ca="1">_xlfn.XLOOKUP($BC202,LRC[id],INDIRECT("LRC["&amp;BE$21&amp;"]"))</f>
        <v>1</v>
      </c>
    </row>
    <row r="203" spans="38:57" x14ac:dyDescent="0.3">
      <c r="AL203">
        <v>182</v>
      </c>
      <c r="AM203" cm="1">
        <f t="array" aca="1" ref="AM203" ca="1">_xlfn.XLOOKUP($AL203,LRC[id],INDIRECT("LRC["&amp;AM$21&amp;"]"))</f>
        <v>2</v>
      </c>
      <c r="AN203" cm="1">
        <f t="array" aca="1" ref="AN203" ca="1">_xlfn.XLOOKUP($AL203,LRC[id],INDIRECT("LRC["&amp;AN$21&amp;"]"))</f>
        <v>2</v>
      </c>
      <c r="BC203">
        <v>482</v>
      </c>
      <c r="BD203" cm="1">
        <f t="array" aca="1" ref="BD203" ca="1">_xlfn.XLOOKUP($BC203,LRC[id],INDIRECT("LRC["&amp;BD$21&amp;"]"))</f>
        <v>2</v>
      </c>
      <c r="BE203" cm="1">
        <f t="array" aca="1" ref="BE203" ca="1">_xlfn.XLOOKUP($BC203,LRC[id],INDIRECT("LRC["&amp;BE$21&amp;"]"))</f>
        <v>2</v>
      </c>
    </row>
    <row r="204" spans="38:57" x14ac:dyDescent="0.3">
      <c r="AL204">
        <v>183</v>
      </c>
      <c r="AM204" cm="1">
        <f t="array" aca="1" ref="AM204" ca="1">_xlfn.XLOOKUP($AL204,LRC[id],INDIRECT("LRC["&amp;AM$21&amp;"]"))</f>
        <v>2</v>
      </c>
      <c r="AN204" cm="1">
        <f t="array" aca="1" ref="AN204" ca="1">_xlfn.XLOOKUP($AL204,LRC[id],INDIRECT("LRC["&amp;AN$21&amp;"]"))</f>
        <v>3</v>
      </c>
      <c r="BC204">
        <v>483</v>
      </c>
      <c r="BD204" cm="1">
        <f t="array" aca="1" ref="BD204" ca="1">_xlfn.XLOOKUP($BC204,LRC[id],INDIRECT("LRC["&amp;BD$21&amp;"]"))</f>
        <v>2</v>
      </c>
      <c r="BE204" cm="1">
        <f t="array" aca="1" ref="BE204" ca="1">_xlfn.XLOOKUP($BC204,LRC[id],INDIRECT("LRC["&amp;BE$21&amp;"]"))</f>
        <v>3</v>
      </c>
    </row>
    <row r="205" spans="38:57" x14ac:dyDescent="0.3">
      <c r="AL205">
        <v>184</v>
      </c>
      <c r="AM205" cm="1">
        <f t="array" aca="1" ref="AM205" ca="1">_xlfn.XLOOKUP($AL205,LRC[id],INDIRECT("LRC["&amp;AM$21&amp;"]"))</f>
        <v>2</v>
      </c>
      <c r="AN205" cm="1">
        <f t="array" aca="1" ref="AN205" ca="1">_xlfn.XLOOKUP($AL205,LRC[id],INDIRECT("LRC["&amp;AN$21&amp;"]"))</f>
        <v>4</v>
      </c>
      <c r="BC205">
        <v>484</v>
      </c>
      <c r="BD205" cm="1">
        <f t="array" aca="1" ref="BD205" ca="1">_xlfn.XLOOKUP($BC205,LRC[id],INDIRECT("LRC["&amp;BD$21&amp;"]"))</f>
        <v>2</v>
      </c>
      <c r="BE205" cm="1">
        <f t="array" aca="1" ref="BE205" ca="1">_xlfn.XLOOKUP($BC205,LRC[id],INDIRECT("LRC["&amp;BE$21&amp;"]"))</f>
        <v>4</v>
      </c>
    </row>
    <row r="206" spans="38:57" x14ac:dyDescent="0.3">
      <c r="AL206">
        <v>185</v>
      </c>
      <c r="AM206" cm="1">
        <f t="array" aca="1" ref="AM206" ca="1">_xlfn.XLOOKUP($AL206,LRC[id],INDIRECT("LRC["&amp;AM$21&amp;"]"))</f>
        <v>2</v>
      </c>
      <c r="AN206" cm="1">
        <f t="array" aca="1" ref="AN206" ca="1">_xlfn.XLOOKUP($AL206,LRC[id],INDIRECT("LRC["&amp;AN$21&amp;"]"))</f>
        <v>1</v>
      </c>
      <c r="BC206">
        <v>485</v>
      </c>
      <c r="BD206" cm="1">
        <f t="array" aca="1" ref="BD206" ca="1">_xlfn.XLOOKUP($BC206,LRC[id],INDIRECT("LRC["&amp;BD$21&amp;"]"))</f>
        <v>2</v>
      </c>
      <c r="BE206" cm="1">
        <f t="array" aca="1" ref="BE206" ca="1">_xlfn.XLOOKUP($BC206,LRC[id],INDIRECT("LRC["&amp;BE$21&amp;"]"))</f>
        <v>1</v>
      </c>
    </row>
    <row r="207" spans="38:57" x14ac:dyDescent="0.3">
      <c r="AL207">
        <v>186</v>
      </c>
      <c r="AM207" cm="1">
        <f t="array" aca="1" ref="AM207" ca="1">_xlfn.XLOOKUP($AL207,LRC[id],INDIRECT("LRC["&amp;AM$21&amp;"]"))</f>
        <v>3</v>
      </c>
      <c r="AN207" cm="1">
        <f t="array" aca="1" ref="AN207" ca="1">_xlfn.XLOOKUP($AL207,LRC[id],INDIRECT("LRC["&amp;AN$21&amp;"]"))</f>
        <v>2</v>
      </c>
      <c r="BC207">
        <v>486</v>
      </c>
      <c r="BD207" cm="1">
        <f t="array" aca="1" ref="BD207" ca="1">_xlfn.XLOOKUP($BC207,LRC[id],INDIRECT("LRC["&amp;BD$21&amp;"]"))</f>
        <v>3</v>
      </c>
      <c r="BE207" cm="1">
        <f t="array" aca="1" ref="BE207" ca="1">_xlfn.XLOOKUP($BC207,LRC[id],INDIRECT("LRC["&amp;BE$21&amp;"]"))</f>
        <v>2</v>
      </c>
    </row>
    <row r="208" spans="38:57" x14ac:dyDescent="0.3">
      <c r="AL208">
        <v>187</v>
      </c>
      <c r="AM208" cm="1">
        <f t="array" aca="1" ref="AM208" ca="1">_xlfn.XLOOKUP($AL208,LRC[id],INDIRECT("LRC["&amp;AM$21&amp;"]"))</f>
        <v>4</v>
      </c>
      <c r="AN208" cm="1">
        <f t="array" aca="1" ref="AN208" ca="1">_xlfn.XLOOKUP($AL208,LRC[id],INDIRECT("LRC["&amp;AN$21&amp;"]"))</f>
        <v>3</v>
      </c>
      <c r="BC208">
        <v>487</v>
      </c>
      <c r="BD208" cm="1">
        <f t="array" aca="1" ref="BD208" ca="1">_xlfn.XLOOKUP($BC208,LRC[id],INDIRECT("LRC["&amp;BD$21&amp;"]"))</f>
        <v>4</v>
      </c>
      <c r="BE208" cm="1">
        <f t="array" aca="1" ref="BE208" ca="1">_xlfn.XLOOKUP($BC208,LRC[id],INDIRECT("LRC["&amp;BE$21&amp;"]"))</f>
        <v>3</v>
      </c>
    </row>
    <row r="209" spans="38:57" x14ac:dyDescent="0.3">
      <c r="AL209">
        <v>188</v>
      </c>
      <c r="AM209" cm="1">
        <f t="array" aca="1" ref="AM209" ca="1">_xlfn.XLOOKUP($AL209,LRC[id],INDIRECT("LRC["&amp;AM$21&amp;"]"))</f>
        <v>4</v>
      </c>
      <c r="AN209" cm="1">
        <f t="array" aca="1" ref="AN209" ca="1">_xlfn.XLOOKUP($AL209,LRC[id],INDIRECT("LRC["&amp;AN$21&amp;"]"))</f>
        <v>4</v>
      </c>
      <c r="BC209">
        <v>488</v>
      </c>
      <c r="BD209" cm="1">
        <f t="array" aca="1" ref="BD209" ca="1">_xlfn.XLOOKUP($BC209,LRC[id],INDIRECT("LRC["&amp;BD$21&amp;"]"))</f>
        <v>4</v>
      </c>
      <c r="BE209" cm="1">
        <f t="array" aca="1" ref="BE209" ca="1">_xlfn.XLOOKUP($BC209,LRC[id],INDIRECT("LRC["&amp;BE$21&amp;"]"))</f>
        <v>4</v>
      </c>
    </row>
    <row r="210" spans="38:57" x14ac:dyDescent="0.3">
      <c r="AL210">
        <v>189</v>
      </c>
      <c r="AM210" cm="1">
        <f t="array" aca="1" ref="AM210" ca="1">_xlfn.XLOOKUP($AL210,LRC[id],INDIRECT("LRC["&amp;AM$21&amp;"]"))</f>
        <v>3</v>
      </c>
      <c r="AN210" cm="1">
        <f t="array" aca="1" ref="AN210" ca="1">_xlfn.XLOOKUP($AL210,LRC[id],INDIRECT("LRC["&amp;AN$21&amp;"]"))</f>
        <v>1</v>
      </c>
      <c r="BC210">
        <v>489</v>
      </c>
      <c r="BD210" cm="1">
        <f t="array" aca="1" ref="BD210" ca="1">_xlfn.XLOOKUP($BC210,LRC[id],INDIRECT("LRC["&amp;BD$21&amp;"]"))</f>
        <v>3</v>
      </c>
      <c r="BE210" cm="1">
        <f t="array" aca="1" ref="BE210" ca="1">_xlfn.XLOOKUP($BC210,LRC[id],INDIRECT("LRC["&amp;BE$21&amp;"]"))</f>
        <v>1</v>
      </c>
    </row>
    <row r="211" spans="38:57" x14ac:dyDescent="0.3">
      <c r="AL211">
        <v>190</v>
      </c>
      <c r="AM211" cm="1">
        <f t="array" aca="1" ref="AM211" ca="1">_xlfn.XLOOKUP($AL211,LRC[id],INDIRECT("LRC["&amp;AM$21&amp;"]"))</f>
        <v>4</v>
      </c>
      <c r="AN211" cm="1">
        <f t="array" aca="1" ref="AN211" ca="1">_xlfn.XLOOKUP($AL211,LRC[id],INDIRECT("LRC["&amp;AN$21&amp;"]"))</f>
        <v>2</v>
      </c>
      <c r="BC211">
        <v>490</v>
      </c>
      <c r="BD211" cm="1">
        <f t="array" aca="1" ref="BD211" ca="1">_xlfn.XLOOKUP($BC211,LRC[id],INDIRECT("LRC["&amp;BD$21&amp;"]"))</f>
        <v>4</v>
      </c>
      <c r="BE211" cm="1">
        <f t="array" aca="1" ref="BE211" ca="1">_xlfn.XLOOKUP($BC211,LRC[id],INDIRECT("LRC["&amp;BE$21&amp;"]"))</f>
        <v>2</v>
      </c>
    </row>
    <row r="212" spans="38:57" x14ac:dyDescent="0.3">
      <c r="AL212">
        <v>191</v>
      </c>
      <c r="AM212" cm="1">
        <f t="array" aca="1" ref="AM212" ca="1">_xlfn.XLOOKUP($AL212,LRC[id],INDIRECT("LRC["&amp;AM$21&amp;"]"))</f>
        <v>5</v>
      </c>
      <c r="AN212" cm="1">
        <f t="array" aca="1" ref="AN212" ca="1">_xlfn.XLOOKUP($AL212,LRC[id],INDIRECT("LRC["&amp;AN$21&amp;"]"))</f>
        <v>3</v>
      </c>
      <c r="BC212">
        <v>491</v>
      </c>
      <c r="BD212" cm="1">
        <f t="array" aca="1" ref="BD212" ca="1">_xlfn.XLOOKUP($BC212,LRC[id],INDIRECT("LRC["&amp;BD$21&amp;"]"))</f>
        <v>5</v>
      </c>
      <c r="BE212" cm="1">
        <f t="array" aca="1" ref="BE212" ca="1">_xlfn.XLOOKUP($BC212,LRC[id],INDIRECT("LRC["&amp;BE$21&amp;"]"))</f>
        <v>3</v>
      </c>
    </row>
    <row r="213" spans="38:57" x14ac:dyDescent="0.3">
      <c r="AL213">
        <v>192</v>
      </c>
      <c r="AM213" cm="1">
        <f t="array" aca="1" ref="AM213" ca="1">_xlfn.XLOOKUP($AL213,LRC[id],INDIRECT("LRC["&amp;AM$21&amp;"]"))</f>
        <v>6</v>
      </c>
      <c r="AN213" cm="1">
        <f t="array" aca="1" ref="AN213" ca="1">_xlfn.XLOOKUP($AL213,LRC[id],INDIRECT("LRC["&amp;AN$21&amp;"]"))</f>
        <v>4</v>
      </c>
      <c r="BC213">
        <v>492</v>
      </c>
      <c r="BD213" cm="1">
        <f t="array" aca="1" ref="BD213" ca="1">_xlfn.XLOOKUP($BC213,LRC[id],INDIRECT("LRC["&amp;BD$21&amp;"]"))</f>
        <v>6</v>
      </c>
      <c r="BE213" cm="1">
        <f t="array" aca="1" ref="BE213" ca="1">_xlfn.XLOOKUP($BC213,LRC[id],INDIRECT("LRC["&amp;BE$21&amp;"]"))</f>
        <v>4</v>
      </c>
    </row>
    <row r="214" spans="38:57" x14ac:dyDescent="0.3">
      <c r="AL214">
        <v>193</v>
      </c>
      <c r="AM214" cm="1">
        <f t="array" aca="1" ref="AM214" ca="1">_xlfn.XLOOKUP($AL214,LRC[id],INDIRECT("LRC["&amp;AM$21&amp;"]"))</f>
        <v>4</v>
      </c>
      <c r="AN214" cm="1">
        <f t="array" aca="1" ref="AN214" ca="1">_xlfn.XLOOKUP($AL214,LRC[id],INDIRECT("LRC["&amp;AN$21&amp;"]"))</f>
        <v>1</v>
      </c>
      <c r="BC214">
        <v>493</v>
      </c>
      <c r="BD214" cm="1">
        <f t="array" aca="1" ref="BD214" ca="1">_xlfn.XLOOKUP($BC214,LRC[id],INDIRECT("LRC["&amp;BD$21&amp;"]"))</f>
        <v>4</v>
      </c>
      <c r="BE214" cm="1">
        <f t="array" aca="1" ref="BE214" ca="1">_xlfn.XLOOKUP($BC214,LRC[id],INDIRECT("LRC["&amp;BE$21&amp;"]"))</f>
        <v>1</v>
      </c>
    </row>
    <row r="215" spans="38:57" x14ac:dyDescent="0.3">
      <c r="AL215">
        <v>194</v>
      </c>
      <c r="AM215" cm="1">
        <f t="array" aca="1" ref="AM215" ca="1">_xlfn.XLOOKUP($AL215,LRC[id],INDIRECT("LRC["&amp;AM$21&amp;"]"))</f>
        <v>5</v>
      </c>
      <c r="AN215" cm="1">
        <f t="array" aca="1" ref="AN215" ca="1">_xlfn.XLOOKUP($AL215,LRC[id],INDIRECT("LRC["&amp;AN$21&amp;"]"))</f>
        <v>2</v>
      </c>
      <c r="BC215">
        <v>494</v>
      </c>
      <c r="BD215" cm="1">
        <f t="array" aca="1" ref="BD215" ca="1">_xlfn.XLOOKUP($BC215,LRC[id],INDIRECT("LRC["&amp;BD$21&amp;"]"))</f>
        <v>5</v>
      </c>
      <c r="BE215" cm="1">
        <f t="array" aca="1" ref="BE215" ca="1">_xlfn.XLOOKUP($BC215,LRC[id],INDIRECT("LRC["&amp;BE$21&amp;"]"))</f>
        <v>2</v>
      </c>
    </row>
    <row r="216" spans="38:57" x14ac:dyDescent="0.3">
      <c r="AL216">
        <v>195</v>
      </c>
      <c r="AM216" cm="1">
        <f t="array" aca="1" ref="AM216" ca="1">_xlfn.XLOOKUP($AL216,LRC[id],INDIRECT("LRC["&amp;AM$21&amp;"]"))</f>
        <v>7</v>
      </c>
      <c r="AN216" cm="1">
        <f t="array" aca="1" ref="AN216" ca="1">_xlfn.XLOOKUP($AL216,LRC[id],INDIRECT("LRC["&amp;AN$21&amp;"]"))</f>
        <v>3</v>
      </c>
      <c r="BC216">
        <v>495</v>
      </c>
      <c r="BD216" cm="1">
        <f t="array" aca="1" ref="BD216" ca="1">_xlfn.XLOOKUP($BC216,LRC[id],INDIRECT("LRC["&amp;BD$21&amp;"]"))</f>
        <v>7</v>
      </c>
      <c r="BE216" cm="1">
        <f t="array" aca="1" ref="BE216" ca="1">_xlfn.XLOOKUP($BC216,LRC[id],INDIRECT("LRC["&amp;BE$21&amp;"]"))</f>
        <v>3</v>
      </c>
    </row>
    <row r="217" spans="38:57" x14ac:dyDescent="0.3">
      <c r="AL217">
        <v>196</v>
      </c>
      <c r="AM217" cm="1">
        <f t="array" aca="1" ref="AM217" ca="1">_xlfn.XLOOKUP($AL217,LRC[id],INDIRECT("LRC["&amp;AM$21&amp;"]"))</f>
        <v>8</v>
      </c>
      <c r="AN217" cm="1">
        <f t="array" aca="1" ref="AN217" ca="1">_xlfn.XLOOKUP($AL217,LRC[id],INDIRECT("LRC["&amp;AN$21&amp;"]"))</f>
        <v>4</v>
      </c>
      <c r="BC217">
        <v>496</v>
      </c>
      <c r="BD217" cm="1">
        <f t="array" aca="1" ref="BD217" ca="1">_xlfn.XLOOKUP($BC217,LRC[id],INDIRECT("LRC["&amp;BD$21&amp;"]"))</f>
        <v>8</v>
      </c>
      <c r="BE217" cm="1">
        <f t="array" aca="1" ref="BE217" ca="1">_xlfn.XLOOKUP($BC217,LRC[id],INDIRECT("LRC["&amp;BE$21&amp;"]"))</f>
        <v>4</v>
      </c>
    </row>
    <row r="218" spans="38:57" x14ac:dyDescent="0.3">
      <c r="AL218">
        <v>197</v>
      </c>
      <c r="AM218" cm="1">
        <f t="array" aca="1" ref="AM218" ca="1">_xlfn.XLOOKUP($AL218,LRC[id],INDIRECT("LRC["&amp;AM$21&amp;"]"))</f>
        <v>4</v>
      </c>
      <c r="AN218" cm="1">
        <f t="array" aca="1" ref="AN218" ca="1">_xlfn.XLOOKUP($AL218,LRC[id],INDIRECT("LRC["&amp;AN$21&amp;"]"))</f>
        <v>1</v>
      </c>
      <c r="BC218">
        <v>497</v>
      </c>
      <c r="BD218" cm="1">
        <f t="array" aca="1" ref="BD218" ca="1">_xlfn.XLOOKUP($BC218,LRC[id],INDIRECT("LRC["&amp;BD$21&amp;"]"))</f>
        <v>4</v>
      </c>
      <c r="BE218" cm="1">
        <f t="array" aca="1" ref="BE218" ca="1">_xlfn.XLOOKUP($BC218,LRC[id],INDIRECT("LRC["&amp;BE$21&amp;"]"))</f>
        <v>1</v>
      </c>
    </row>
    <row r="219" spans="38:57" x14ac:dyDescent="0.3">
      <c r="AL219">
        <v>198</v>
      </c>
      <c r="AM219" cm="1">
        <f t="array" aca="1" ref="AM219" ca="1">_xlfn.XLOOKUP($AL219,LRC[id],INDIRECT("LRC["&amp;AM$21&amp;"]"))</f>
        <v>6</v>
      </c>
      <c r="AN219" cm="1">
        <f t="array" aca="1" ref="AN219" ca="1">_xlfn.XLOOKUP($AL219,LRC[id],INDIRECT("LRC["&amp;AN$21&amp;"]"))</f>
        <v>2</v>
      </c>
      <c r="BC219">
        <v>498</v>
      </c>
      <c r="BD219" cm="1">
        <f t="array" aca="1" ref="BD219" ca="1">_xlfn.XLOOKUP($BC219,LRC[id],INDIRECT("LRC["&amp;BD$21&amp;"]"))</f>
        <v>6</v>
      </c>
      <c r="BE219" cm="1">
        <f t="array" aca="1" ref="BE219" ca="1">_xlfn.XLOOKUP($BC219,LRC[id],INDIRECT("LRC["&amp;BE$21&amp;"]"))</f>
        <v>2</v>
      </c>
    </row>
    <row r="220" spans="38:57" x14ac:dyDescent="0.3">
      <c r="AL220">
        <v>199</v>
      </c>
      <c r="AM220" cm="1">
        <f t="array" aca="1" ref="AM220" ca="1">_xlfn.XLOOKUP($AL220,LRC[id],INDIRECT("LRC["&amp;AM$21&amp;"]"))</f>
        <v>8</v>
      </c>
      <c r="AN220" cm="1">
        <f t="array" aca="1" ref="AN220" ca="1">_xlfn.XLOOKUP($AL220,LRC[id],INDIRECT("LRC["&amp;AN$21&amp;"]"))</f>
        <v>3</v>
      </c>
      <c r="BC220">
        <v>499</v>
      </c>
      <c r="BD220" cm="1">
        <f t="array" aca="1" ref="BD220" ca="1">_xlfn.XLOOKUP($BC220,LRC[id],INDIRECT("LRC["&amp;BD$21&amp;"]"))</f>
        <v>8</v>
      </c>
      <c r="BE220" cm="1">
        <f t="array" aca="1" ref="BE220" ca="1">_xlfn.XLOOKUP($BC220,LRC[id],INDIRECT("LRC["&amp;BE$21&amp;"]"))</f>
        <v>3</v>
      </c>
    </row>
    <row r="221" spans="38:57" x14ac:dyDescent="0.3">
      <c r="AL221">
        <v>200</v>
      </c>
      <c r="AM221" cm="1">
        <f t="array" aca="1" ref="AM221" ca="1">_xlfn.XLOOKUP($AL221,LRC[id],INDIRECT("LRC["&amp;AM$21&amp;"]"))</f>
        <v>10</v>
      </c>
      <c r="AN221" cm="1">
        <f t="array" aca="1" ref="AN221" ca="1">_xlfn.XLOOKUP($AL221,LRC[id],INDIRECT("LRC["&amp;AN$21&amp;"]"))</f>
        <v>4</v>
      </c>
      <c r="BC221">
        <v>500</v>
      </c>
      <c r="BD221" cm="1">
        <f t="array" aca="1" ref="BD221" ca="1">_xlfn.XLOOKUP($BC221,LRC[id],INDIRECT("LRC["&amp;BD$21&amp;"]"))</f>
        <v>10</v>
      </c>
      <c r="BE221" cm="1">
        <f t="array" aca="1" ref="BE221" ca="1">_xlfn.XLOOKUP($BC221,LRC[id],INDIRECT("LRC["&amp;BE$21&amp;"]"))</f>
        <v>4</v>
      </c>
    </row>
    <row r="222" spans="38:57" x14ac:dyDescent="0.3">
      <c r="AL222">
        <v>201</v>
      </c>
      <c r="AM222" cm="1">
        <f t="array" aca="1" ref="AM222" ca="1">_xlfn.XLOOKUP($AL222,LRC[id],INDIRECT("LRC["&amp;AM$21&amp;"]"))</f>
        <v>4</v>
      </c>
      <c r="AN222" cm="1">
        <f t="array" aca="1" ref="AN222" ca="1">_xlfn.XLOOKUP($AL222,LRC[id],INDIRECT("LRC["&amp;AN$21&amp;"]"))</f>
        <v>1</v>
      </c>
      <c r="BC222">
        <v>501</v>
      </c>
      <c r="BD222" cm="1">
        <f t="array" aca="1" ref="BD222" ca="1">_xlfn.XLOOKUP($BC222,LRC[id],INDIRECT("LRC["&amp;BD$21&amp;"]"))</f>
        <v>4</v>
      </c>
      <c r="BE222" cm="1">
        <f t="array" aca="1" ref="BE222" ca="1">_xlfn.XLOOKUP($BC222,LRC[id],INDIRECT("LRC["&amp;BE$21&amp;"]"))</f>
        <v>1</v>
      </c>
    </row>
    <row r="223" spans="38:57" x14ac:dyDescent="0.3">
      <c r="AL223">
        <v>202</v>
      </c>
      <c r="AM223" cm="1">
        <f t="array" aca="1" ref="AM223" ca="1">_xlfn.XLOOKUP($AL223,LRC[id],INDIRECT("LRC["&amp;AM$21&amp;"]"))</f>
        <v>6</v>
      </c>
      <c r="AN223" cm="1">
        <f t="array" aca="1" ref="AN223" ca="1">_xlfn.XLOOKUP($AL223,LRC[id],INDIRECT("LRC["&amp;AN$21&amp;"]"))</f>
        <v>2</v>
      </c>
      <c r="BC223">
        <v>502</v>
      </c>
      <c r="BD223" cm="1">
        <f t="array" aca="1" ref="BD223" ca="1">_xlfn.XLOOKUP($BC223,LRC[id],INDIRECT("LRC["&amp;BD$21&amp;"]"))</f>
        <v>6</v>
      </c>
      <c r="BE223" cm="1">
        <f t="array" aca="1" ref="BE223" ca="1">_xlfn.XLOOKUP($BC223,LRC[id],INDIRECT("LRC["&amp;BE$21&amp;"]"))</f>
        <v>2</v>
      </c>
    </row>
    <row r="224" spans="38:57" x14ac:dyDescent="0.3">
      <c r="AL224">
        <v>203</v>
      </c>
      <c r="AM224" cm="1">
        <f t="array" aca="1" ref="AM224" ca="1">_xlfn.XLOOKUP($AL224,LRC[id],INDIRECT("LRC["&amp;AM$21&amp;"]"))</f>
        <v>7</v>
      </c>
      <c r="AN224" cm="1">
        <f t="array" aca="1" ref="AN224" ca="1">_xlfn.XLOOKUP($AL224,LRC[id],INDIRECT("LRC["&amp;AN$21&amp;"]"))</f>
        <v>3</v>
      </c>
      <c r="BC224">
        <v>503</v>
      </c>
      <c r="BD224" cm="1">
        <f t="array" aca="1" ref="BD224" ca="1">_xlfn.XLOOKUP($BC224,LRC[id],INDIRECT("LRC["&amp;BD$21&amp;"]"))</f>
        <v>7</v>
      </c>
      <c r="BE224" cm="1">
        <f t="array" aca="1" ref="BE224" ca="1">_xlfn.XLOOKUP($BC224,LRC[id],INDIRECT("LRC["&amp;BE$21&amp;"]"))</f>
        <v>3</v>
      </c>
    </row>
    <row r="225" spans="38:57" x14ac:dyDescent="0.3">
      <c r="AL225">
        <v>204</v>
      </c>
      <c r="AM225" cm="1">
        <f t="array" aca="1" ref="AM225" ca="1">_xlfn.XLOOKUP($AL225,LRC[id],INDIRECT("LRC["&amp;AM$21&amp;"]"))</f>
        <v>9</v>
      </c>
      <c r="AN225" cm="1">
        <f t="array" aca="1" ref="AN225" ca="1">_xlfn.XLOOKUP($AL225,LRC[id],INDIRECT("LRC["&amp;AN$21&amp;"]"))</f>
        <v>4</v>
      </c>
      <c r="BC225">
        <v>504</v>
      </c>
      <c r="BD225" cm="1">
        <f t="array" aca="1" ref="BD225" ca="1">_xlfn.XLOOKUP($BC225,LRC[id],INDIRECT("LRC["&amp;BD$21&amp;"]"))</f>
        <v>9</v>
      </c>
      <c r="BE225" cm="1">
        <f t="array" aca="1" ref="BE225" ca="1">_xlfn.XLOOKUP($BC225,LRC[id],INDIRECT("LRC["&amp;BE$21&amp;"]"))</f>
        <v>4</v>
      </c>
    </row>
    <row r="226" spans="38:57" x14ac:dyDescent="0.3">
      <c r="AL226">
        <v>205</v>
      </c>
      <c r="AM226" cm="1">
        <f t="array" aca="1" ref="AM226" ca="1">_xlfn.XLOOKUP($AL226,LRC[id],INDIRECT("LRC["&amp;AM$21&amp;"]"))</f>
        <v>8</v>
      </c>
      <c r="AN226" cm="1">
        <f t="array" aca="1" ref="AN226" ca="1">_xlfn.XLOOKUP($AL226,LRC[id],INDIRECT("LRC["&amp;AN$21&amp;"]"))</f>
        <v>1</v>
      </c>
      <c r="BC226">
        <v>505</v>
      </c>
      <c r="BD226" cm="1">
        <f t="array" aca="1" ref="BD226" ca="1">_xlfn.XLOOKUP($BC226,LRC[id],INDIRECT("LRC["&amp;BD$21&amp;"]"))</f>
        <v>8</v>
      </c>
      <c r="BE226" cm="1">
        <f t="array" aca="1" ref="BE226" ca="1">_xlfn.XLOOKUP($BC226,LRC[id],INDIRECT("LRC["&amp;BE$21&amp;"]"))</f>
        <v>1</v>
      </c>
    </row>
    <row r="227" spans="38:57" x14ac:dyDescent="0.3">
      <c r="AL227">
        <v>206</v>
      </c>
      <c r="AM227" cm="1">
        <f t="array" aca="1" ref="AM227" ca="1">_xlfn.XLOOKUP($AL227,LRC[id],INDIRECT("LRC["&amp;AM$21&amp;"]"))</f>
        <v>13</v>
      </c>
      <c r="AN227" cm="1">
        <f t="array" aca="1" ref="AN227" ca="1">_xlfn.XLOOKUP($AL227,LRC[id],INDIRECT("LRC["&amp;AN$21&amp;"]"))</f>
        <v>2</v>
      </c>
      <c r="BC227">
        <v>506</v>
      </c>
      <c r="BD227" cm="1">
        <f t="array" aca="1" ref="BD227" ca="1">_xlfn.XLOOKUP($BC227,LRC[id],INDIRECT("LRC["&amp;BD$21&amp;"]"))</f>
        <v>13</v>
      </c>
      <c r="BE227" cm="1">
        <f t="array" aca="1" ref="BE227" ca="1">_xlfn.XLOOKUP($BC227,LRC[id],INDIRECT("LRC["&amp;BE$21&amp;"]"))</f>
        <v>2</v>
      </c>
    </row>
    <row r="228" spans="38:57" x14ac:dyDescent="0.3">
      <c r="AL228">
        <v>207</v>
      </c>
      <c r="AM228" cm="1">
        <f t="array" aca="1" ref="AM228" ca="1">_xlfn.XLOOKUP($AL228,LRC[id],INDIRECT("LRC["&amp;AM$21&amp;"]"))</f>
        <v>16</v>
      </c>
      <c r="AN228" cm="1">
        <f t="array" aca="1" ref="AN228" ca="1">_xlfn.XLOOKUP($AL228,LRC[id],INDIRECT("LRC["&amp;AN$21&amp;"]"))</f>
        <v>3</v>
      </c>
      <c r="BC228">
        <v>507</v>
      </c>
      <c r="BD228" cm="1">
        <f t="array" aca="1" ref="BD228" ca="1">_xlfn.XLOOKUP($BC228,LRC[id],INDIRECT("LRC["&amp;BD$21&amp;"]"))</f>
        <v>16</v>
      </c>
      <c r="BE228" cm="1">
        <f t="array" aca="1" ref="BE228" ca="1">_xlfn.XLOOKUP($BC228,LRC[id],INDIRECT("LRC["&amp;BE$21&amp;"]"))</f>
        <v>3</v>
      </c>
    </row>
    <row r="229" spans="38:57" x14ac:dyDescent="0.3">
      <c r="AL229">
        <v>208</v>
      </c>
      <c r="AM229" cm="1">
        <f t="array" aca="1" ref="AM229" ca="1">_xlfn.XLOOKUP($AL229,LRC[id],INDIRECT("LRC["&amp;AM$21&amp;"]"))</f>
        <v>21</v>
      </c>
      <c r="AN229" cm="1">
        <f t="array" aca="1" ref="AN229" ca="1">_xlfn.XLOOKUP($AL229,LRC[id],INDIRECT("LRC["&amp;AN$21&amp;"]"))</f>
        <v>4</v>
      </c>
      <c r="BC229">
        <v>508</v>
      </c>
      <c r="BD229" cm="1">
        <f t="array" aca="1" ref="BD229" ca="1">_xlfn.XLOOKUP($BC229,LRC[id],INDIRECT("LRC["&amp;BD$21&amp;"]"))</f>
        <v>21</v>
      </c>
      <c r="BE229" cm="1">
        <f t="array" aca="1" ref="BE229" ca="1">_xlfn.XLOOKUP($BC229,LRC[id],INDIRECT("LRC["&amp;BE$21&amp;"]"))</f>
        <v>4</v>
      </c>
    </row>
    <row r="230" spans="38:57" x14ac:dyDescent="0.3">
      <c r="AL230">
        <v>209</v>
      </c>
      <c r="AM230" cm="1">
        <f t="array" aca="1" ref="AM230" ca="1">_xlfn.XLOOKUP($AL230,LRC[id],INDIRECT("LRC["&amp;AM$21&amp;"]"))</f>
        <v>12</v>
      </c>
      <c r="AN230" cm="1">
        <f t="array" aca="1" ref="AN230" ca="1">_xlfn.XLOOKUP($AL230,LRC[id],INDIRECT("LRC["&amp;AN$21&amp;"]"))</f>
        <v>1</v>
      </c>
      <c r="BC230">
        <v>509</v>
      </c>
      <c r="BD230" cm="1">
        <f t="array" aca="1" ref="BD230" ca="1">_xlfn.XLOOKUP($BC230,LRC[id],INDIRECT("LRC["&amp;BD$21&amp;"]"))</f>
        <v>12</v>
      </c>
      <c r="BE230" cm="1">
        <f t="array" aca="1" ref="BE230" ca="1">_xlfn.XLOOKUP($BC230,LRC[id],INDIRECT("LRC["&amp;BE$21&amp;"]"))</f>
        <v>1</v>
      </c>
    </row>
    <row r="231" spans="38:57" x14ac:dyDescent="0.3">
      <c r="AL231">
        <v>210</v>
      </c>
      <c r="AM231" cm="1">
        <f t="array" aca="1" ref="AM231" ca="1">_xlfn.XLOOKUP($AL231,LRC[id],INDIRECT("LRC["&amp;AM$21&amp;"]"))</f>
        <v>19</v>
      </c>
      <c r="AN231" cm="1">
        <f t="array" aca="1" ref="AN231" ca="1">_xlfn.XLOOKUP($AL231,LRC[id],INDIRECT("LRC["&amp;AN$21&amp;"]"))</f>
        <v>2</v>
      </c>
      <c r="BC231">
        <v>510</v>
      </c>
      <c r="BD231" cm="1">
        <f t="array" aca="1" ref="BD231" ca="1">_xlfn.XLOOKUP($BC231,LRC[id],INDIRECT("LRC["&amp;BD$21&amp;"]"))</f>
        <v>19</v>
      </c>
      <c r="BE231" cm="1">
        <f t="array" aca="1" ref="BE231" ca="1">_xlfn.XLOOKUP($BC231,LRC[id],INDIRECT("LRC["&amp;BE$21&amp;"]"))</f>
        <v>2</v>
      </c>
    </row>
    <row r="232" spans="38:57" x14ac:dyDescent="0.3">
      <c r="AL232">
        <v>211</v>
      </c>
      <c r="AM232" cm="1">
        <f t="array" aca="1" ref="AM232" ca="1">_xlfn.XLOOKUP($AL232,LRC[id],INDIRECT("LRC["&amp;AM$21&amp;"]"))</f>
        <v>25</v>
      </c>
      <c r="AN232" cm="1">
        <f t="array" aca="1" ref="AN232" ca="1">_xlfn.XLOOKUP($AL232,LRC[id],INDIRECT("LRC["&amp;AN$21&amp;"]"))</f>
        <v>3</v>
      </c>
      <c r="BC232">
        <v>511</v>
      </c>
      <c r="BD232" cm="1">
        <f t="array" aca="1" ref="BD232" ca="1">_xlfn.XLOOKUP($BC232,LRC[id],INDIRECT("LRC["&amp;BD$21&amp;"]"))</f>
        <v>25</v>
      </c>
      <c r="BE232" cm="1">
        <f t="array" aca="1" ref="BE232" ca="1">_xlfn.XLOOKUP($BC232,LRC[id],INDIRECT("LRC["&amp;BE$21&amp;"]"))</f>
        <v>3</v>
      </c>
    </row>
    <row r="233" spans="38:57" x14ac:dyDescent="0.3">
      <c r="AL233">
        <v>212</v>
      </c>
      <c r="AM233" cm="1">
        <f t="array" aca="1" ref="AM233" ca="1">_xlfn.XLOOKUP($AL233,LRC[id],INDIRECT("LRC["&amp;AM$21&amp;"]"))</f>
        <v>32</v>
      </c>
      <c r="AN233" cm="1">
        <f t="array" aca="1" ref="AN233" ca="1">_xlfn.XLOOKUP($AL233,LRC[id],INDIRECT("LRC["&amp;AN$21&amp;"]"))</f>
        <v>4</v>
      </c>
      <c r="BC233">
        <v>512</v>
      </c>
      <c r="BD233" cm="1">
        <f t="array" aca="1" ref="BD233" ca="1">_xlfn.XLOOKUP($BC233,LRC[id],INDIRECT("LRC["&amp;BD$21&amp;"]"))</f>
        <v>32</v>
      </c>
      <c r="BE233" cm="1">
        <f t="array" aca="1" ref="BE233" ca="1">_xlfn.XLOOKUP($BC233,LRC[id],INDIRECT("LRC["&amp;BE$21&amp;"]"))</f>
        <v>4</v>
      </c>
    </row>
    <row r="234" spans="38:57" x14ac:dyDescent="0.3">
      <c r="AL234">
        <v>213</v>
      </c>
      <c r="AM234" cm="1">
        <f t="array" aca="1" ref="AM234" ca="1">_xlfn.XLOOKUP($AL234,LRC[id],INDIRECT("LRC["&amp;AM$21&amp;"]"))</f>
        <v>14</v>
      </c>
      <c r="AN234" cm="1">
        <f t="array" aca="1" ref="AN234" ca="1">_xlfn.XLOOKUP($AL234,LRC[id],INDIRECT("LRC["&amp;AN$21&amp;"]"))</f>
        <v>1</v>
      </c>
      <c r="BC234">
        <v>513</v>
      </c>
      <c r="BD234" cm="1">
        <f t="array" aca="1" ref="BD234" ca="1">_xlfn.XLOOKUP($BC234,LRC[id],INDIRECT("LRC["&amp;BD$21&amp;"]"))</f>
        <v>14</v>
      </c>
      <c r="BE234" cm="1">
        <f t="array" aca="1" ref="BE234" ca="1">_xlfn.XLOOKUP($BC234,LRC[id],INDIRECT("LRC["&amp;BE$21&amp;"]"))</f>
        <v>1</v>
      </c>
    </row>
    <row r="235" spans="38:57" x14ac:dyDescent="0.3">
      <c r="AL235">
        <v>214</v>
      </c>
      <c r="AM235" cm="1">
        <f t="array" aca="1" ref="AM235" ca="1">_xlfn.XLOOKUP($AL235,LRC[id],INDIRECT("LRC["&amp;AM$21&amp;"]"))</f>
        <v>21</v>
      </c>
      <c r="AN235" cm="1">
        <f t="array" aca="1" ref="AN235" ca="1">_xlfn.XLOOKUP($AL235,LRC[id],INDIRECT("LRC["&amp;AN$21&amp;"]"))</f>
        <v>2</v>
      </c>
      <c r="BC235">
        <v>514</v>
      </c>
      <c r="BD235" cm="1">
        <f t="array" aca="1" ref="BD235" ca="1">_xlfn.XLOOKUP($BC235,LRC[id],INDIRECT("LRC["&amp;BD$21&amp;"]"))</f>
        <v>21</v>
      </c>
      <c r="BE235" cm="1">
        <f t="array" aca="1" ref="BE235" ca="1">_xlfn.XLOOKUP($BC235,LRC[id],INDIRECT("LRC["&amp;BE$21&amp;"]"))</f>
        <v>2</v>
      </c>
    </row>
    <row r="236" spans="38:57" x14ac:dyDescent="0.3">
      <c r="AL236">
        <v>215</v>
      </c>
      <c r="AM236" cm="1">
        <f t="array" aca="1" ref="AM236" ca="1">_xlfn.XLOOKUP($AL236,LRC[id],INDIRECT("LRC["&amp;AM$21&amp;"]"))</f>
        <v>29</v>
      </c>
      <c r="AN236" cm="1">
        <f t="array" aca="1" ref="AN236" ca="1">_xlfn.XLOOKUP($AL236,LRC[id],INDIRECT("LRC["&amp;AN$21&amp;"]"))</f>
        <v>3</v>
      </c>
      <c r="BC236">
        <v>515</v>
      </c>
      <c r="BD236" cm="1">
        <f t="array" aca="1" ref="BD236" ca="1">_xlfn.XLOOKUP($BC236,LRC[id],INDIRECT("LRC["&amp;BD$21&amp;"]"))</f>
        <v>29</v>
      </c>
      <c r="BE236" cm="1">
        <f t="array" aca="1" ref="BE236" ca="1">_xlfn.XLOOKUP($BC236,LRC[id],INDIRECT("LRC["&amp;BE$21&amp;"]"))</f>
        <v>3</v>
      </c>
    </row>
    <row r="237" spans="38:57" x14ac:dyDescent="0.3">
      <c r="AL237">
        <v>216</v>
      </c>
      <c r="AM237" cm="1">
        <f t="array" aca="1" ref="AM237" ca="1">_xlfn.XLOOKUP($AL237,LRC[id],INDIRECT("LRC["&amp;AM$21&amp;"]"))</f>
        <v>37</v>
      </c>
      <c r="AN237" cm="1">
        <f t="array" aca="1" ref="AN237" ca="1">_xlfn.XLOOKUP($AL237,LRC[id],INDIRECT("LRC["&amp;AN$21&amp;"]"))</f>
        <v>4</v>
      </c>
      <c r="BC237">
        <v>516</v>
      </c>
      <c r="BD237" cm="1">
        <f t="array" aca="1" ref="BD237" ca="1">_xlfn.XLOOKUP($BC237,LRC[id],INDIRECT("LRC["&amp;BD$21&amp;"]"))</f>
        <v>37</v>
      </c>
      <c r="BE237" cm="1">
        <f t="array" aca="1" ref="BE237" ca="1">_xlfn.XLOOKUP($BC237,LRC[id],INDIRECT("LRC["&amp;BE$21&amp;"]"))</f>
        <v>4</v>
      </c>
    </row>
    <row r="238" spans="38:57" x14ac:dyDescent="0.3">
      <c r="AL238">
        <v>217</v>
      </c>
      <c r="AM238" cm="1">
        <f t="array" aca="1" ref="AM238" ca="1">_xlfn.XLOOKUP($AL238,LRC[id],INDIRECT("LRC["&amp;AM$21&amp;"]"))</f>
        <v>15</v>
      </c>
      <c r="AN238" cm="1">
        <f t="array" aca="1" ref="AN238" ca="1">_xlfn.XLOOKUP($AL238,LRC[id],INDIRECT("LRC["&amp;AN$21&amp;"]"))</f>
        <v>1</v>
      </c>
      <c r="BC238">
        <v>517</v>
      </c>
      <c r="BD238" cm="1">
        <f t="array" aca="1" ref="BD238" ca="1">_xlfn.XLOOKUP($BC238,LRC[id],INDIRECT("LRC["&amp;BD$21&amp;"]"))</f>
        <v>15</v>
      </c>
      <c r="BE238" cm="1">
        <f t="array" aca="1" ref="BE238" ca="1">_xlfn.XLOOKUP($BC238,LRC[id],INDIRECT("LRC["&amp;BE$21&amp;"]"))</f>
        <v>1</v>
      </c>
    </row>
    <row r="239" spans="38:57" x14ac:dyDescent="0.3">
      <c r="AL239">
        <v>218</v>
      </c>
      <c r="AM239" cm="1">
        <f t="array" aca="1" ref="AM239" ca="1">_xlfn.XLOOKUP($AL239,LRC[id],INDIRECT("LRC["&amp;AM$21&amp;"]"))</f>
        <v>23</v>
      </c>
      <c r="AN239" cm="1">
        <f t="array" aca="1" ref="AN239" ca="1">_xlfn.XLOOKUP($AL239,LRC[id],INDIRECT("LRC["&amp;AN$21&amp;"]"))</f>
        <v>2</v>
      </c>
      <c r="BC239">
        <v>518</v>
      </c>
      <c r="BD239" cm="1">
        <f t="array" aca="1" ref="BD239" ca="1">_xlfn.XLOOKUP($BC239,LRC[id],INDIRECT("LRC["&amp;BD$21&amp;"]"))</f>
        <v>23</v>
      </c>
      <c r="BE239" cm="1">
        <f t="array" aca="1" ref="BE239" ca="1">_xlfn.XLOOKUP($BC239,LRC[id],INDIRECT("LRC["&amp;BE$21&amp;"]"))</f>
        <v>2</v>
      </c>
    </row>
    <row r="240" spans="38:57" x14ac:dyDescent="0.3">
      <c r="AL240">
        <v>219</v>
      </c>
      <c r="AM240" cm="1">
        <f t="array" aca="1" ref="AM240" ca="1">_xlfn.XLOOKUP($AL240,LRC[id],INDIRECT("LRC["&amp;AM$21&amp;"]"))</f>
        <v>32</v>
      </c>
      <c r="AN240" cm="1">
        <f t="array" aca="1" ref="AN240" ca="1">_xlfn.XLOOKUP($AL240,LRC[id],INDIRECT("LRC["&amp;AN$21&amp;"]"))</f>
        <v>3</v>
      </c>
      <c r="BC240">
        <v>519</v>
      </c>
      <c r="BD240" cm="1">
        <f t="array" aca="1" ref="BD240" ca="1">_xlfn.XLOOKUP($BC240,LRC[id],INDIRECT("LRC["&amp;BD$21&amp;"]"))</f>
        <v>32</v>
      </c>
      <c r="BE240" cm="1">
        <f t="array" aca="1" ref="BE240" ca="1">_xlfn.XLOOKUP($BC240,LRC[id],INDIRECT("LRC["&amp;BE$21&amp;"]"))</f>
        <v>3</v>
      </c>
    </row>
    <row r="241" spans="38:57" x14ac:dyDescent="0.3">
      <c r="AL241">
        <v>220</v>
      </c>
      <c r="AM241" cm="1">
        <f t="array" aca="1" ref="AM241" ca="1">_xlfn.XLOOKUP($AL241,LRC[id],INDIRECT("LRC["&amp;AM$21&amp;"]"))</f>
        <v>41</v>
      </c>
      <c r="AN241" cm="1">
        <f t="array" aca="1" ref="AN241" ca="1">_xlfn.XLOOKUP($AL241,LRC[id],INDIRECT("LRC["&amp;AN$21&amp;"]"))</f>
        <v>4</v>
      </c>
      <c r="BC241">
        <v>520</v>
      </c>
      <c r="BD241" cm="1">
        <f t="array" aca="1" ref="BD241" ca="1">_xlfn.XLOOKUP($BC241,LRC[id],INDIRECT("LRC["&amp;BD$21&amp;"]"))</f>
        <v>41</v>
      </c>
      <c r="BE241" cm="1">
        <f t="array" aca="1" ref="BE241" ca="1">_xlfn.XLOOKUP($BC241,LRC[id],INDIRECT("LRC["&amp;BE$21&amp;"]"))</f>
        <v>4</v>
      </c>
    </row>
    <row r="242" spans="38:57" x14ac:dyDescent="0.3">
      <c r="AL242">
        <v>221</v>
      </c>
      <c r="AM242" cm="1">
        <f t="array" aca="1" ref="AM242" ca="1">_xlfn.XLOOKUP($AL242,LRC[id],INDIRECT("LRC["&amp;AM$21&amp;"]"))</f>
        <v>3</v>
      </c>
      <c r="AN242" cm="1">
        <f t="array" aca="1" ref="AN242" ca="1">_xlfn.XLOOKUP($AL242,LRC[id],INDIRECT("LRC["&amp;AN$21&amp;"]"))</f>
        <v>1</v>
      </c>
      <c r="BC242">
        <v>521</v>
      </c>
      <c r="BD242" cm="1">
        <f t="array" aca="1" ref="BD242" ca="1">_xlfn.XLOOKUP($BC242,LRC[id],INDIRECT("LRC["&amp;BD$21&amp;"]"))</f>
        <v>3</v>
      </c>
      <c r="BE242" cm="1">
        <f t="array" aca="1" ref="BE242" ca="1">_xlfn.XLOOKUP($BC242,LRC[id],INDIRECT("LRC["&amp;BE$21&amp;"]"))</f>
        <v>1</v>
      </c>
    </row>
    <row r="243" spans="38:57" x14ac:dyDescent="0.3">
      <c r="AL243">
        <v>222</v>
      </c>
      <c r="AM243" cm="1">
        <f t="array" aca="1" ref="AM243" ca="1">_xlfn.XLOOKUP($AL243,LRC[id],INDIRECT("LRC["&amp;AM$21&amp;"]"))</f>
        <v>4</v>
      </c>
      <c r="AN243" cm="1">
        <f t="array" aca="1" ref="AN243" ca="1">_xlfn.XLOOKUP($AL243,LRC[id],INDIRECT("LRC["&amp;AN$21&amp;"]"))</f>
        <v>2</v>
      </c>
      <c r="BC243">
        <v>522</v>
      </c>
      <c r="BD243" cm="1">
        <f t="array" aca="1" ref="BD243" ca="1">_xlfn.XLOOKUP($BC243,LRC[id],INDIRECT("LRC["&amp;BD$21&amp;"]"))</f>
        <v>4</v>
      </c>
      <c r="BE243" cm="1">
        <f t="array" aca="1" ref="BE243" ca="1">_xlfn.XLOOKUP($BC243,LRC[id],INDIRECT("LRC["&amp;BE$21&amp;"]"))</f>
        <v>2</v>
      </c>
    </row>
    <row r="244" spans="38:57" x14ac:dyDescent="0.3">
      <c r="AL244">
        <v>223</v>
      </c>
      <c r="AM244" cm="1">
        <f t="array" aca="1" ref="AM244" ca="1">_xlfn.XLOOKUP($AL244,LRC[id],INDIRECT("LRC["&amp;AM$21&amp;"]"))</f>
        <v>5</v>
      </c>
      <c r="AN244" cm="1">
        <f t="array" aca="1" ref="AN244" ca="1">_xlfn.XLOOKUP($AL244,LRC[id],INDIRECT("LRC["&amp;AN$21&amp;"]"))</f>
        <v>3</v>
      </c>
      <c r="BC244">
        <v>523</v>
      </c>
      <c r="BD244" cm="1">
        <f t="array" aca="1" ref="BD244" ca="1">_xlfn.XLOOKUP($BC244,LRC[id],INDIRECT("LRC["&amp;BD$21&amp;"]"))</f>
        <v>5</v>
      </c>
      <c r="BE244" cm="1">
        <f t="array" aca="1" ref="BE244" ca="1">_xlfn.XLOOKUP($BC244,LRC[id],INDIRECT("LRC["&amp;BE$21&amp;"]"))</f>
        <v>3</v>
      </c>
    </row>
    <row r="245" spans="38:57" x14ac:dyDescent="0.3">
      <c r="AL245">
        <v>224</v>
      </c>
      <c r="AM245" cm="1">
        <f t="array" aca="1" ref="AM245" ca="1">_xlfn.XLOOKUP($AL245,LRC[id],INDIRECT("LRC["&amp;AM$21&amp;"]"))</f>
        <v>7</v>
      </c>
      <c r="AN245" cm="1">
        <f t="array" aca="1" ref="AN245" ca="1">_xlfn.XLOOKUP($AL245,LRC[id],INDIRECT("LRC["&amp;AN$21&amp;"]"))</f>
        <v>4</v>
      </c>
      <c r="BC245">
        <v>524</v>
      </c>
      <c r="BD245" cm="1">
        <f t="array" aca="1" ref="BD245" ca="1">_xlfn.XLOOKUP($BC245,LRC[id],INDIRECT("LRC["&amp;BD$21&amp;"]"))</f>
        <v>7</v>
      </c>
      <c r="BE245" cm="1">
        <f t="array" aca="1" ref="BE245" ca="1">_xlfn.XLOOKUP($BC245,LRC[id],INDIRECT("LRC["&amp;BE$21&amp;"]"))</f>
        <v>4</v>
      </c>
    </row>
    <row r="246" spans="38:57" x14ac:dyDescent="0.3">
      <c r="AL246">
        <v>225</v>
      </c>
      <c r="AM246" cm="1">
        <f t="array" aca="1" ref="AM246" ca="1">_xlfn.XLOOKUP($AL246,LRC[id],INDIRECT("LRC["&amp;AM$21&amp;"]"))</f>
        <v>6</v>
      </c>
      <c r="AN246" cm="1">
        <f t="array" aca="1" ref="AN246" ca="1">_xlfn.XLOOKUP($AL246,LRC[id],INDIRECT("LRC["&amp;AN$21&amp;"]"))</f>
        <v>1</v>
      </c>
      <c r="BC246">
        <v>525</v>
      </c>
      <c r="BD246" cm="1">
        <f t="array" aca="1" ref="BD246" ca="1">_xlfn.XLOOKUP($BC246,LRC[id],INDIRECT("LRC["&amp;BD$21&amp;"]"))</f>
        <v>6</v>
      </c>
      <c r="BE246" cm="1">
        <f t="array" aca="1" ref="BE246" ca="1">_xlfn.XLOOKUP($BC246,LRC[id],INDIRECT("LRC["&amp;BE$21&amp;"]"))</f>
        <v>1</v>
      </c>
    </row>
    <row r="247" spans="38:57" x14ac:dyDescent="0.3">
      <c r="AL247">
        <v>226</v>
      </c>
      <c r="AM247" cm="1">
        <f t="array" aca="1" ref="AM247" ca="1">_xlfn.XLOOKUP($AL247,LRC[id],INDIRECT("LRC["&amp;AM$21&amp;"]"))</f>
        <v>9</v>
      </c>
      <c r="AN247" cm="1">
        <f t="array" aca="1" ref="AN247" ca="1">_xlfn.XLOOKUP($AL247,LRC[id],INDIRECT("LRC["&amp;AN$21&amp;"]"))</f>
        <v>2</v>
      </c>
      <c r="BC247">
        <v>526</v>
      </c>
      <c r="BD247" cm="1">
        <f t="array" aca="1" ref="BD247" ca="1">_xlfn.XLOOKUP($BC247,LRC[id],INDIRECT("LRC["&amp;BD$21&amp;"]"))</f>
        <v>9</v>
      </c>
      <c r="BE247" cm="1">
        <f t="array" aca="1" ref="BE247" ca="1">_xlfn.XLOOKUP($BC247,LRC[id],INDIRECT("LRC["&amp;BE$21&amp;"]"))</f>
        <v>2</v>
      </c>
    </row>
    <row r="248" spans="38:57" x14ac:dyDescent="0.3">
      <c r="AL248">
        <v>227</v>
      </c>
      <c r="AM248" cm="1">
        <f t="array" aca="1" ref="AM248" ca="1">_xlfn.XLOOKUP($AL248,LRC[id],INDIRECT("LRC["&amp;AM$21&amp;"]"))</f>
        <v>12</v>
      </c>
      <c r="AN248" cm="1">
        <f t="array" aca="1" ref="AN248" ca="1">_xlfn.XLOOKUP($AL248,LRC[id],INDIRECT("LRC["&amp;AN$21&amp;"]"))</f>
        <v>3</v>
      </c>
      <c r="BC248">
        <v>527</v>
      </c>
      <c r="BD248" cm="1">
        <f t="array" aca="1" ref="BD248" ca="1">_xlfn.XLOOKUP($BC248,LRC[id],INDIRECT("LRC["&amp;BD$21&amp;"]"))</f>
        <v>12</v>
      </c>
      <c r="BE248" cm="1">
        <f t="array" aca="1" ref="BE248" ca="1">_xlfn.XLOOKUP($BC248,LRC[id],INDIRECT("LRC["&amp;BE$21&amp;"]"))</f>
        <v>3</v>
      </c>
    </row>
    <row r="249" spans="38:57" x14ac:dyDescent="0.3">
      <c r="AL249">
        <v>228</v>
      </c>
      <c r="AM249" cm="1">
        <f t="array" aca="1" ref="AM249" ca="1">_xlfn.XLOOKUP($AL249,LRC[id],INDIRECT("LRC["&amp;AM$21&amp;"]"))</f>
        <v>15</v>
      </c>
      <c r="AN249" cm="1">
        <f t="array" aca="1" ref="AN249" ca="1">_xlfn.XLOOKUP($AL249,LRC[id],INDIRECT("LRC["&amp;AN$21&amp;"]"))</f>
        <v>4</v>
      </c>
      <c r="BC249">
        <v>528</v>
      </c>
      <c r="BD249" cm="1">
        <f t="array" aca="1" ref="BD249" ca="1">_xlfn.XLOOKUP($BC249,LRC[id],INDIRECT("LRC["&amp;BD$21&amp;"]"))</f>
        <v>15</v>
      </c>
      <c r="BE249" cm="1">
        <f t="array" aca="1" ref="BE249" ca="1">_xlfn.XLOOKUP($BC249,LRC[id],INDIRECT("LRC["&amp;BE$21&amp;"]"))</f>
        <v>4</v>
      </c>
    </row>
    <row r="250" spans="38:57" x14ac:dyDescent="0.3">
      <c r="AL250">
        <v>229</v>
      </c>
      <c r="AM250" cm="1">
        <f t="array" aca="1" ref="AM250" ca="1">_xlfn.XLOOKUP($AL250,LRC[id],INDIRECT("LRC["&amp;AM$21&amp;"]"))</f>
        <v>9</v>
      </c>
      <c r="AN250" cm="1">
        <f t="array" aca="1" ref="AN250" ca="1">_xlfn.XLOOKUP($AL250,LRC[id],INDIRECT("LRC["&amp;AN$21&amp;"]"))</f>
        <v>1</v>
      </c>
      <c r="BC250">
        <v>529</v>
      </c>
      <c r="BD250" cm="1">
        <f t="array" aca="1" ref="BD250" ca="1">_xlfn.XLOOKUP($BC250,LRC[id],INDIRECT("LRC["&amp;BD$21&amp;"]"))</f>
        <v>9</v>
      </c>
      <c r="BE250" cm="1">
        <f t="array" aca="1" ref="BE250" ca="1">_xlfn.XLOOKUP($BC250,LRC[id],INDIRECT("LRC["&amp;BE$21&amp;"]"))</f>
        <v>1</v>
      </c>
    </row>
    <row r="251" spans="38:57" x14ac:dyDescent="0.3">
      <c r="AL251">
        <v>230</v>
      </c>
      <c r="AM251" cm="1">
        <f t="array" aca="1" ref="AM251" ca="1">_xlfn.XLOOKUP($AL251,LRC[id],INDIRECT("LRC["&amp;AM$21&amp;"]"))</f>
        <v>13</v>
      </c>
      <c r="AN251" cm="1">
        <f t="array" aca="1" ref="AN251" ca="1">_xlfn.XLOOKUP($AL251,LRC[id],INDIRECT("LRC["&amp;AN$21&amp;"]"))</f>
        <v>2</v>
      </c>
      <c r="BC251">
        <v>530</v>
      </c>
      <c r="BD251" cm="1">
        <f t="array" aca="1" ref="BD251" ca="1">_xlfn.XLOOKUP($BC251,LRC[id],INDIRECT("LRC["&amp;BD$21&amp;"]"))</f>
        <v>13</v>
      </c>
      <c r="BE251" cm="1">
        <f t="array" aca="1" ref="BE251" ca="1">_xlfn.XLOOKUP($BC251,LRC[id],INDIRECT("LRC["&amp;BE$21&amp;"]"))</f>
        <v>2</v>
      </c>
    </row>
    <row r="252" spans="38:57" x14ac:dyDescent="0.3">
      <c r="AL252">
        <v>231</v>
      </c>
      <c r="AM252" cm="1">
        <f t="array" aca="1" ref="AM252" ca="1">_xlfn.XLOOKUP($AL252,LRC[id],INDIRECT("LRC["&amp;AM$21&amp;"]"))</f>
        <v>18</v>
      </c>
      <c r="AN252" cm="1">
        <f t="array" aca="1" ref="AN252" ca="1">_xlfn.XLOOKUP($AL252,LRC[id],INDIRECT("LRC["&amp;AN$21&amp;"]"))</f>
        <v>3</v>
      </c>
      <c r="BC252">
        <v>531</v>
      </c>
      <c r="BD252" cm="1">
        <f t="array" aca="1" ref="BD252" ca="1">_xlfn.XLOOKUP($BC252,LRC[id],INDIRECT("LRC["&amp;BD$21&amp;"]"))</f>
        <v>18</v>
      </c>
      <c r="BE252" cm="1">
        <f t="array" aca="1" ref="BE252" ca="1">_xlfn.XLOOKUP($BC252,LRC[id],INDIRECT("LRC["&amp;BE$21&amp;"]"))</f>
        <v>3</v>
      </c>
    </row>
    <row r="253" spans="38:57" x14ac:dyDescent="0.3">
      <c r="AL253">
        <v>232</v>
      </c>
      <c r="AM253" cm="1">
        <f t="array" aca="1" ref="AM253" ca="1">_xlfn.XLOOKUP($AL253,LRC[id],INDIRECT("LRC["&amp;AM$21&amp;"]"))</f>
        <v>23</v>
      </c>
      <c r="AN253" cm="1">
        <f t="array" aca="1" ref="AN253" ca="1">_xlfn.XLOOKUP($AL253,LRC[id],INDIRECT("LRC["&amp;AN$21&amp;"]"))</f>
        <v>4</v>
      </c>
      <c r="BC253">
        <v>532</v>
      </c>
      <c r="BD253" cm="1">
        <f t="array" aca="1" ref="BD253" ca="1">_xlfn.XLOOKUP($BC253,LRC[id],INDIRECT("LRC["&amp;BD$21&amp;"]"))</f>
        <v>23</v>
      </c>
      <c r="BE253" cm="1">
        <f t="array" aca="1" ref="BE253" ca="1">_xlfn.XLOOKUP($BC253,LRC[id],INDIRECT("LRC["&amp;BE$21&amp;"]"))</f>
        <v>4</v>
      </c>
    </row>
    <row r="254" spans="38:57" x14ac:dyDescent="0.3">
      <c r="AL254">
        <v>233</v>
      </c>
      <c r="AM254" cm="1">
        <f t="array" aca="1" ref="AM254" ca="1">_xlfn.XLOOKUP($AL254,LRC[id],INDIRECT("LRC["&amp;AM$21&amp;"]"))</f>
        <v>10</v>
      </c>
      <c r="AN254" cm="1">
        <f t="array" aca="1" ref="AN254" ca="1">_xlfn.XLOOKUP($AL254,LRC[id],INDIRECT("LRC["&amp;AN$21&amp;"]"))</f>
        <v>1</v>
      </c>
      <c r="BC254">
        <v>533</v>
      </c>
      <c r="BD254" cm="1">
        <f t="array" aca="1" ref="BD254" ca="1">_xlfn.XLOOKUP($BC254,LRC[id],INDIRECT("LRC["&amp;BD$21&amp;"]"))</f>
        <v>10</v>
      </c>
      <c r="BE254" cm="1">
        <f t="array" aca="1" ref="BE254" ca="1">_xlfn.XLOOKUP($BC254,LRC[id],INDIRECT("LRC["&amp;BE$21&amp;"]"))</f>
        <v>1</v>
      </c>
    </row>
    <row r="255" spans="38:57" x14ac:dyDescent="0.3">
      <c r="AL255">
        <v>234</v>
      </c>
      <c r="AM255" cm="1">
        <f t="array" aca="1" ref="AM255" ca="1">_xlfn.XLOOKUP($AL255,LRC[id],INDIRECT("LRC["&amp;AM$21&amp;"]"))</f>
        <v>15</v>
      </c>
      <c r="AN255" cm="1">
        <f t="array" aca="1" ref="AN255" ca="1">_xlfn.XLOOKUP($AL255,LRC[id],INDIRECT("LRC["&amp;AN$21&amp;"]"))</f>
        <v>2</v>
      </c>
      <c r="BC255">
        <v>534</v>
      </c>
      <c r="BD255" cm="1">
        <f t="array" aca="1" ref="BD255" ca="1">_xlfn.XLOOKUP($BC255,LRC[id],INDIRECT("LRC["&amp;BD$21&amp;"]"))</f>
        <v>15</v>
      </c>
      <c r="BE255" cm="1">
        <f t="array" aca="1" ref="BE255" ca="1">_xlfn.XLOOKUP($BC255,LRC[id],INDIRECT("LRC["&amp;BE$21&amp;"]"))</f>
        <v>2</v>
      </c>
    </row>
    <row r="256" spans="38:57" x14ac:dyDescent="0.3">
      <c r="AL256">
        <v>235</v>
      </c>
      <c r="AM256" cm="1">
        <f t="array" aca="1" ref="AM256" ca="1">_xlfn.XLOOKUP($AL256,LRC[id],INDIRECT("LRC["&amp;AM$21&amp;"]"))</f>
        <v>21</v>
      </c>
      <c r="AN256" cm="1">
        <f t="array" aca="1" ref="AN256" ca="1">_xlfn.XLOOKUP($AL256,LRC[id],INDIRECT("LRC["&amp;AN$21&amp;"]"))</f>
        <v>3</v>
      </c>
      <c r="BC256">
        <v>535</v>
      </c>
      <c r="BD256" cm="1">
        <f t="array" aca="1" ref="BD256" ca="1">_xlfn.XLOOKUP($BC256,LRC[id],INDIRECT("LRC["&amp;BD$21&amp;"]"))</f>
        <v>21</v>
      </c>
      <c r="BE256" cm="1">
        <f t="array" aca="1" ref="BE256" ca="1">_xlfn.XLOOKUP($BC256,LRC[id],INDIRECT("LRC["&amp;BE$21&amp;"]"))</f>
        <v>3</v>
      </c>
    </row>
    <row r="257" spans="38:57" x14ac:dyDescent="0.3">
      <c r="AL257">
        <v>236</v>
      </c>
      <c r="AM257" cm="1">
        <f t="array" aca="1" ref="AM257" ca="1">_xlfn.XLOOKUP($AL257,LRC[id],INDIRECT("LRC["&amp;AM$21&amp;"]"))</f>
        <v>26</v>
      </c>
      <c r="AN257" cm="1">
        <f t="array" aca="1" ref="AN257" ca="1">_xlfn.XLOOKUP($AL257,LRC[id],INDIRECT("LRC["&amp;AN$21&amp;"]"))</f>
        <v>4</v>
      </c>
      <c r="BC257">
        <v>536</v>
      </c>
      <c r="BD257" cm="1">
        <f t="array" aca="1" ref="BD257" ca="1">_xlfn.XLOOKUP($BC257,LRC[id],INDIRECT("LRC["&amp;BD$21&amp;"]"))</f>
        <v>26</v>
      </c>
      <c r="BE257" cm="1">
        <f t="array" aca="1" ref="BE257" ca="1">_xlfn.XLOOKUP($BC257,LRC[id],INDIRECT("LRC["&amp;BE$21&amp;"]"))</f>
        <v>4</v>
      </c>
    </row>
    <row r="258" spans="38:57" x14ac:dyDescent="0.3">
      <c r="AL258">
        <v>237</v>
      </c>
      <c r="AM258" cm="1">
        <f t="array" aca="1" ref="AM258" ca="1">_xlfn.XLOOKUP($AL258,LRC[id],INDIRECT("LRC["&amp;AM$21&amp;"]"))</f>
        <v>10</v>
      </c>
      <c r="AN258" cm="1">
        <f t="array" aca="1" ref="AN258" ca="1">_xlfn.XLOOKUP($AL258,LRC[id],INDIRECT("LRC["&amp;AN$21&amp;"]"))</f>
        <v>1</v>
      </c>
      <c r="BC258">
        <v>537</v>
      </c>
      <c r="BD258" cm="1">
        <f t="array" aca="1" ref="BD258" ca="1">_xlfn.XLOOKUP($BC258,LRC[id],INDIRECT("LRC["&amp;BD$21&amp;"]"))</f>
        <v>10</v>
      </c>
      <c r="BE258" cm="1">
        <f t="array" aca="1" ref="BE258" ca="1">_xlfn.XLOOKUP($BC258,LRC[id],INDIRECT("LRC["&amp;BE$21&amp;"]"))</f>
        <v>1</v>
      </c>
    </row>
    <row r="259" spans="38:57" x14ac:dyDescent="0.3">
      <c r="AL259">
        <v>238</v>
      </c>
      <c r="AM259" cm="1">
        <f t="array" aca="1" ref="AM259" ca="1">_xlfn.XLOOKUP($AL259,LRC[id],INDIRECT("LRC["&amp;AM$21&amp;"]"))</f>
        <v>16</v>
      </c>
      <c r="AN259" cm="1">
        <f t="array" aca="1" ref="AN259" ca="1">_xlfn.XLOOKUP($AL259,LRC[id],INDIRECT("LRC["&amp;AN$21&amp;"]"))</f>
        <v>2</v>
      </c>
      <c r="BC259">
        <v>538</v>
      </c>
      <c r="BD259" cm="1">
        <f t="array" aca="1" ref="BD259" ca="1">_xlfn.XLOOKUP($BC259,LRC[id],INDIRECT("LRC["&amp;BD$21&amp;"]"))</f>
        <v>16</v>
      </c>
      <c r="BE259" cm="1">
        <f t="array" aca="1" ref="BE259" ca="1">_xlfn.XLOOKUP($BC259,LRC[id],INDIRECT("LRC["&amp;BE$21&amp;"]"))</f>
        <v>2</v>
      </c>
    </row>
    <row r="260" spans="38:57" x14ac:dyDescent="0.3">
      <c r="AL260">
        <v>239</v>
      </c>
      <c r="AM260" cm="1">
        <f t="array" aca="1" ref="AM260" ca="1">_xlfn.XLOOKUP($AL260,LRC[id],INDIRECT("LRC["&amp;AM$21&amp;"]"))</f>
        <v>23</v>
      </c>
      <c r="AN260" cm="1">
        <f t="array" aca="1" ref="AN260" ca="1">_xlfn.XLOOKUP($AL260,LRC[id],INDIRECT("LRC["&amp;AN$21&amp;"]"))</f>
        <v>3</v>
      </c>
      <c r="BC260">
        <v>539</v>
      </c>
      <c r="BD260" cm="1">
        <f t="array" aca="1" ref="BD260" ca="1">_xlfn.XLOOKUP($BC260,LRC[id],INDIRECT("LRC["&amp;BD$21&amp;"]"))</f>
        <v>23</v>
      </c>
      <c r="BE260" cm="1">
        <f t="array" aca="1" ref="BE260" ca="1">_xlfn.XLOOKUP($BC260,LRC[id],INDIRECT("LRC["&amp;BE$21&amp;"]"))</f>
        <v>3</v>
      </c>
    </row>
    <row r="261" spans="38:57" x14ac:dyDescent="0.3">
      <c r="AL261">
        <v>240</v>
      </c>
      <c r="AM261" cm="1">
        <f t="array" aca="1" ref="AM261" ca="1">_xlfn.XLOOKUP($AL261,LRC[id],INDIRECT("LRC["&amp;AM$21&amp;"]"))</f>
        <v>29</v>
      </c>
      <c r="AN261" cm="1">
        <f t="array" aca="1" ref="AN261" ca="1">_xlfn.XLOOKUP($AL261,LRC[id],INDIRECT("LRC["&amp;AN$21&amp;"]"))</f>
        <v>4</v>
      </c>
      <c r="BC261">
        <v>540</v>
      </c>
      <c r="BD261" cm="1">
        <f t="array" aca="1" ref="BD261" ca="1">_xlfn.XLOOKUP($BC261,LRC[id],INDIRECT("LRC["&amp;BD$21&amp;"]"))</f>
        <v>29</v>
      </c>
      <c r="BE261" cm="1">
        <f t="array" aca="1" ref="BE261" ca="1">_xlfn.XLOOKUP($BC261,LRC[id],INDIRECT("LRC["&amp;BE$21&amp;"]"))</f>
        <v>4</v>
      </c>
    </row>
    <row r="262" spans="38:57" x14ac:dyDescent="0.3">
      <c r="AL262">
        <v>241</v>
      </c>
      <c r="AM262" cm="1">
        <f t="array" aca="1" ref="AM262" ca="1">_xlfn.XLOOKUP($AL262,LRC[id],INDIRECT("LRC["&amp;AM$21&amp;"]"))</f>
        <v>2</v>
      </c>
      <c r="AN262" cm="1">
        <f t="array" aca="1" ref="AN262" ca="1">_xlfn.XLOOKUP($AL262,LRC[id],INDIRECT("LRC["&amp;AN$21&amp;"]"))</f>
        <v>1</v>
      </c>
      <c r="BC262">
        <v>541</v>
      </c>
      <c r="BD262" cm="1">
        <f t="array" aca="1" ref="BD262" ca="1">_xlfn.XLOOKUP($BC262,LRC[id],INDIRECT("LRC["&amp;BD$21&amp;"]"))</f>
        <v>2</v>
      </c>
      <c r="BE262" cm="1">
        <f t="array" aca="1" ref="BE262" ca="1">_xlfn.XLOOKUP($BC262,LRC[id],INDIRECT("LRC["&amp;BE$21&amp;"]"))</f>
        <v>1</v>
      </c>
    </row>
    <row r="263" spans="38:57" x14ac:dyDescent="0.3">
      <c r="AL263">
        <v>242</v>
      </c>
      <c r="AM263" cm="1">
        <f t="array" aca="1" ref="AM263" ca="1">_xlfn.XLOOKUP($AL263,LRC[id],INDIRECT("LRC["&amp;AM$21&amp;"]"))</f>
        <v>3</v>
      </c>
      <c r="AN263" cm="1">
        <f t="array" aca="1" ref="AN263" ca="1">_xlfn.XLOOKUP($AL263,LRC[id],INDIRECT("LRC["&amp;AN$21&amp;"]"))</f>
        <v>2</v>
      </c>
      <c r="BC263">
        <v>542</v>
      </c>
      <c r="BD263" cm="1">
        <f t="array" aca="1" ref="BD263" ca="1">_xlfn.XLOOKUP($BC263,LRC[id],INDIRECT("LRC["&amp;BD$21&amp;"]"))</f>
        <v>3</v>
      </c>
      <c r="BE263" cm="1">
        <f t="array" aca="1" ref="BE263" ca="1">_xlfn.XLOOKUP($BC263,LRC[id],INDIRECT("LRC["&amp;BE$21&amp;"]"))</f>
        <v>2</v>
      </c>
    </row>
    <row r="264" spans="38:57" x14ac:dyDescent="0.3">
      <c r="AL264">
        <v>243</v>
      </c>
      <c r="AM264" cm="1">
        <f t="array" aca="1" ref="AM264" ca="1">_xlfn.XLOOKUP($AL264,LRC[id],INDIRECT("LRC["&amp;AM$21&amp;"]"))</f>
        <v>4</v>
      </c>
      <c r="AN264" cm="1">
        <f t="array" aca="1" ref="AN264" ca="1">_xlfn.XLOOKUP($AL264,LRC[id],INDIRECT("LRC["&amp;AN$21&amp;"]"))</f>
        <v>3</v>
      </c>
      <c r="BC264">
        <v>543</v>
      </c>
      <c r="BD264" cm="1">
        <f t="array" aca="1" ref="BD264" ca="1">_xlfn.XLOOKUP($BC264,LRC[id],INDIRECT("LRC["&amp;BD$21&amp;"]"))</f>
        <v>4</v>
      </c>
      <c r="BE264" cm="1">
        <f t="array" aca="1" ref="BE264" ca="1">_xlfn.XLOOKUP($BC264,LRC[id],INDIRECT("LRC["&amp;BE$21&amp;"]"))</f>
        <v>3</v>
      </c>
    </row>
    <row r="265" spans="38:57" x14ac:dyDescent="0.3">
      <c r="AL265">
        <v>244</v>
      </c>
      <c r="AM265" cm="1">
        <f t="array" aca="1" ref="AM265" ca="1">_xlfn.XLOOKUP($AL265,LRC[id],INDIRECT("LRC["&amp;AM$21&amp;"]"))</f>
        <v>5</v>
      </c>
      <c r="AN265" cm="1">
        <f t="array" aca="1" ref="AN265" ca="1">_xlfn.XLOOKUP($AL265,LRC[id],INDIRECT("LRC["&amp;AN$21&amp;"]"))</f>
        <v>4</v>
      </c>
      <c r="BC265">
        <v>544</v>
      </c>
      <c r="BD265" cm="1">
        <f t="array" aca="1" ref="BD265" ca="1">_xlfn.XLOOKUP($BC265,LRC[id],INDIRECT("LRC["&amp;BD$21&amp;"]"))</f>
        <v>5</v>
      </c>
      <c r="BE265" cm="1">
        <f t="array" aca="1" ref="BE265" ca="1">_xlfn.XLOOKUP($BC265,LRC[id],INDIRECT("LRC["&amp;BE$21&amp;"]"))</f>
        <v>4</v>
      </c>
    </row>
    <row r="266" spans="38:57" x14ac:dyDescent="0.3">
      <c r="AL266">
        <v>245</v>
      </c>
      <c r="AM266" cm="1">
        <f t="array" aca="1" ref="AM266" ca="1">_xlfn.XLOOKUP($AL266,LRC[id],INDIRECT("LRC["&amp;AM$21&amp;"]"))</f>
        <v>4</v>
      </c>
      <c r="AN266" cm="1">
        <f t="array" aca="1" ref="AN266" ca="1">_xlfn.XLOOKUP($AL266,LRC[id],INDIRECT("LRC["&amp;AN$21&amp;"]"))</f>
        <v>1</v>
      </c>
      <c r="BC266">
        <v>545</v>
      </c>
      <c r="BD266" cm="1">
        <f t="array" aca="1" ref="BD266" ca="1">_xlfn.XLOOKUP($BC266,LRC[id],INDIRECT("LRC["&amp;BD$21&amp;"]"))</f>
        <v>4</v>
      </c>
      <c r="BE266" cm="1">
        <f t="array" aca="1" ref="BE266" ca="1">_xlfn.XLOOKUP($BC266,LRC[id],INDIRECT("LRC["&amp;BE$21&amp;"]"))</f>
        <v>1</v>
      </c>
    </row>
    <row r="267" spans="38:57" x14ac:dyDescent="0.3">
      <c r="AL267">
        <v>246</v>
      </c>
      <c r="AM267" cm="1">
        <f t="array" aca="1" ref="AM267" ca="1">_xlfn.XLOOKUP($AL267,LRC[id],INDIRECT("LRC["&amp;AM$21&amp;"]"))</f>
        <v>6</v>
      </c>
      <c r="AN267" cm="1">
        <f t="array" aca="1" ref="AN267" ca="1">_xlfn.XLOOKUP($AL267,LRC[id],INDIRECT("LRC["&amp;AN$21&amp;"]"))</f>
        <v>2</v>
      </c>
      <c r="BC267">
        <v>546</v>
      </c>
      <c r="BD267" cm="1">
        <f t="array" aca="1" ref="BD267" ca="1">_xlfn.XLOOKUP($BC267,LRC[id],INDIRECT("LRC["&amp;BD$21&amp;"]"))</f>
        <v>6</v>
      </c>
      <c r="BE267" cm="1">
        <f t="array" aca="1" ref="BE267" ca="1">_xlfn.XLOOKUP($BC267,LRC[id],INDIRECT("LRC["&amp;BE$21&amp;"]"))</f>
        <v>2</v>
      </c>
    </row>
    <row r="268" spans="38:57" x14ac:dyDescent="0.3">
      <c r="AL268">
        <v>247</v>
      </c>
      <c r="AM268" cm="1">
        <f t="array" aca="1" ref="AM268" ca="1">_xlfn.XLOOKUP($AL268,LRC[id],INDIRECT("LRC["&amp;AM$21&amp;"]"))</f>
        <v>9</v>
      </c>
      <c r="AN268" cm="1">
        <f t="array" aca="1" ref="AN268" ca="1">_xlfn.XLOOKUP($AL268,LRC[id],INDIRECT("LRC["&amp;AN$21&amp;"]"))</f>
        <v>3</v>
      </c>
      <c r="BC268">
        <v>547</v>
      </c>
      <c r="BD268" cm="1">
        <f t="array" aca="1" ref="BD268" ca="1">_xlfn.XLOOKUP($BC268,LRC[id],INDIRECT("LRC["&amp;BD$21&amp;"]"))</f>
        <v>9</v>
      </c>
      <c r="BE268" cm="1">
        <f t="array" aca="1" ref="BE268" ca="1">_xlfn.XLOOKUP($BC268,LRC[id],INDIRECT("LRC["&amp;BE$21&amp;"]"))</f>
        <v>3</v>
      </c>
    </row>
    <row r="269" spans="38:57" x14ac:dyDescent="0.3">
      <c r="AL269">
        <v>248</v>
      </c>
      <c r="AM269" cm="1">
        <f t="array" aca="1" ref="AM269" ca="1">_xlfn.XLOOKUP($AL269,LRC[id],INDIRECT("LRC["&amp;AM$21&amp;"]"))</f>
        <v>11</v>
      </c>
      <c r="AN269" cm="1">
        <f t="array" aca="1" ref="AN269" ca="1">_xlfn.XLOOKUP($AL269,LRC[id],INDIRECT("LRC["&amp;AN$21&amp;"]"))</f>
        <v>4</v>
      </c>
      <c r="BC269">
        <v>548</v>
      </c>
      <c r="BD269" cm="1">
        <f t="array" aca="1" ref="BD269" ca="1">_xlfn.XLOOKUP($BC269,LRC[id],INDIRECT("LRC["&amp;BD$21&amp;"]"))</f>
        <v>11</v>
      </c>
      <c r="BE269" cm="1">
        <f t="array" aca="1" ref="BE269" ca="1">_xlfn.XLOOKUP($BC269,LRC[id],INDIRECT("LRC["&amp;BE$21&amp;"]"))</f>
        <v>4</v>
      </c>
    </row>
    <row r="270" spans="38:57" x14ac:dyDescent="0.3">
      <c r="AL270">
        <v>249</v>
      </c>
      <c r="AM270" cm="1">
        <f t="array" aca="1" ref="AM270" ca="1">_xlfn.XLOOKUP($AL270,LRC[id],INDIRECT("LRC["&amp;AM$21&amp;"]"))</f>
        <v>6</v>
      </c>
      <c r="AN270" cm="1">
        <f t="array" aca="1" ref="AN270" ca="1">_xlfn.XLOOKUP($AL270,LRC[id],INDIRECT("LRC["&amp;AN$21&amp;"]"))</f>
        <v>1</v>
      </c>
      <c r="BC270">
        <v>549</v>
      </c>
      <c r="BD270" cm="1">
        <f t="array" aca="1" ref="BD270" ca="1">_xlfn.XLOOKUP($BC270,LRC[id],INDIRECT("LRC["&amp;BD$21&amp;"]"))</f>
        <v>6</v>
      </c>
      <c r="BE270" cm="1">
        <f t="array" aca="1" ref="BE270" ca="1">_xlfn.XLOOKUP($BC270,LRC[id],INDIRECT("LRC["&amp;BE$21&amp;"]"))</f>
        <v>1</v>
      </c>
    </row>
    <row r="271" spans="38:57" x14ac:dyDescent="0.3">
      <c r="AL271">
        <v>250</v>
      </c>
      <c r="AM271" cm="1">
        <f t="array" aca="1" ref="AM271" ca="1">_xlfn.XLOOKUP($AL271,LRC[id],INDIRECT("LRC["&amp;AM$21&amp;"]"))</f>
        <v>9</v>
      </c>
      <c r="AN271" cm="1">
        <f t="array" aca="1" ref="AN271" ca="1">_xlfn.XLOOKUP($AL271,LRC[id],INDIRECT("LRC["&amp;AN$21&amp;"]"))</f>
        <v>2</v>
      </c>
      <c r="BC271">
        <v>550</v>
      </c>
      <c r="BD271" cm="1">
        <f t="array" aca="1" ref="BD271" ca="1">_xlfn.XLOOKUP($BC271,LRC[id],INDIRECT("LRC["&amp;BD$21&amp;"]"))</f>
        <v>9</v>
      </c>
      <c r="BE271" cm="1">
        <f t="array" aca="1" ref="BE271" ca="1">_xlfn.XLOOKUP($BC271,LRC[id],INDIRECT("LRC["&amp;BE$21&amp;"]"))</f>
        <v>2</v>
      </c>
    </row>
    <row r="272" spans="38:57" x14ac:dyDescent="0.3">
      <c r="AL272">
        <v>251</v>
      </c>
      <c r="AM272" cm="1">
        <f t="array" aca="1" ref="AM272" ca="1">_xlfn.XLOOKUP($AL272,LRC[id],INDIRECT("LRC["&amp;AM$21&amp;"]"))</f>
        <v>13</v>
      </c>
      <c r="AN272" cm="1">
        <f t="array" aca="1" ref="AN272" ca="1">_xlfn.XLOOKUP($AL272,LRC[id],INDIRECT("LRC["&amp;AN$21&amp;"]"))</f>
        <v>3</v>
      </c>
      <c r="BC272">
        <v>551</v>
      </c>
      <c r="BD272" cm="1">
        <f t="array" aca="1" ref="BD272" ca="1">_xlfn.XLOOKUP($BC272,LRC[id],INDIRECT("LRC["&amp;BD$21&amp;"]"))</f>
        <v>13</v>
      </c>
      <c r="BE272" cm="1">
        <f t="array" aca="1" ref="BE272" ca="1">_xlfn.XLOOKUP($BC272,LRC[id],INDIRECT("LRC["&amp;BE$21&amp;"]"))</f>
        <v>3</v>
      </c>
    </row>
    <row r="273" spans="38:57" x14ac:dyDescent="0.3">
      <c r="AL273">
        <v>252</v>
      </c>
      <c r="AM273" cm="1">
        <f t="array" aca="1" ref="AM273" ca="1">_xlfn.XLOOKUP($AL273,LRC[id],INDIRECT("LRC["&amp;AM$21&amp;"]"))</f>
        <v>16</v>
      </c>
      <c r="AN273" cm="1">
        <f t="array" aca="1" ref="AN273" ca="1">_xlfn.XLOOKUP($AL273,LRC[id],INDIRECT("LRC["&amp;AN$21&amp;"]"))</f>
        <v>4</v>
      </c>
      <c r="BC273">
        <v>552</v>
      </c>
      <c r="BD273" cm="1">
        <f t="array" aca="1" ref="BD273" ca="1">_xlfn.XLOOKUP($BC273,LRC[id],INDIRECT("LRC["&amp;BD$21&amp;"]"))</f>
        <v>16</v>
      </c>
      <c r="BE273" cm="1">
        <f t="array" aca="1" ref="BE273" ca="1">_xlfn.XLOOKUP($BC273,LRC[id],INDIRECT("LRC["&amp;BE$21&amp;"]"))</f>
        <v>4</v>
      </c>
    </row>
    <row r="274" spans="38:57" x14ac:dyDescent="0.3">
      <c r="AL274">
        <v>253</v>
      </c>
      <c r="AM274" cm="1">
        <f t="array" aca="1" ref="AM274" ca="1">_xlfn.XLOOKUP($AL274,LRC[id],INDIRECT("LRC["&amp;AM$21&amp;"]"))</f>
        <v>7</v>
      </c>
      <c r="AN274" cm="1">
        <f t="array" aca="1" ref="AN274" ca="1">_xlfn.XLOOKUP($AL274,LRC[id],INDIRECT("LRC["&amp;AN$21&amp;"]"))</f>
        <v>1</v>
      </c>
      <c r="BC274">
        <v>553</v>
      </c>
      <c r="BD274" cm="1">
        <f t="array" aca="1" ref="BD274" ca="1">_xlfn.XLOOKUP($BC274,LRC[id],INDIRECT("LRC["&amp;BD$21&amp;"]"))</f>
        <v>7</v>
      </c>
      <c r="BE274" cm="1">
        <f t="array" aca="1" ref="BE274" ca="1">_xlfn.XLOOKUP($BC274,LRC[id],INDIRECT("LRC["&amp;BE$21&amp;"]"))</f>
        <v>1</v>
      </c>
    </row>
    <row r="275" spans="38:57" x14ac:dyDescent="0.3">
      <c r="AL275">
        <v>254</v>
      </c>
      <c r="AM275" cm="1">
        <f t="array" aca="1" ref="AM275" ca="1">_xlfn.XLOOKUP($AL275,LRC[id],INDIRECT("LRC["&amp;AM$21&amp;"]"))</f>
        <v>11</v>
      </c>
      <c r="AN275" cm="1">
        <f t="array" aca="1" ref="AN275" ca="1">_xlfn.XLOOKUP($AL275,LRC[id],INDIRECT("LRC["&amp;AN$21&amp;"]"))</f>
        <v>2</v>
      </c>
      <c r="BC275">
        <v>554</v>
      </c>
      <c r="BD275" cm="1">
        <f t="array" aca="1" ref="BD275" ca="1">_xlfn.XLOOKUP($BC275,LRC[id],INDIRECT("LRC["&amp;BD$21&amp;"]"))</f>
        <v>11</v>
      </c>
      <c r="BE275" cm="1">
        <f t="array" aca="1" ref="BE275" ca="1">_xlfn.XLOOKUP($BC275,LRC[id],INDIRECT("LRC["&amp;BE$21&amp;"]"))</f>
        <v>2</v>
      </c>
    </row>
    <row r="276" spans="38:57" x14ac:dyDescent="0.3">
      <c r="AL276">
        <v>255</v>
      </c>
      <c r="AM276" cm="1">
        <f t="array" aca="1" ref="AM276" ca="1">_xlfn.XLOOKUP($AL276,LRC[id],INDIRECT("LRC["&amp;AM$21&amp;"]"))</f>
        <v>15</v>
      </c>
      <c r="AN276" cm="1">
        <f t="array" aca="1" ref="AN276" ca="1">_xlfn.XLOOKUP($AL276,LRC[id],INDIRECT("LRC["&amp;AN$21&amp;"]"))</f>
        <v>3</v>
      </c>
      <c r="BC276">
        <v>555</v>
      </c>
      <c r="BD276" cm="1">
        <f t="array" aca="1" ref="BD276" ca="1">_xlfn.XLOOKUP($BC276,LRC[id],INDIRECT("LRC["&amp;BD$21&amp;"]"))</f>
        <v>15</v>
      </c>
      <c r="BE276" cm="1">
        <f t="array" aca="1" ref="BE276" ca="1">_xlfn.XLOOKUP($BC276,LRC[id],INDIRECT("LRC["&amp;BE$21&amp;"]"))</f>
        <v>3</v>
      </c>
    </row>
    <row r="277" spans="38:57" x14ac:dyDescent="0.3">
      <c r="AL277">
        <v>256</v>
      </c>
      <c r="AM277" cm="1">
        <f t="array" aca="1" ref="AM277" ca="1">_xlfn.XLOOKUP($AL277,LRC[id],INDIRECT("LRC["&amp;AM$21&amp;"]"))</f>
        <v>18</v>
      </c>
      <c r="AN277" cm="1">
        <f t="array" aca="1" ref="AN277" ca="1">_xlfn.XLOOKUP($AL277,LRC[id],INDIRECT("LRC["&amp;AN$21&amp;"]"))</f>
        <v>4</v>
      </c>
      <c r="BC277">
        <v>556</v>
      </c>
      <c r="BD277" cm="1">
        <f t="array" aca="1" ref="BD277" ca="1">_xlfn.XLOOKUP($BC277,LRC[id],INDIRECT("LRC["&amp;BD$21&amp;"]"))</f>
        <v>18</v>
      </c>
      <c r="BE277" cm="1">
        <f t="array" aca="1" ref="BE277" ca="1">_xlfn.XLOOKUP($BC277,LRC[id],INDIRECT("LRC["&amp;BE$21&amp;"]"))</f>
        <v>4</v>
      </c>
    </row>
    <row r="278" spans="38:57" x14ac:dyDescent="0.3">
      <c r="AL278">
        <v>257</v>
      </c>
      <c r="AM278" cm="1">
        <f t="array" aca="1" ref="AM278" ca="1">_xlfn.XLOOKUP($AL278,LRC[id],INDIRECT("LRC["&amp;AM$21&amp;"]"))</f>
        <v>7</v>
      </c>
      <c r="AN278" cm="1">
        <f t="array" aca="1" ref="AN278" ca="1">_xlfn.XLOOKUP($AL278,LRC[id],INDIRECT("LRC["&amp;AN$21&amp;"]"))</f>
        <v>1</v>
      </c>
      <c r="BC278">
        <v>557</v>
      </c>
      <c r="BD278" cm="1">
        <f t="array" aca="1" ref="BD278" ca="1">_xlfn.XLOOKUP($BC278,LRC[id],INDIRECT("LRC["&amp;BD$21&amp;"]"))</f>
        <v>7</v>
      </c>
      <c r="BE278" cm="1">
        <f t="array" aca="1" ref="BE278" ca="1">_xlfn.XLOOKUP($BC278,LRC[id],INDIRECT("LRC["&amp;BE$21&amp;"]"))</f>
        <v>1</v>
      </c>
    </row>
    <row r="279" spans="38:57" x14ac:dyDescent="0.3">
      <c r="AL279">
        <v>258</v>
      </c>
      <c r="AM279" cm="1">
        <f t="array" aca="1" ref="AM279" ca="1">_xlfn.XLOOKUP($AL279,LRC[id],INDIRECT("LRC["&amp;AM$21&amp;"]"))</f>
        <v>12</v>
      </c>
      <c r="AN279" cm="1">
        <f t="array" aca="1" ref="AN279" ca="1">_xlfn.XLOOKUP($AL279,LRC[id],INDIRECT("LRC["&amp;AN$21&amp;"]"))</f>
        <v>2</v>
      </c>
      <c r="BC279">
        <v>558</v>
      </c>
      <c r="BD279" cm="1">
        <f t="array" aca="1" ref="BD279" ca="1">_xlfn.XLOOKUP($BC279,LRC[id],INDIRECT("LRC["&amp;BD$21&amp;"]"))</f>
        <v>12</v>
      </c>
      <c r="BE279" cm="1">
        <f t="array" aca="1" ref="BE279" ca="1">_xlfn.XLOOKUP($BC279,LRC[id],INDIRECT("LRC["&amp;BE$21&amp;"]"))</f>
        <v>2</v>
      </c>
    </row>
    <row r="280" spans="38:57" x14ac:dyDescent="0.3">
      <c r="AL280">
        <v>259</v>
      </c>
      <c r="AM280" cm="1">
        <f t="array" aca="1" ref="AM280" ca="1">_xlfn.XLOOKUP($AL280,LRC[id],INDIRECT("LRC["&amp;AM$21&amp;"]"))</f>
        <v>16</v>
      </c>
      <c r="AN280" cm="1">
        <f t="array" aca="1" ref="AN280" ca="1">_xlfn.XLOOKUP($AL280,LRC[id],INDIRECT("LRC["&amp;AN$21&amp;"]"))</f>
        <v>3</v>
      </c>
      <c r="BC280">
        <v>559</v>
      </c>
      <c r="BD280" cm="1">
        <f t="array" aca="1" ref="BD280" ca="1">_xlfn.XLOOKUP($BC280,LRC[id],INDIRECT("LRC["&amp;BD$21&amp;"]"))</f>
        <v>16</v>
      </c>
      <c r="BE280" cm="1">
        <f t="array" aca="1" ref="BE280" ca="1">_xlfn.XLOOKUP($BC280,LRC[id],INDIRECT("LRC["&amp;BE$21&amp;"]"))</f>
        <v>3</v>
      </c>
    </row>
    <row r="281" spans="38:57" x14ac:dyDescent="0.3">
      <c r="AL281">
        <v>260</v>
      </c>
      <c r="AM281" cm="1">
        <f t="array" aca="1" ref="AM281" ca="1">_xlfn.XLOOKUP($AL281,LRC[id],INDIRECT("LRC["&amp;AM$21&amp;"]"))</f>
        <v>20</v>
      </c>
      <c r="AN281" cm="1">
        <f t="array" aca="1" ref="AN281" ca="1">_xlfn.XLOOKUP($AL281,LRC[id],INDIRECT("LRC["&amp;AN$21&amp;"]"))</f>
        <v>4</v>
      </c>
      <c r="BC281">
        <v>560</v>
      </c>
      <c r="BD281" cm="1">
        <f t="array" aca="1" ref="BD281" ca="1">_xlfn.XLOOKUP($BC281,LRC[id],INDIRECT("LRC["&amp;BD$21&amp;"]"))</f>
        <v>20</v>
      </c>
      <c r="BE281" cm="1">
        <f t="array" aca="1" ref="BE281" ca="1">_xlfn.XLOOKUP($BC281,LRC[id],INDIRECT("LRC["&amp;BE$21&amp;"]"))</f>
        <v>4</v>
      </c>
    </row>
    <row r="282" spans="38:57" x14ac:dyDescent="0.3">
      <c r="AL282">
        <v>261</v>
      </c>
      <c r="AM282" cm="1">
        <f t="array" aca="1" ref="AM282" ca="1">_xlfn.XLOOKUP($AL282,LRC[id],INDIRECT("LRC["&amp;AM$21&amp;"]"))</f>
        <v>2</v>
      </c>
      <c r="AN282" cm="1">
        <f t="array" aca="1" ref="AN282" ca="1">_xlfn.XLOOKUP($AL282,LRC[id],INDIRECT("LRC["&amp;AN$21&amp;"]"))</f>
        <v>1</v>
      </c>
      <c r="BC282">
        <v>561</v>
      </c>
      <c r="BD282" cm="1">
        <f t="array" aca="1" ref="BD282" ca="1">_xlfn.XLOOKUP($BC282,LRC[id],INDIRECT("LRC["&amp;BD$21&amp;"]"))</f>
        <v>2</v>
      </c>
      <c r="BE282" cm="1">
        <f t="array" aca="1" ref="BE282" ca="1">_xlfn.XLOOKUP($BC282,LRC[id],INDIRECT("LRC["&amp;BE$21&amp;"]"))</f>
        <v>1</v>
      </c>
    </row>
    <row r="283" spans="38:57" x14ac:dyDescent="0.3">
      <c r="AL283">
        <v>262</v>
      </c>
      <c r="AM283" cm="1">
        <f t="array" aca="1" ref="AM283" ca="1">_xlfn.XLOOKUP($AL283,LRC[id],INDIRECT("LRC["&amp;AM$21&amp;"]"))</f>
        <v>2</v>
      </c>
      <c r="AN283" cm="1">
        <f t="array" aca="1" ref="AN283" ca="1">_xlfn.XLOOKUP($AL283,LRC[id],INDIRECT("LRC["&amp;AN$21&amp;"]"))</f>
        <v>2</v>
      </c>
      <c r="BC283">
        <v>562</v>
      </c>
      <c r="BD283" cm="1">
        <f t="array" aca="1" ref="BD283" ca="1">_xlfn.XLOOKUP($BC283,LRC[id],INDIRECT("LRC["&amp;BD$21&amp;"]"))</f>
        <v>2</v>
      </c>
      <c r="BE283" cm="1">
        <f t="array" aca="1" ref="BE283" ca="1">_xlfn.XLOOKUP($BC283,LRC[id],INDIRECT("LRC["&amp;BE$21&amp;"]"))</f>
        <v>2</v>
      </c>
    </row>
    <row r="284" spans="38:57" x14ac:dyDescent="0.3">
      <c r="AL284">
        <v>263</v>
      </c>
      <c r="AM284" cm="1">
        <f t="array" aca="1" ref="AM284" ca="1">_xlfn.XLOOKUP($AL284,LRC[id],INDIRECT("LRC["&amp;AM$21&amp;"]"))</f>
        <v>3</v>
      </c>
      <c r="AN284" cm="1">
        <f t="array" aca="1" ref="AN284" ca="1">_xlfn.XLOOKUP($AL284,LRC[id],INDIRECT("LRC["&amp;AN$21&amp;"]"))</f>
        <v>3</v>
      </c>
      <c r="BC284">
        <v>563</v>
      </c>
      <c r="BD284" cm="1">
        <f t="array" aca="1" ref="BD284" ca="1">_xlfn.XLOOKUP($BC284,LRC[id],INDIRECT("LRC["&amp;BD$21&amp;"]"))</f>
        <v>3</v>
      </c>
      <c r="BE284" cm="1">
        <f t="array" aca="1" ref="BE284" ca="1">_xlfn.XLOOKUP($BC284,LRC[id],INDIRECT("LRC["&amp;BE$21&amp;"]"))</f>
        <v>3</v>
      </c>
    </row>
    <row r="285" spans="38:57" x14ac:dyDescent="0.3">
      <c r="AL285">
        <v>264</v>
      </c>
      <c r="AM285" cm="1">
        <f t="array" aca="1" ref="AM285" ca="1">_xlfn.XLOOKUP($AL285,LRC[id],INDIRECT("LRC["&amp;AM$21&amp;"]"))</f>
        <v>3</v>
      </c>
      <c r="AN285" cm="1">
        <f t="array" aca="1" ref="AN285" ca="1">_xlfn.XLOOKUP($AL285,LRC[id],INDIRECT("LRC["&amp;AN$21&amp;"]"))</f>
        <v>4</v>
      </c>
      <c r="BC285">
        <v>564</v>
      </c>
      <c r="BD285" cm="1">
        <f t="array" aca="1" ref="BD285" ca="1">_xlfn.XLOOKUP($BC285,LRC[id],INDIRECT("LRC["&amp;BD$21&amp;"]"))</f>
        <v>3</v>
      </c>
      <c r="BE285" cm="1">
        <f t="array" aca="1" ref="BE285" ca="1">_xlfn.XLOOKUP($BC285,LRC[id],INDIRECT("LRC["&amp;BE$21&amp;"]"))</f>
        <v>4</v>
      </c>
    </row>
    <row r="286" spans="38:57" x14ac:dyDescent="0.3">
      <c r="AL286">
        <v>265</v>
      </c>
      <c r="AM286" cm="1">
        <f t="array" aca="1" ref="AM286" ca="1">_xlfn.XLOOKUP($AL286,LRC[id],INDIRECT("LRC["&amp;AM$21&amp;"]"))</f>
        <v>3</v>
      </c>
      <c r="AN286" cm="1">
        <f t="array" aca="1" ref="AN286" ca="1">_xlfn.XLOOKUP($AL286,LRC[id],INDIRECT("LRC["&amp;AN$21&amp;"]"))</f>
        <v>1</v>
      </c>
      <c r="BC286">
        <v>565</v>
      </c>
      <c r="BD286" cm="1">
        <f t="array" aca="1" ref="BD286" ca="1">_xlfn.XLOOKUP($BC286,LRC[id],INDIRECT("LRC["&amp;BD$21&amp;"]"))</f>
        <v>3</v>
      </c>
      <c r="BE286" cm="1">
        <f t="array" aca="1" ref="BE286" ca="1">_xlfn.XLOOKUP($BC286,LRC[id],INDIRECT("LRC["&amp;BE$21&amp;"]"))</f>
        <v>1</v>
      </c>
    </row>
    <row r="287" spans="38:57" x14ac:dyDescent="0.3">
      <c r="AL287">
        <v>266</v>
      </c>
      <c r="AM287" cm="1">
        <f t="array" aca="1" ref="AM287" ca="1">_xlfn.XLOOKUP($AL287,LRC[id],INDIRECT("LRC["&amp;AM$21&amp;"]"))</f>
        <v>5</v>
      </c>
      <c r="AN287" cm="1">
        <f t="array" aca="1" ref="AN287" ca="1">_xlfn.XLOOKUP($AL287,LRC[id],INDIRECT("LRC["&amp;AN$21&amp;"]"))</f>
        <v>2</v>
      </c>
      <c r="BC287">
        <v>566</v>
      </c>
      <c r="BD287" cm="1">
        <f t="array" aca="1" ref="BD287" ca="1">_xlfn.XLOOKUP($BC287,LRC[id],INDIRECT("LRC["&amp;BD$21&amp;"]"))</f>
        <v>5</v>
      </c>
      <c r="BE287" cm="1">
        <f t="array" aca="1" ref="BE287" ca="1">_xlfn.XLOOKUP($BC287,LRC[id],INDIRECT("LRC["&amp;BE$21&amp;"]"))</f>
        <v>2</v>
      </c>
    </row>
    <row r="288" spans="38:57" x14ac:dyDescent="0.3">
      <c r="AL288">
        <v>267</v>
      </c>
      <c r="AM288" cm="1">
        <f t="array" aca="1" ref="AM288" ca="1">_xlfn.XLOOKUP($AL288,LRC[id],INDIRECT("LRC["&amp;AM$21&amp;"]"))</f>
        <v>6</v>
      </c>
      <c r="AN288" cm="1">
        <f t="array" aca="1" ref="AN288" ca="1">_xlfn.XLOOKUP($AL288,LRC[id],INDIRECT("LRC["&amp;AN$21&amp;"]"))</f>
        <v>3</v>
      </c>
      <c r="BC288">
        <v>567</v>
      </c>
      <c r="BD288" cm="1">
        <f t="array" aca="1" ref="BD288" ca="1">_xlfn.XLOOKUP($BC288,LRC[id],INDIRECT("LRC["&amp;BD$21&amp;"]"))</f>
        <v>6</v>
      </c>
      <c r="BE288" cm="1">
        <f t="array" aca="1" ref="BE288" ca="1">_xlfn.XLOOKUP($BC288,LRC[id],INDIRECT("LRC["&amp;BE$21&amp;"]"))</f>
        <v>3</v>
      </c>
    </row>
    <row r="289" spans="38:57" x14ac:dyDescent="0.3">
      <c r="AL289">
        <v>268</v>
      </c>
      <c r="AM289" cm="1">
        <f t="array" aca="1" ref="AM289" ca="1">_xlfn.XLOOKUP($AL289,LRC[id],INDIRECT("LRC["&amp;AM$21&amp;"]"))</f>
        <v>7</v>
      </c>
      <c r="AN289" cm="1">
        <f t="array" aca="1" ref="AN289" ca="1">_xlfn.XLOOKUP($AL289,LRC[id],INDIRECT("LRC["&amp;AN$21&amp;"]"))</f>
        <v>4</v>
      </c>
      <c r="BC289">
        <v>568</v>
      </c>
      <c r="BD289" cm="1">
        <f t="array" aca="1" ref="BD289" ca="1">_xlfn.XLOOKUP($BC289,LRC[id],INDIRECT("LRC["&amp;BD$21&amp;"]"))</f>
        <v>7</v>
      </c>
      <c r="BE289" cm="1">
        <f t="array" aca="1" ref="BE289" ca="1">_xlfn.XLOOKUP($BC289,LRC[id],INDIRECT("LRC["&amp;BE$21&amp;"]"))</f>
        <v>4</v>
      </c>
    </row>
    <row r="290" spans="38:57" x14ac:dyDescent="0.3">
      <c r="AL290">
        <v>269</v>
      </c>
      <c r="AM290" cm="1">
        <f t="array" aca="1" ref="AM290" ca="1">_xlfn.XLOOKUP($AL290,LRC[id],INDIRECT("LRC["&amp;AM$21&amp;"]"))</f>
        <v>4</v>
      </c>
      <c r="AN290" cm="1">
        <f t="array" aca="1" ref="AN290" ca="1">_xlfn.XLOOKUP($AL290,LRC[id],INDIRECT("LRC["&amp;AN$21&amp;"]"))</f>
        <v>1</v>
      </c>
      <c r="BC290">
        <v>569</v>
      </c>
      <c r="BD290" cm="1">
        <f t="array" aca="1" ref="BD290" ca="1">_xlfn.XLOOKUP($BC290,LRC[id],INDIRECT("LRC["&amp;BD$21&amp;"]"))</f>
        <v>4</v>
      </c>
      <c r="BE290" cm="1">
        <f t="array" aca="1" ref="BE290" ca="1">_xlfn.XLOOKUP($BC290,LRC[id],INDIRECT("LRC["&amp;BE$21&amp;"]"))</f>
        <v>1</v>
      </c>
    </row>
    <row r="291" spans="38:57" x14ac:dyDescent="0.3">
      <c r="AL291">
        <v>270</v>
      </c>
      <c r="AM291" cm="1">
        <f t="array" aca="1" ref="AM291" ca="1">_xlfn.XLOOKUP($AL291,LRC[id],INDIRECT("LRC["&amp;AM$21&amp;"]"))</f>
        <v>7</v>
      </c>
      <c r="AN291" cm="1">
        <f t="array" aca="1" ref="AN291" ca="1">_xlfn.XLOOKUP($AL291,LRC[id],INDIRECT("LRC["&amp;AN$21&amp;"]"))</f>
        <v>2</v>
      </c>
      <c r="BC291">
        <v>570</v>
      </c>
      <c r="BD291" cm="1">
        <f t="array" aca="1" ref="BD291" ca="1">_xlfn.XLOOKUP($BC291,LRC[id],INDIRECT("LRC["&amp;BD$21&amp;"]"))</f>
        <v>7</v>
      </c>
      <c r="BE291" cm="1">
        <f t="array" aca="1" ref="BE291" ca="1">_xlfn.XLOOKUP($BC291,LRC[id],INDIRECT("LRC["&amp;BE$21&amp;"]"))</f>
        <v>2</v>
      </c>
    </row>
    <row r="292" spans="38:57" x14ac:dyDescent="0.3">
      <c r="AL292">
        <v>271</v>
      </c>
      <c r="AM292" cm="1">
        <f t="array" aca="1" ref="AM292" ca="1">_xlfn.XLOOKUP($AL292,LRC[id],INDIRECT("LRC["&amp;AM$21&amp;"]"))</f>
        <v>9</v>
      </c>
      <c r="AN292" cm="1">
        <f t="array" aca="1" ref="AN292" ca="1">_xlfn.XLOOKUP($AL292,LRC[id],INDIRECT("LRC["&amp;AN$21&amp;"]"))</f>
        <v>3</v>
      </c>
      <c r="BC292">
        <v>571</v>
      </c>
      <c r="BD292" cm="1">
        <f t="array" aca="1" ref="BD292" ca="1">_xlfn.XLOOKUP($BC292,LRC[id],INDIRECT("LRC["&amp;BD$21&amp;"]"))</f>
        <v>9</v>
      </c>
      <c r="BE292" cm="1">
        <f t="array" aca="1" ref="BE292" ca="1">_xlfn.XLOOKUP($BC292,LRC[id],INDIRECT("LRC["&amp;BE$21&amp;"]"))</f>
        <v>3</v>
      </c>
    </row>
    <row r="293" spans="38:57" x14ac:dyDescent="0.3">
      <c r="AL293">
        <v>272</v>
      </c>
      <c r="AM293" cm="1">
        <f t="array" aca="1" ref="AM293" ca="1">_xlfn.XLOOKUP($AL293,LRC[id],INDIRECT("LRC["&amp;AM$21&amp;"]"))</f>
        <v>11</v>
      </c>
      <c r="AN293" cm="1">
        <f t="array" aca="1" ref="AN293" ca="1">_xlfn.XLOOKUP($AL293,LRC[id],INDIRECT("LRC["&amp;AN$21&amp;"]"))</f>
        <v>4</v>
      </c>
      <c r="BC293">
        <v>572</v>
      </c>
      <c r="BD293" cm="1">
        <f t="array" aca="1" ref="BD293" ca="1">_xlfn.XLOOKUP($BC293,LRC[id],INDIRECT("LRC["&amp;BD$21&amp;"]"))</f>
        <v>11</v>
      </c>
      <c r="BE293" cm="1">
        <f t="array" aca="1" ref="BE293" ca="1">_xlfn.XLOOKUP($BC293,LRC[id],INDIRECT("LRC["&amp;BE$21&amp;"]"))</f>
        <v>4</v>
      </c>
    </row>
    <row r="294" spans="38:57" x14ac:dyDescent="0.3">
      <c r="AL294">
        <v>273</v>
      </c>
      <c r="AM294" cm="1">
        <f t="array" aca="1" ref="AM294" ca="1">_xlfn.XLOOKUP($AL294,LRC[id],INDIRECT("LRC["&amp;AM$21&amp;"]"))</f>
        <v>5</v>
      </c>
      <c r="AN294" cm="1">
        <f t="array" aca="1" ref="AN294" ca="1">_xlfn.XLOOKUP($AL294,LRC[id],INDIRECT("LRC["&amp;AN$21&amp;"]"))</f>
        <v>1</v>
      </c>
      <c r="BC294">
        <v>573</v>
      </c>
      <c r="BD294" cm="1">
        <f t="array" aca="1" ref="BD294" ca="1">_xlfn.XLOOKUP($BC294,LRC[id],INDIRECT("LRC["&amp;BD$21&amp;"]"))</f>
        <v>5</v>
      </c>
      <c r="BE294" cm="1">
        <f t="array" aca="1" ref="BE294" ca="1">_xlfn.XLOOKUP($BC294,LRC[id],INDIRECT("LRC["&amp;BE$21&amp;"]"))</f>
        <v>1</v>
      </c>
    </row>
    <row r="295" spans="38:57" x14ac:dyDescent="0.3">
      <c r="AL295">
        <v>274</v>
      </c>
      <c r="AM295" cm="1">
        <f t="array" aca="1" ref="AM295" ca="1">_xlfn.XLOOKUP($AL295,LRC[id],INDIRECT("LRC["&amp;AM$21&amp;"]"))</f>
        <v>8</v>
      </c>
      <c r="AN295" cm="1">
        <f t="array" aca="1" ref="AN295" ca="1">_xlfn.XLOOKUP($AL295,LRC[id],INDIRECT("LRC["&amp;AN$21&amp;"]"))</f>
        <v>2</v>
      </c>
      <c r="BC295">
        <v>574</v>
      </c>
      <c r="BD295" cm="1">
        <f t="array" aca="1" ref="BD295" ca="1">_xlfn.XLOOKUP($BC295,LRC[id],INDIRECT("LRC["&amp;BD$21&amp;"]"))</f>
        <v>8</v>
      </c>
      <c r="BE295" cm="1">
        <f t="array" aca="1" ref="BE295" ca="1">_xlfn.XLOOKUP($BC295,LRC[id],INDIRECT("LRC["&amp;BE$21&amp;"]"))</f>
        <v>2</v>
      </c>
    </row>
    <row r="296" spans="38:57" x14ac:dyDescent="0.3">
      <c r="AL296">
        <v>275</v>
      </c>
      <c r="AM296" cm="1">
        <f t="array" aca="1" ref="AM296" ca="1">_xlfn.XLOOKUP($AL296,LRC[id],INDIRECT("LRC["&amp;AM$21&amp;"]"))</f>
        <v>10</v>
      </c>
      <c r="AN296" cm="1">
        <f t="array" aca="1" ref="AN296" ca="1">_xlfn.XLOOKUP($AL296,LRC[id],INDIRECT("LRC["&amp;AN$21&amp;"]"))</f>
        <v>3</v>
      </c>
      <c r="BC296">
        <v>575</v>
      </c>
      <c r="BD296" cm="1">
        <f t="array" aca="1" ref="BD296" ca="1">_xlfn.XLOOKUP($BC296,LRC[id],INDIRECT("LRC["&amp;BD$21&amp;"]"))</f>
        <v>10</v>
      </c>
      <c r="BE296" cm="1">
        <f t="array" aca="1" ref="BE296" ca="1">_xlfn.XLOOKUP($BC296,LRC[id],INDIRECT("LRC["&amp;BE$21&amp;"]"))</f>
        <v>3</v>
      </c>
    </row>
    <row r="297" spans="38:57" x14ac:dyDescent="0.3">
      <c r="AL297">
        <v>276</v>
      </c>
      <c r="AM297" cm="1">
        <f t="array" aca="1" ref="AM297" ca="1">_xlfn.XLOOKUP($AL297,LRC[id],INDIRECT("LRC["&amp;AM$21&amp;"]"))</f>
        <v>13</v>
      </c>
      <c r="AN297" cm="1">
        <f t="array" aca="1" ref="AN297" ca="1">_xlfn.XLOOKUP($AL297,LRC[id],INDIRECT("LRC["&amp;AN$21&amp;"]"))</f>
        <v>4</v>
      </c>
      <c r="BC297">
        <v>576</v>
      </c>
      <c r="BD297" cm="1">
        <f t="array" aca="1" ref="BD297" ca="1">_xlfn.XLOOKUP($BC297,LRC[id],INDIRECT("LRC["&amp;BD$21&amp;"]"))</f>
        <v>13</v>
      </c>
      <c r="BE297" cm="1">
        <f t="array" aca="1" ref="BE297" ca="1">_xlfn.XLOOKUP($BC297,LRC[id],INDIRECT("LRC["&amp;BE$21&amp;"]"))</f>
        <v>4</v>
      </c>
    </row>
    <row r="298" spans="38:57" x14ac:dyDescent="0.3">
      <c r="AL298">
        <v>277</v>
      </c>
      <c r="AM298" cm="1">
        <f t="array" aca="1" ref="AM298" ca="1">_xlfn.XLOOKUP($AL298,LRC[id],INDIRECT("LRC["&amp;AM$21&amp;"]"))</f>
        <v>5</v>
      </c>
      <c r="AN298" cm="1">
        <f t="array" aca="1" ref="AN298" ca="1">_xlfn.XLOOKUP($AL298,LRC[id],INDIRECT("LRC["&amp;AN$21&amp;"]"))</f>
        <v>1</v>
      </c>
      <c r="BC298">
        <v>577</v>
      </c>
      <c r="BD298" cm="1">
        <f t="array" aca="1" ref="BD298" ca="1">_xlfn.XLOOKUP($BC298,LRC[id],INDIRECT("LRC["&amp;BD$21&amp;"]"))</f>
        <v>5</v>
      </c>
      <c r="BE298" cm="1">
        <f t="array" aca="1" ref="BE298" ca="1">_xlfn.XLOOKUP($BC298,LRC[id],INDIRECT("LRC["&amp;BE$21&amp;"]"))</f>
        <v>1</v>
      </c>
    </row>
    <row r="299" spans="38:57" x14ac:dyDescent="0.3">
      <c r="AL299">
        <v>278</v>
      </c>
      <c r="AM299" cm="1">
        <f t="array" aca="1" ref="AM299" ca="1">_xlfn.XLOOKUP($AL299,LRC[id],INDIRECT("LRC["&amp;AM$21&amp;"]"))</f>
        <v>8</v>
      </c>
      <c r="AN299" cm="1">
        <f t="array" aca="1" ref="AN299" ca="1">_xlfn.XLOOKUP($AL299,LRC[id],INDIRECT("LRC["&amp;AN$21&amp;"]"))</f>
        <v>2</v>
      </c>
      <c r="BC299">
        <v>578</v>
      </c>
      <c r="BD299" cm="1">
        <f t="array" aca="1" ref="BD299" ca="1">_xlfn.XLOOKUP($BC299,LRC[id],INDIRECT("LRC["&amp;BD$21&amp;"]"))</f>
        <v>8</v>
      </c>
      <c r="BE299" cm="1">
        <f t="array" aca="1" ref="BE299" ca="1">_xlfn.XLOOKUP($BC299,LRC[id],INDIRECT("LRC["&amp;BE$21&amp;"]"))</f>
        <v>2</v>
      </c>
    </row>
    <row r="300" spans="38:57" x14ac:dyDescent="0.3">
      <c r="AL300">
        <v>279</v>
      </c>
      <c r="AM300" cm="1">
        <f t="array" aca="1" ref="AM300" ca="1">_xlfn.XLOOKUP($AL300,LRC[id],INDIRECT("LRC["&amp;AM$21&amp;"]"))</f>
        <v>11</v>
      </c>
      <c r="AN300" cm="1">
        <f t="array" aca="1" ref="AN300" ca="1">_xlfn.XLOOKUP($AL300,LRC[id],INDIRECT("LRC["&amp;AN$21&amp;"]"))</f>
        <v>3</v>
      </c>
      <c r="BC300">
        <v>579</v>
      </c>
      <c r="BD300" cm="1">
        <f t="array" aca="1" ref="BD300" ca="1">_xlfn.XLOOKUP($BC300,LRC[id],INDIRECT("LRC["&amp;BD$21&amp;"]"))</f>
        <v>11</v>
      </c>
      <c r="BE300" cm="1">
        <f t="array" aca="1" ref="BE300" ca="1">_xlfn.XLOOKUP($BC300,LRC[id],INDIRECT("LRC["&amp;BE$21&amp;"]"))</f>
        <v>3</v>
      </c>
    </row>
    <row r="301" spans="38:57" x14ac:dyDescent="0.3">
      <c r="AL301">
        <v>280</v>
      </c>
      <c r="AM301" cm="1">
        <f t="array" aca="1" ref="AM301" ca="1">_xlfn.XLOOKUP($AL301,LRC[id],INDIRECT("LRC["&amp;AM$21&amp;"]"))</f>
        <v>14</v>
      </c>
      <c r="AN301" cm="1">
        <f t="array" aca="1" ref="AN301" ca="1">_xlfn.XLOOKUP($AL301,LRC[id],INDIRECT("LRC["&amp;AN$21&amp;"]"))</f>
        <v>4</v>
      </c>
      <c r="BC301">
        <v>580</v>
      </c>
      <c r="BD301" cm="1">
        <f t="array" aca="1" ref="BD301" ca="1">_xlfn.XLOOKUP($BC301,LRC[id],INDIRECT("LRC["&amp;BD$21&amp;"]"))</f>
        <v>14</v>
      </c>
      <c r="BE301" cm="1">
        <f t="array" aca="1" ref="BE301" ca="1">_xlfn.XLOOKUP($BC301,LRC[id],INDIRECT("LRC["&amp;BE$21&amp;"]"))</f>
        <v>4</v>
      </c>
    </row>
    <row r="302" spans="38:57" x14ac:dyDescent="0.3">
      <c r="AL302">
        <v>281</v>
      </c>
      <c r="AM302" cm="1">
        <f t="array" aca="1" ref="AM302" ca="1">_xlfn.XLOOKUP($AL302,LRC[id],INDIRECT("LRC["&amp;AM$21&amp;"]"))</f>
        <v>1</v>
      </c>
      <c r="AN302" cm="1">
        <f t="array" aca="1" ref="AN302" ca="1">_xlfn.XLOOKUP($AL302,LRC[id],INDIRECT("LRC["&amp;AN$21&amp;"]"))</f>
        <v>1</v>
      </c>
      <c r="BC302">
        <v>581</v>
      </c>
      <c r="BD302" cm="1">
        <f t="array" aca="1" ref="BD302" ca="1">_xlfn.XLOOKUP($BC302,LRC[id],INDIRECT("LRC["&amp;BD$21&amp;"]"))</f>
        <v>1</v>
      </c>
      <c r="BE302" cm="1">
        <f t="array" aca="1" ref="BE302" ca="1">_xlfn.XLOOKUP($BC302,LRC[id],INDIRECT("LRC["&amp;BE$21&amp;"]"))</f>
        <v>1</v>
      </c>
    </row>
    <row r="303" spans="38:57" x14ac:dyDescent="0.3">
      <c r="AL303">
        <v>282</v>
      </c>
      <c r="AM303" cm="1">
        <f t="array" aca="1" ref="AM303" ca="1">_xlfn.XLOOKUP($AL303,LRC[id],INDIRECT("LRC["&amp;AM$21&amp;"]"))</f>
        <v>2</v>
      </c>
      <c r="AN303" cm="1">
        <f t="array" aca="1" ref="AN303" ca="1">_xlfn.XLOOKUP($AL303,LRC[id],INDIRECT("LRC["&amp;AN$21&amp;"]"))</f>
        <v>2</v>
      </c>
      <c r="BC303">
        <v>582</v>
      </c>
      <c r="BD303" cm="1">
        <f t="array" aca="1" ref="BD303" ca="1">_xlfn.XLOOKUP($BC303,LRC[id],INDIRECT("LRC["&amp;BD$21&amp;"]"))</f>
        <v>2</v>
      </c>
      <c r="BE303" cm="1">
        <f t="array" aca="1" ref="BE303" ca="1">_xlfn.XLOOKUP($BC303,LRC[id],INDIRECT("LRC["&amp;BE$21&amp;"]"))</f>
        <v>2</v>
      </c>
    </row>
    <row r="304" spans="38:57" x14ac:dyDescent="0.3">
      <c r="AL304">
        <v>283</v>
      </c>
      <c r="AM304" cm="1">
        <f t="array" aca="1" ref="AM304" ca="1">_xlfn.XLOOKUP($AL304,LRC[id],INDIRECT("LRC["&amp;AM$21&amp;"]"))</f>
        <v>2</v>
      </c>
      <c r="AN304" cm="1">
        <f t="array" aca="1" ref="AN304" ca="1">_xlfn.XLOOKUP($AL304,LRC[id],INDIRECT("LRC["&amp;AN$21&amp;"]"))</f>
        <v>3</v>
      </c>
      <c r="BC304">
        <v>583</v>
      </c>
      <c r="BD304" cm="1">
        <f t="array" aca="1" ref="BD304" ca="1">_xlfn.XLOOKUP($BC304,LRC[id],INDIRECT("LRC["&amp;BD$21&amp;"]"))</f>
        <v>2</v>
      </c>
      <c r="BE304" cm="1">
        <f t="array" aca="1" ref="BE304" ca="1">_xlfn.XLOOKUP($BC304,LRC[id],INDIRECT("LRC["&amp;BE$21&amp;"]"))</f>
        <v>3</v>
      </c>
    </row>
    <row r="305" spans="38:57" x14ac:dyDescent="0.3">
      <c r="AL305">
        <v>284</v>
      </c>
      <c r="AM305" cm="1">
        <f t="array" aca="1" ref="AM305" ca="1">_xlfn.XLOOKUP($AL305,LRC[id],INDIRECT("LRC["&amp;AM$21&amp;"]"))</f>
        <v>3</v>
      </c>
      <c r="AN305" cm="1">
        <f t="array" aca="1" ref="AN305" ca="1">_xlfn.XLOOKUP($AL305,LRC[id],INDIRECT("LRC["&amp;AN$21&amp;"]"))</f>
        <v>4</v>
      </c>
      <c r="BC305">
        <v>584</v>
      </c>
      <c r="BD305" cm="1">
        <f t="array" aca="1" ref="BD305" ca="1">_xlfn.XLOOKUP($BC305,LRC[id],INDIRECT("LRC["&amp;BD$21&amp;"]"))</f>
        <v>3</v>
      </c>
      <c r="BE305" cm="1">
        <f t="array" aca="1" ref="BE305" ca="1">_xlfn.XLOOKUP($BC305,LRC[id],INDIRECT("LRC["&amp;BE$21&amp;"]"))</f>
        <v>4</v>
      </c>
    </row>
    <row r="306" spans="38:57" x14ac:dyDescent="0.3">
      <c r="AL306">
        <v>285</v>
      </c>
      <c r="AM306" cm="1">
        <f t="array" aca="1" ref="AM306" ca="1">_xlfn.XLOOKUP($AL306,LRC[id],INDIRECT("LRC["&amp;AM$21&amp;"]"))</f>
        <v>2</v>
      </c>
      <c r="AN306" cm="1">
        <f t="array" aca="1" ref="AN306" ca="1">_xlfn.XLOOKUP($AL306,LRC[id],INDIRECT("LRC["&amp;AN$21&amp;"]"))</f>
        <v>1</v>
      </c>
      <c r="BC306">
        <v>585</v>
      </c>
      <c r="BD306" cm="1">
        <f t="array" aca="1" ref="BD306" ca="1">_xlfn.XLOOKUP($BC306,LRC[id],INDIRECT("LRC["&amp;BD$21&amp;"]"))</f>
        <v>2</v>
      </c>
      <c r="BE306" cm="1">
        <f t="array" aca="1" ref="BE306" ca="1">_xlfn.XLOOKUP($BC306,LRC[id],INDIRECT("LRC["&amp;BE$21&amp;"]"))</f>
        <v>1</v>
      </c>
    </row>
    <row r="307" spans="38:57" x14ac:dyDescent="0.3">
      <c r="AL307">
        <v>286</v>
      </c>
      <c r="AM307" cm="1">
        <f t="array" aca="1" ref="AM307" ca="1">_xlfn.XLOOKUP($AL307,LRC[id],INDIRECT("LRC["&amp;AM$21&amp;"]"))</f>
        <v>4</v>
      </c>
      <c r="AN307" cm="1">
        <f t="array" aca="1" ref="AN307" ca="1">_xlfn.XLOOKUP($AL307,LRC[id],INDIRECT("LRC["&amp;AN$21&amp;"]"))</f>
        <v>2</v>
      </c>
      <c r="BC307">
        <v>586</v>
      </c>
      <c r="BD307" cm="1">
        <f t="array" aca="1" ref="BD307" ca="1">_xlfn.XLOOKUP($BC307,LRC[id],INDIRECT("LRC["&amp;BD$21&amp;"]"))</f>
        <v>4</v>
      </c>
      <c r="BE307" cm="1">
        <f t="array" aca="1" ref="BE307" ca="1">_xlfn.XLOOKUP($BC307,LRC[id],INDIRECT("LRC["&amp;BE$21&amp;"]"))</f>
        <v>2</v>
      </c>
    </row>
    <row r="308" spans="38:57" x14ac:dyDescent="0.3">
      <c r="AL308">
        <v>287</v>
      </c>
      <c r="AM308" cm="1">
        <f t="array" aca="1" ref="AM308" ca="1">_xlfn.XLOOKUP($AL308,LRC[id],INDIRECT("LRC["&amp;AM$21&amp;"]"))</f>
        <v>5</v>
      </c>
      <c r="AN308" cm="1">
        <f t="array" aca="1" ref="AN308" ca="1">_xlfn.XLOOKUP($AL308,LRC[id],INDIRECT("LRC["&amp;AN$21&amp;"]"))</f>
        <v>3</v>
      </c>
      <c r="BC308">
        <v>587</v>
      </c>
      <c r="BD308" cm="1">
        <f t="array" aca="1" ref="BD308" ca="1">_xlfn.XLOOKUP($BC308,LRC[id],INDIRECT("LRC["&amp;BD$21&amp;"]"))</f>
        <v>5</v>
      </c>
      <c r="BE308" cm="1">
        <f t="array" aca="1" ref="BE308" ca="1">_xlfn.XLOOKUP($BC308,LRC[id],INDIRECT("LRC["&amp;BE$21&amp;"]"))</f>
        <v>3</v>
      </c>
    </row>
    <row r="309" spans="38:57" x14ac:dyDescent="0.3">
      <c r="AL309">
        <v>288</v>
      </c>
      <c r="AM309" cm="1">
        <f t="array" aca="1" ref="AM309" ca="1">_xlfn.XLOOKUP($AL309,LRC[id],INDIRECT("LRC["&amp;AM$21&amp;"]"))</f>
        <v>6</v>
      </c>
      <c r="AN309" cm="1">
        <f t="array" aca="1" ref="AN309" ca="1">_xlfn.XLOOKUP($AL309,LRC[id],INDIRECT("LRC["&amp;AN$21&amp;"]"))</f>
        <v>4</v>
      </c>
      <c r="BC309">
        <v>588</v>
      </c>
      <c r="BD309" cm="1">
        <f t="array" aca="1" ref="BD309" ca="1">_xlfn.XLOOKUP($BC309,LRC[id],INDIRECT("LRC["&amp;BD$21&amp;"]"))</f>
        <v>6</v>
      </c>
      <c r="BE309" cm="1">
        <f t="array" aca="1" ref="BE309" ca="1">_xlfn.XLOOKUP($BC309,LRC[id],INDIRECT("LRC["&amp;BE$21&amp;"]"))</f>
        <v>4</v>
      </c>
    </row>
    <row r="310" spans="38:57" x14ac:dyDescent="0.3">
      <c r="AL310">
        <v>289</v>
      </c>
      <c r="AM310" cm="1">
        <f t="array" aca="1" ref="AM310" ca="1">_xlfn.XLOOKUP($AL310,LRC[id],INDIRECT("LRC["&amp;AM$21&amp;"]"))</f>
        <v>3</v>
      </c>
      <c r="AN310" cm="1">
        <f t="array" aca="1" ref="AN310" ca="1">_xlfn.XLOOKUP($AL310,LRC[id],INDIRECT("LRC["&amp;AN$21&amp;"]"))</f>
        <v>1</v>
      </c>
      <c r="BC310">
        <v>589</v>
      </c>
      <c r="BD310" cm="1">
        <f t="array" aca="1" ref="BD310" ca="1">_xlfn.XLOOKUP($BC310,LRC[id],INDIRECT("LRC["&amp;BD$21&amp;"]"))</f>
        <v>3</v>
      </c>
      <c r="BE310" cm="1">
        <f t="array" aca="1" ref="BE310" ca="1">_xlfn.XLOOKUP($BC310,LRC[id],INDIRECT("LRC["&amp;BE$21&amp;"]"))</f>
        <v>1</v>
      </c>
    </row>
    <row r="311" spans="38:57" x14ac:dyDescent="0.3">
      <c r="AL311">
        <v>290</v>
      </c>
      <c r="AM311" cm="1">
        <f t="array" aca="1" ref="AM311" ca="1">_xlfn.XLOOKUP($AL311,LRC[id],INDIRECT("LRC["&amp;AM$21&amp;"]"))</f>
        <v>5</v>
      </c>
      <c r="AN311" cm="1">
        <f t="array" aca="1" ref="AN311" ca="1">_xlfn.XLOOKUP($AL311,LRC[id],INDIRECT("LRC["&amp;AN$21&amp;"]"))</f>
        <v>2</v>
      </c>
      <c r="BC311">
        <v>590</v>
      </c>
      <c r="BD311" cm="1">
        <f t="array" aca="1" ref="BD311" ca="1">_xlfn.XLOOKUP($BC311,LRC[id],INDIRECT("LRC["&amp;BD$21&amp;"]"))</f>
        <v>5</v>
      </c>
      <c r="BE311" cm="1">
        <f t="array" aca="1" ref="BE311" ca="1">_xlfn.XLOOKUP($BC311,LRC[id],INDIRECT("LRC["&amp;BE$21&amp;"]"))</f>
        <v>2</v>
      </c>
    </row>
    <row r="312" spans="38:57" x14ac:dyDescent="0.3">
      <c r="AL312">
        <v>291</v>
      </c>
      <c r="AM312" cm="1">
        <f t="array" aca="1" ref="AM312" ca="1">_xlfn.XLOOKUP($AL312,LRC[id],INDIRECT("LRC["&amp;AM$21&amp;"]"))</f>
        <v>7</v>
      </c>
      <c r="AN312" cm="1">
        <f t="array" aca="1" ref="AN312" ca="1">_xlfn.XLOOKUP($AL312,LRC[id],INDIRECT("LRC["&amp;AN$21&amp;"]"))</f>
        <v>3</v>
      </c>
      <c r="BC312">
        <v>591</v>
      </c>
      <c r="BD312" cm="1">
        <f t="array" aca="1" ref="BD312" ca="1">_xlfn.XLOOKUP($BC312,LRC[id],INDIRECT("LRC["&amp;BD$21&amp;"]"))</f>
        <v>7</v>
      </c>
      <c r="BE312" cm="1">
        <f t="array" aca="1" ref="BE312" ca="1">_xlfn.XLOOKUP($BC312,LRC[id],INDIRECT("LRC["&amp;BE$21&amp;"]"))</f>
        <v>3</v>
      </c>
    </row>
    <row r="313" spans="38:57" x14ac:dyDescent="0.3">
      <c r="AL313">
        <v>292</v>
      </c>
      <c r="AM313" cm="1">
        <f t="array" aca="1" ref="AM313" ca="1">_xlfn.XLOOKUP($AL313,LRC[id],INDIRECT("LRC["&amp;AM$21&amp;"]"))</f>
        <v>8</v>
      </c>
      <c r="AN313" cm="1">
        <f t="array" aca="1" ref="AN313" ca="1">_xlfn.XLOOKUP($AL313,LRC[id],INDIRECT("LRC["&amp;AN$21&amp;"]"))</f>
        <v>4</v>
      </c>
      <c r="BC313">
        <v>592</v>
      </c>
      <c r="BD313" cm="1">
        <f t="array" aca="1" ref="BD313" ca="1">_xlfn.XLOOKUP($BC313,LRC[id],INDIRECT("LRC["&amp;BD$21&amp;"]"))</f>
        <v>8</v>
      </c>
      <c r="BE313" cm="1">
        <f t="array" aca="1" ref="BE313" ca="1">_xlfn.XLOOKUP($BC313,LRC[id],INDIRECT("LRC["&amp;BE$21&amp;"]"))</f>
        <v>4</v>
      </c>
    </row>
    <row r="314" spans="38:57" x14ac:dyDescent="0.3">
      <c r="AL314">
        <v>293</v>
      </c>
      <c r="AM314" cm="1">
        <f t="array" aca="1" ref="AM314" ca="1">_xlfn.XLOOKUP($AL314,LRC[id],INDIRECT("LRC["&amp;AM$21&amp;"]"))</f>
        <v>4</v>
      </c>
      <c r="AN314" cm="1">
        <f t="array" aca="1" ref="AN314" ca="1">_xlfn.XLOOKUP($AL314,LRC[id],INDIRECT("LRC["&amp;AN$21&amp;"]"))</f>
        <v>1</v>
      </c>
      <c r="BC314">
        <v>593</v>
      </c>
      <c r="BD314" cm="1">
        <f t="array" aca="1" ref="BD314" ca="1">_xlfn.XLOOKUP($BC314,LRC[id],INDIRECT("LRC["&amp;BD$21&amp;"]"))</f>
        <v>4</v>
      </c>
      <c r="BE314" cm="1">
        <f t="array" aca="1" ref="BE314" ca="1">_xlfn.XLOOKUP($BC314,LRC[id],INDIRECT("LRC["&amp;BE$21&amp;"]"))</f>
        <v>1</v>
      </c>
    </row>
    <row r="315" spans="38:57" x14ac:dyDescent="0.3">
      <c r="AL315">
        <v>294</v>
      </c>
      <c r="AM315" cm="1">
        <f t="array" aca="1" ref="AM315" ca="1">_xlfn.XLOOKUP($AL315,LRC[id],INDIRECT("LRC["&amp;AM$21&amp;"]"))</f>
        <v>6</v>
      </c>
      <c r="AN315" cm="1">
        <f t="array" aca="1" ref="AN315" ca="1">_xlfn.XLOOKUP($AL315,LRC[id],INDIRECT("LRC["&amp;AN$21&amp;"]"))</f>
        <v>2</v>
      </c>
      <c r="BC315">
        <v>594</v>
      </c>
      <c r="BD315" cm="1">
        <f t="array" aca="1" ref="BD315" ca="1">_xlfn.XLOOKUP($BC315,LRC[id],INDIRECT("LRC["&amp;BD$21&amp;"]"))</f>
        <v>6</v>
      </c>
      <c r="BE315" cm="1">
        <f t="array" aca="1" ref="BE315" ca="1">_xlfn.XLOOKUP($BC315,LRC[id],INDIRECT("LRC["&amp;BE$21&amp;"]"))</f>
        <v>2</v>
      </c>
    </row>
    <row r="316" spans="38:57" x14ac:dyDescent="0.3">
      <c r="AL316">
        <v>295</v>
      </c>
      <c r="AM316" cm="1">
        <f t="array" aca="1" ref="AM316" ca="1">_xlfn.XLOOKUP($AL316,LRC[id],INDIRECT("LRC["&amp;AM$21&amp;"]"))</f>
        <v>8</v>
      </c>
      <c r="AN316" cm="1">
        <f t="array" aca="1" ref="AN316" ca="1">_xlfn.XLOOKUP($AL316,LRC[id],INDIRECT("LRC["&amp;AN$21&amp;"]"))</f>
        <v>3</v>
      </c>
      <c r="BC316">
        <v>595</v>
      </c>
      <c r="BD316" cm="1">
        <f t="array" aca="1" ref="BD316" ca="1">_xlfn.XLOOKUP($BC316,LRC[id],INDIRECT("LRC["&amp;BD$21&amp;"]"))</f>
        <v>8</v>
      </c>
      <c r="BE316" cm="1">
        <f t="array" aca="1" ref="BE316" ca="1">_xlfn.XLOOKUP($BC316,LRC[id],INDIRECT("LRC["&amp;BE$21&amp;"]"))</f>
        <v>3</v>
      </c>
    </row>
    <row r="317" spans="38:57" x14ac:dyDescent="0.3">
      <c r="AL317">
        <v>296</v>
      </c>
      <c r="AM317" cm="1">
        <f t="array" aca="1" ref="AM317" ca="1">_xlfn.XLOOKUP($AL317,LRC[id],INDIRECT("LRC["&amp;AM$21&amp;"]"))</f>
        <v>9</v>
      </c>
      <c r="AN317" cm="1">
        <f t="array" aca="1" ref="AN317" ca="1">_xlfn.XLOOKUP($AL317,LRC[id],INDIRECT("LRC["&amp;AN$21&amp;"]"))</f>
        <v>4</v>
      </c>
      <c r="BC317">
        <v>596</v>
      </c>
      <c r="BD317" cm="1">
        <f t="array" aca="1" ref="BD317" ca="1">_xlfn.XLOOKUP($BC317,LRC[id],INDIRECT("LRC["&amp;BD$21&amp;"]"))</f>
        <v>9</v>
      </c>
      <c r="BE317" cm="1">
        <f t="array" aca="1" ref="BE317" ca="1">_xlfn.XLOOKUP($BC317,LRC[id],INDIRECT("LRC["&amp;BE$21&amp;"]"))</f>
        <v>4</v>
      </c>
    </row>
    <row r="318" spans="38:57" x14ac:dyDescent="0.3">
      <c r="AL318">
        <v>297</v>
      </c>
      <c r="AM318" cm="1">
        <f t="array" aca="1" ref="AM318" ca="1">_xlfn.XLOOKUP($AL318,LRC[id],INDIRECT("LRC["&amp;AM$21&amp;"]"))</f>
        <v>4</v>
      </c>
      <c r="AN318" cm="1">
        <f t="array" aca="1" ref="AN318" ca="1">_xlfn.XLOOKUP($AL318,LRC[id],INDIRECT("LRC["&amp;AN$21&amp;"]"))</f>
        <v>1</v>
      </c>
      <c r="BC318">
        <v>597</v>
      </c>
      <c r="BD318" cm="1">
        <f t="array" aca="1" ref="BD318" ca="1">_xlfn.XLOOKUP($BC318,LRC[id],INDIRECT("LRC["&amp;BD$21&amp;"]"))</f>
        <v>4</v>
      </c>
      <c r="BE318" cm="1">
        <f t="array" aca="1" ref="BE318" ca="1">_xlfn.XLOOKUP($BC318,LRC[id],INDIRECT("LRC["&amp;BE$21&amp;"]"))</f>
        <v>1</v>
      </c>
    </row>
    <row r="319" spans="38:57" x14ac:dyDescent="0.3">
      <c r="AL319">
        <v>298</v>
      </c>
      <c r="AM319" cm="1">
        <f t="array" aca="1" ref="AM319" ca="1">_xlfn.XLOOKUP($AL319,LRC[id],INDIRECT("LRC["&amp;AM$21&amp;"]"))</f>
        <v>6</v>
      </c>
      <c r="AN319" cm="1">
        <f t="array" aca="1" ref="AN319" ca="1">_xlfn.XLOOKUP($AL319,LRC[id],INDIRECT("LRC["&amp;AN$21&amp;"]"))</f>
        <v>2</v>
      </c>
      <c r="BC319">
        <v>598</v>
      </c>
      <c r="BD319" cm="1">
        <f t="array" aca="1" ref="BD319" ca="1">_xlfn.XLOOKUP($BC319,LRC[id],INDIRECT("LRC["&amp;BD$21&amp;"]"))</f>
        <v>6</v>
      </c>
      <c r="BE319" cm="1">
        <f t="array" aca="1" ref="BE319" ca="1">_xlfn.XLOOKUP($BC319,LRC[id],INDIRECT("LRC["&amp;BE$21&amp;"]"))</f>
        <v>2</v>
      </c>
    </row>
    <row r="320" spans="38:57" x14ac:dyDescent="0.3">
      <c r="AL320">
        <v>299</v>
      </c>
      <c r="AM320" cm="1">
        <f t="array" aca="1" ref="AM320" ca="1">_xlfn.XLOOKUP($AL320,LRC[id],INDIRECT("LRC["&amp;AM$21&amp;"]"))</f>
        <v>8</v>
      </c>
      <c r="AN320" cm="1">
        <f t="array" aca="1" ref="AN320" ca="1">_xlfn.XLOOKUP($AL320,LRC[id],INDIRECT("LRC["&amp;AN$21&amp;"]"))</f>
        <v>3</v>
      </c>
      <c r="BC320">
        <v>599</v>
      </c>
      <c r="BD320" cm="1">
        <f t="array" aca="1" ref="BD320" ca="1">_xlfn.XLOOKUP($BC320,LRC[id],INDIRECT("LRC["&amp;BD$21&amp;"]"))</f>
        <v>8</v>
      </c>
      <c r="BE320" cm="1">
        <f t="array" aca="1" ref="BE320" ca="1">_xlfn.XLOOKUP($BC320,LRC[id],INDIRECT("LRC["&amp;BE$21&amp;"]"))</f>
        <v>3</v>
      </c>
    </row>
    <row r="321" spans="38:57" x14ac:dyDescent="0.3">
      <c r="AL321">
        <v>300</v>
      </c>
      <c r="AM321" cm="1">
        <f t="array" aca="1" ref="AM321" ca="1">_xlfn.XLOOKUP($AL321,LRC[id],INDIRECT("LRC["&amp;AM$21&amp;"]"))</f>
        <v>10</v>
      </c>
      <c r="AN321" cm="1">
        <f t="array" aca="1" ref="AN321" ca="1">_xlfn.XLOOKUP($AL321,LRC[id],INDIRECT("LRC["&amp;AN$21&amp;"]"))</f>
        <v>4</v>
      </c>
      <c r="BC321">
        <v>600</v>
      </c>
      <c r="BD321" cm="1">
        <f t="array" aca="1" ref="BD321" ca="1">_xlfn.XLOOKUP($BC321,LRC[id],INDIRECT("LRC["&amp;BD$21&amp;"]"))</f>
        <v>10</v>
      </c>
      <c r="BE321" cm="1">
        <f t="array" aca="1" ref="BE321" ca="1">_xlfn.XLOOKUP($BC321,LRC[id],INDIRECT("LRC["&amp;BE$21&amp;"]"))</f>
        <v>4</v>
      </c>
    </row>
    <row r="322" spans="38:57" x14ac:dyDescent="0.3">
      <c r="AL322">
        <v>731</v>
      </c>
    </row>
  </sheetData>
  <mergeCells count="1">
    <mergeCell ref="D20:F20"/>
  </mergeCells>
  <dataValidations count="5">
    <dataValidation type="list" allowBlank="1" showInputMessage="1" showErrorMessage="1" sqref="D20:F20" xr:uid="{618489B6-BFAB-4685-BB12-C64D2EE60ACA}">
      <formula1>$C$5:$C$8</formula1>
    </dataValidation>
    <dataValidation type="list" allowBlank="1" showInputMessage="1" showErrorMessage="1" sqref="D21" xr:uid="{A61870E2-9815-46C5-9A3A-9F9CBEC6705D}">
      <formula1>$J$19:$J$54</formula1>
    </dataValidation>
    <dataValidation type="list" allowBlank="1" showInputMessage="1" showErrorMessage="1" sqref="D22" xr:uid="{764FF92A-BD44-4DE4-87F8-6E9B4035CB43}">
      <formula1>$K$19:$K$24</formula1>
    </dataValidation>
    <dataValidation type="list" allowBlank="1" showInputMessage="1" showErrorMessage="1" sqref="D23" xr:uid="{DAED82DB-CFCF-423E-917C-EA8BDB13432B}">
      <formula1>$L$19:$L$24</formula1>
    </dataValidation>
    <dataValidation type="list" allowBlank="1" showInputMessage="1" showErrorMessage="1" sqref="D24" xr:uid="{645A463B-E8E9-4E54-A8DD-C1400EC3357C}">
      <formula1>$M$19:$M$22</formula1>
    </dataValidation>
  </dataValidations>
  <pageMargins left="0.7" right="0.7" top="0.75" bottom="0.75" header="0.3" footer="0.3"/>
  <pageSetup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ADAD038-FCBC-4ADA-A56F-A5CAF9427DDB}">
          <x14:formula1>
            <xm:f>Variables!$E$3:$E$45</xm:f>
          </x14:formula1>
          <xm:sqref>J12:J15 AM21:AN21 BD21:BE21 AU21:AV21</xm:sqref>
        </x14:dataValidation>
        <x14:dataValidation type="list" allowBlank="1" showInputMessage="1" showErrorMessage="1" xr:uid="{26D8EB25-EE62-495E-BC12-9DD7E38CB34F}">
          <x14:formula1>
            <xm:f>Variables!#REF!</xm:f>
          </x14:formula1>
          <xm:sqref>A3</xm:sqref>
        </x14:dataValidation>
        <x14:dataValidation type="list" allowBlank="1" showInputMessage="1" showErrorMessage="1" xr:uid="{2E36154E-30F0-456F-8F01-D115CC881DF5}">
          <x14:formula1>
            <xm:f>Variables!$B$3:$B$92</xm:f>
          </x14:formula1>
          <xm:sqref>AQ21:AR21 BH21:BI21 AY21:AZ21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73345-BF54-4946-9C55-ED64E1D06ED1}">
  <sheetPr codeName="Sheet10"/>
  <dimension ref="A1:E302"/>
  <sheetViews>
    <sheetView zoomScale="85" zoomScaleNormal="85" workbookViewId="0">
      <selection activeCell="S34" sqref="S34"/>
    </sheetView>
  </sheetViews>
  <sheetFormatPr defaultRowHeight="14.4" x14ac:dyDescent="0.3"/>
  <cols>
    <col min="2" max="2" width="14.44140625" customWidth="1"/>
    <col min="5" max="5" width="10.88671875" customWidth="1"/>
  </cols>
  <sheetData>
    <row r="1" spans="1:5" x14ac:dyDescent="0.3">
      <c r="A1" s="6" t="s">
        <v>1093</v>
      </c>
    </row>
    <row r="2" spans="1:5" x14ac:dyDescent="0.3">
      <c r="A2" t="s">
        <v>400</v>
      </c>
      <c r="B2" s="4" t="s">
        <v>1094</v>
      </c>
      <c r="C2" s="4" t="s">
        <v>404</v>
      </c>
      <c r="D2" s="4" t="s">
        <v>983</v>
      </c>
      <c r="E2" s="4" t="s">
        <v>1095</v>
      </c>
    </row>
    <row r="3" spans="1:5" x14ac:dyDescent="0.3">
      <c r="A3">
        <v>7</v>
      </c>
      <c r="B3">
        <v>5</v>
      </c>
      <c r="C3">
        <v>0.2</v>
      </c>
      <c r="D3">
        <v>1</v>
      </c>
      <c r="E3">
        <v>4</v>
      </c>
    </row>
    <row r="4" spans="1:5" x14ac:dyDescent="0.3">
      <c r="A4">
        <v>7</v>
      </c>
      <c r="B4">
        <v>5</v>
      </c>
      <c r="C4">
        <v>0.2</v>
      </c>
      <c r="D4">
        <v>2</v>
      </c>
      <c r="E4">
        <v>5</v>
      </c>
    </row>
    <row r="5" spans="1:5" x14ac:dyDescent="0.3">
      <c r="A5">
        <v>7</v>
      </c>
      <c r="B5">
        <v>5</v>
      </c>
      <c r="C5">
        <v>0.2</v>
      </c>
      <c r="D5">
        <v>3</v>
      </c>
      <c r="E5">
        <v>7</v>
      </c>
    </row>
    <row r="6" spans="1:5" x14ac:dyDescent="0.3">
      <c r="A6">
        <v>7</v>
      </c>
      <c r="B6">
        <v>5</v>
      </c>
      <c r="C6">
        <v>0.2</v>
      </c>
      <c r="D6">
        <v>4</v>
      </c>
      <c r="E6">
        <v>8</v>
      </c>
    </row>
    <row r="7" spans="1:5" x14ac:dyDescent="0.3">
      <c r="A7">
        <v>7.5</v>
      </c>
      <c r="B7">
        <v>5</v>
      </c>
      <c r="C7">
        <v>0.2</v>
      </c>
      <c r="D7">
        <v>1</v>
      </c>
      <c r="E7">
        <v>7</v>
      </c>
    </row>
    <row r="8" spans="1:5" x14ac:dyDescent="0.3">
      <c r="A8">
        <v>7.5</v>
      </c>
      <c r="B8">
        <v>5</v>
      </c>
      <c r="C8">
        <v>0.2</v>
      </c>
      <c r="D8">
        <v>2</v>
      </c>
      <c r="E8">
        <v>10</v>
      </c>
    </row>
    <row r="9" spans="1:5" x14ac:dyDescent="0.3">
      <c r="A9">
        <v>7.5</v>
      </c>
      <c r="B9">
        <v>5</v>
      </c>
      <c r="C9">
        <v>0.2</v>
      </c>
      <c r="D9">
        <v>3</v>
      </c>
      <c r="E9">
        <v>13</v>
      </c>
    </row>
    <row r="10" spans="1:5" x14ac:dyDescent="0.3">
      <c r="A10">
        <v>7.5</v>
      </c>
      <c r="B10">
        <v>5</v>
      </c>
      <c r="C10">
        <v>0.2</v>
      </c>
      <c r="D10">
        <v>4</v>
      </c>
      <c r="E10">
        <v>16</v>
      </c>
    </row>
    <row r="11" spans="1:5" x14ac:dyDescent="0.3">
      <c r="A11">
        <v>8</v>
      </c>
      <c r="B11">
        <v>5</v>
      </c>
      <c r="C11">
        <v>0.2</v>
      </c>
      <c r="D11">
        <v>1</v>
      </c>
      <c r="E11">
        <v>9</v>
      </c>
    </row>
    <row r="12" spans="1:5" x14ac:dyDescent="0.3">
      <c r="A12">
        <v>8</v>
      </c>
      <c r="B12">
        <v>5</v>
      </c>
      <c r="C12">
        <v>0.2</v>
      </c>
      <c r="D12">
        <v>2</v>
      </c>
      <c r="E12">
        <v>14</v>
      </c>
    </row>
    <row r="13" spans="1:5" x14ac:dyDescent="0.3">
      <c r="A13">
        <v>8</v>
      </c>
      <c r="B13">
        <v>5</v>
      </c>
      <c r="C13">
        <v>0.2</v>
      </c>
      <c r="D13">
        <v>3</v>
      </c>
      <c r="E13">
        <v>18</v>
      </c>
    </row>
    <row r="14" spans="1:5" x14ac:dyDescent="0.3">
      <c r="A14">
        <v>8</v>
      </c>
      <c r="B14">
        <v>5</v>
      </c>
      <c r="C14">
        <v>0.2</v>
      </c>
      <c r="D14">
        <v>4</v>
      </c>
      <c r="E14">
        <v>23</v>
      </c>
    </row>
    <row r="15" spans="1:5" x14ac:dyDescent="0.3">
      <c r="A15">
        <v>8.5</v>
      </c>
      <c r="B15">
        <v>5</v>
      </c>
      <c r="C15">
        <v>0.2</v>
      </c>
      <c r="D15">
        <v>1</v>
      </c>
      <c r="E15">
        <v>11</v>
      </c>
    </row>
    <row r="16" spans="1:5" x14ac:dyDescent="0.3">
      <c r="A16">
        <v>8.5</v>
      </c>
      <c r="B16">
        <v>5</v>
      </c>
      <c r="C16">
        <v>0.2</v>
      </c>
      <c r="D16">
        <v>2</v>
      </c>
      <c r="E16">
        <v>17</v>
      </c>
    </row>
    <row r="17" spans="1:5" x14ac:dyDescent="0.3">
      <c r="A17">
        <v>8.5</v>
      </c>
      <c r="B17">
        <v>5</v>
      </c>
      <c r="C17">
        <v>0.2</v>
      </c>
      <c r="D17">
        <v>3</v>
      </c>
      <c r="E17">
        <v>23</v>
      </c>
    </row>
    <row r="18" spans="1:5" x14ac:dyDescent="0.3">
      <c r="A18">
        <v>8.5</v>
      </c>
      <c r="B18">
        <v>5</v>
      </c>
      <c r="C18">
        <v>0.2</v>
      </c>
      <c r="D18">
        <v>4</v>
      </c>
      <c r="E18">
        <v>29</v>
      </c>
    </row>
    <row r="19" spans="1:5" x14ac:dyDescent="0.3">
      <c r="A19">
        <v>9</v>
      </c>
      <c r="B19">
        <v>5</v>
      </c>
      <c r="C19">
        <v>0.2</v>
      </c>
      <c r="D19">
        <v>1</v>
      </c>
      <c r="E19">
        <v>13</v>
      </c>
    </row>
    <row r="20" spans="1:5" x14ac:dyDescent="0.3">
      <c r="A20">
        <v>9</v>
      </c>
      <c r="B20">
        <v>5</v>
      </c>
      <c r="C20">
        <v>0.2</v>
      </c>
      <c r="D20">
        <v>2</v>
      </c>
      <c r="E20">
        <v>20</v>
      </c>
    </row>
    <row r="21" spans="1:5" x14ac:dyDescent="0.3">
      <c r="A21">
        <v>9</v>
      </c>
      <c r="B21">
        <v>5</v>
      </c>
      <c r="C21">
        <v>0.2</v>
      </c>
      <c r="D21">
        <v>3</v>
      </c>
      <c r="E21">
        <v>28</v>
      </c>
    </row>
    <row r="22" spans="1:5" x14ac:dyDescent="0.3">
      <c r="A22">
        <v>9</v>
      </c>
      <c r="B22">
        <v>5</v>
      </c>
      <c r="C22">
        <v>0.2</v>
      </c>
      <c r="D22">
        <v>4</v>
      </c>
      <c r="E22">
        <v>35</v>
      </c>
    </row>
    <row r="23" spans="1:5" x14ac:dyDescent="0.3">
      <c r="A23">
        <v>7</v>
      </c>
      <c r="B23">
        <v>10</v>
      </c>
      <c r="C23">
        <v>0.2</v>
      </c>
      <c r="D23">
        <v>1</v>
      </c>
      <c r="E23">
        <v>3</v>
      </c>
    </row>
    <row r="24" spans="1:5" x14ac:dyDescent="0.3">
      <c r="A24">
        <v>7</v>
      </c>
      <c r="B24">
        <v>10</v>
      </c>
      <c r="C24">
        <v>0.2</v>
      </c>
      <c r="D24">
        <v>2</v>
      </c>
      <c r="E24">
        <v>4</v>
      </c>
    </row>
    <row r="25" spans="1:5" x14ac:dyDescent="0.3">
      <c r="A25">
        <v>7</v>
      </c>
      <c r="B25">
        <v>10</v>
      </c>
      <c r="C25">
        <v>0.2</v>
      </c>
      <c r="D25">
        <v>3</v>
      </c>
      <c r="E25">
        <v>5</v>
      </c>
    </row>
    <row r="26" spans="1:5" x14ac:dyDescent="0.3">
      <c r="A26">
        <v>7</v>
      </c>
      <c r="B26">
        <v>10</v>
      </c>
      <c r="C26">
        <v>0.2</v>
      </c>
      <c r="D26">
        <v>4</v>
      </c>
      <c r="E26">
        <v>6</v>
      </c>
    </row>
    <row r="27" spans="1:5" x14ac:dyDescent="0.3">
      <c r="A27">
        <v>7.5</v>
      </c>
      <c r="B27">
        <v>10</v>
      </c>
      <c r="C27">
        <v>0.2</v>
      </c>
      <c r="D27">
        <v>1</v>
      </c>
      <c r="E27">
        <v>5</v>
      </c>
    </row>
    <row r="28" spans="1:5" x14ac:dyDescent="0.3">
      <c r="A28">
        <v>7.5</v>
      </c>
      <c r="B28">
        <v>10</v>
      </c>
      <c r="C28">
        <v>0.2</v>
      </c>
      <c r="D28">
        <v>2</v>
      </c>
      <c r="E28">
        <v>7</v>
      </c>
    </row>
    <row r="29" spans="1:5" x14ac:dyDescent="0.3">
      <c r="A29">
        <v>7.5</v>
      </c>
      <c r="B29">
        <v>10</v>
      </c>
      <c r="C29">
        <v>0.2</v>
      </c>
      <c r="D29">
        <v>3</v>
      </c>
      <c r="E29">
        <v>9</v>
      </c>
    </row>
    <row r="30" spans="1:5" x14ac:dyDescent="0.3">
      <c r="A30">
        <v>7.5</v>
      </c>
      <c r="B30">
        <v>10</v>
      </c>
      <c r="C30">
        <v>0.2</v>
      </c>
      <c r="D30">
        <v>4</v>
      </c>
      <c r="E30">
        <v>11</v>
      </c>
    </row>
    <row r="31" spans="1:5" x14ac:dyDescent="0.3">
      <c r="A31">
        <v>8</v>
      </c>
      <c r="B31">
        <v>10</v>
      </c>
      <c r="C31">
        <v>0.2</v>
      </c>
      <c r="D31">
        <v>1</v>
      </c>
      <c r="E31">
        <v>7</v>
      </c>
    </row>
    <row r="32" spans="1:5" s="24" customFormat="1" x14ac:dyDescent="0.3">
      <c r="A32">
        <v>8</v>
      </c>
      <c r="B32">
        <v>10</v>
      </c>
      <c r="C32">
        <v>0.2</v>
      </c>
      <c r="D32">
        <v>2</v>
      </c>
      <c r="E32">
        <v>10</v>
      </c>
    </row>
    <row r="33" spans="1:5" x14ac:dyDescent="0.3">
      <c r="A33">
        <v>8</v>
      </c>
      <c r="B33">
        <v>10</v>
      </c>
      <c r="C33">
        <v>0.2</v>
      </c>
      <c r="D33">
        <v>3</v>
      </c>
      <c r="E33">
        <v>13</v>
      </c>
    </row>
    <row r="34" spans="1:5" x14ac:dyDescent="0.3">
      <c r="A34">
        <v>8</v>
      </c>
      <c r="B34">
        <v>10</v>
      </c>
      <c r="C34">
        <v>0.2</v>
      </c>
      <c r="D34">
        <v>4</v>
      </c>
      <c r="E34">
        <v>16</v>
      </c>
    </row>
    <row r="35" spans="1:5" x14ac:dyDescent="0.3">
      <c r="A35">
        <v>8.5</v>
      </c>
      <c r="B35">
        <v>10</v>
      </c>
      <c r="C35">
        <v>0.2</v>
      </c>
      <c r="D35">
        <v>1</v>
      </c>
      <c r="E35">
        <v>8</v>
      </c>
    </row>
    <row r="36" spans="1:5" x14ac:dyDescent="0.3">
      <c r="A36">
        <v>8.5</v>
      </c>
      <c r="B36">
        <v>10</v>
      </c>
      <c r="C36">
        <v>0.2</v>
      </c>
      <c r="D36">
        <v>2</v>
      </c>
      <c r="E36">
        <v>12</v>
      </c>
    </row>
    <row r="37" spans="1:5" x14ac:dyDescent="0.3">
      <c r="A37">
        <v>8.5</v>
      </c>
      <c r="B37">
        <v>10</v>
      </c>
      <c r="C37">
        <v>0.2</v>
      </c>
      <c r="D37">
        <v>3</v>
      </c>
      <c r="E37">
        <v>16</v>
      </c>
    </row>
    <row r="38" spans="1:5" x14ac:dyDescent="0.3">
      <c r="A38">
        <v>8.5</v>
      </c>
      <c r="B38">
        <v>10</v>
      </c>
      <c r="C38">
        <v>0.2</v>
      </c>
      <c r="D38">
        <v>4</v>
      </c>
      <c r="E38">
        <v>21</v>
      </c>
    </row>
    <row r="39" spans="1:5" x14ac:dyDescent="0.3">
      <c r="A39">
        <v>9</v>
      </c>
      <c r="B39">
        <v>10</v>
      </c>
      <c r="C39">
        <v>0.2</v>
      </c>
      <c r="D39">
        <v>1</v>
      </c>
      <c r="E39">
        <v>9</v>
      </c>
    </row>
    <row r="40" spans="1:5" x14ac:dyDescent="0.3">
      <c r="A40">
        <v>9</v>
      </c>
      <c r="B40">
        <v>10</v>
      </c>
      <c r="C40">
        <v>0.2</v>
      </c>
      <c r="D40">
        <v>2</v>
      </c>
      <c r="E40">
        <v>14</v>
      </c>
    </row>
    <row r="41" spans="1:5" x14ac:dyDescent="0.3">
      <c r="A41">
        <v>9</v>
      </c>
      <c r="B41">
        <v>10</v>
      </c>
      <c r="C41">
        <v>0.2</v>
      </c>
      <c r="D41">
        <v>3</v>
      </c>
      <c r="E41">
        <v>19</v>
      </c>
    </row>
    <row r="42" spans="1:5" x14ac:dyDescent="0.3">
      <c r="A42">
        <v>9</v>
      </c>
      <c r="B42">
        <v>10</v>
      </c>
      <c r="C42">
        <v>0.2</v>
      </c>
      <c r="D42">
        <v>4</v>
      </c>
      <c r="E42">
        <v>25</v>
      </c>
    </row>
    <row r="43" spans="1:5" x14ac:dyDescent="0.3">
      <c r="A43">
        <v>7</v>
      </c>
      <c r="B43">
        <v>15</v>
      </c>
      <c r="C43">
        <v>0.2</v>
      </c>
      <c r="D43">
        <v>1</v>
      </c>
      <c r="E43">
        <v>2</v>
      </c>
    </row>
    <row r="44" spans="1:5" x14ac:dyDescent="0.3">
      <c r="A44">
        <v>7</v>
      </c>
      <c r="B44">
        <v>15</v>
      </c>
      <c r="C44">
        <v>0.2</v>
      </c>
      <c r="D44">
        <v>2</v>
      </c>
      <c r="E44">
        <v>3</v>
      </c>
    </row>
    <row r="45" spans="1:5" x14ac:dyDescent="0.3">
      <c r="A45">
        <v>7</v>
      </c>
      <c r="B45">
        <v>15</v>
      </c>
      <c r="C45">
        <v>0.2</v>
      </c>
      <c r="D45">
        <v>3</v>
      </c>
      <c r="E45">
        <v>4</v>
      </c>
    </row>
    <row r="46" spans="1:5" x14ac:dyDescent="0.3">
      <c r="A46">
        <v>7</v>
      </c>
      <c r="B46">
        <v>15</v>
      </c>
      <c r="C46">
        <v>0.2</v>
      </c>
      <c r="D46">
        <v>4</v>
      </c>
      <c r="E46">
        <v>4</v>
      </c>
    </row>
    <row r="47" spans="1:5" x14ac:dyDescent="0.3">
      <c r="A47">
        <v>7.5</v>
      </c>
      <c r="B47">
        <v>15</v>
      </c>
      <c r="C47">
        <v>0.2</v>
      </c>
      <c r="D47">
        <v>1</v>
      </c>
      <c r="E47">
        <v>4</v>
      </c>
    </row>
    <row r="48" spans="1:5" x14ac:dyDescent="0.3">
      <c r="A48">
        <v>7.5</v>
      </c>
      <c r="B48">
        <v>15</v>
      </c>
      <c r="C48">
        <v>0.2</v>
      </c>
      <c r="D48">
        <v>2</v>
      </c>
      <c r="E48">
        <v>5</v>
      </c>
    </row>
    <row r="49" spans="1:5" x14ac:dyDescent="0.3">
      <c r="A49">
        <v>7.5</v>
      </c>
      <c r="B49">
        <v>15</v>
      </c>
      <c r="C49">
        <v>0.2</v>
      </c>
      <c r="D49">
        <v>3</v>
      </c>
      <c r="E49">
        <v>7</v>
      </c>
    </row>
    <row r="50" spans="1:5" x14ac:dyDescent="0.3">
      <c r="A50">
        <v>7.5</v>
      </c>
      <c r="B50">
        <v>15</v>
      </c>
      <c r="C50">
        <v>0.2</v>
      </c>
      <c r="D50">
        <v>4</v>
      </c>
      <c r="E50">
        <v>8</v>
      </c>
    </row>
    <row r="51" spans="1:5" x14ac:dyDescent="0.3">
      <c r="A51">
        <v>8</v>
      </c>
      <c r="B51">
        <v>15</v>
      </c>
      <c r="C51">
        <v>0.2</v>
      </c>
      <c r="D51">
        <v>1</v>
      </c>
      <c r="E51">
        <v>5</v>
      </c>
    </row>
    <row r="52" spans="1:5" x14ac:dyDescent="0.3">
      <c r="A52">
        <v>8</v>
      </c>
      <c r="B52">
        <v>15</v>
      </c>
      <c r="C52">
        <v>0.2</v>
      </c>
      <c r="D52">
        <v>2</v>
      </c>
      <c r="E52">
        <v>7</v>
      </c>
    </row>
    <row r="53" spans="1:5" x14ac:dyDescent="0.3">
      <c r="A53">
        <v>8</v>
      </c>
      <c r="B53">
        <v>15</v>
      </c>
      <c r="C53">
        <v>0.2</v>
      </c>
      <c r="D53">
        <v>3</v>
      </c>
      <c r="E53">
        <v>9</v>
      </c>
    </row>
    <row r="54" spans="1:5" x14ac:dyDescent="0.3">
      <c r="A54">
        <v>8</v>
      </c>
      <c r="B54">
        <v>15</v>
      </c>
      <c r="C54">
        <v>0.2</v>
      </c>
      <c r="D54">
        <v>4</v>
      </c>
      <c r="E54">
        <v>12</v>
      </c>
    </row>
    <row r="55" spans="1:5" x14ac:dyDescent="0.3">
      <c r="A55">
        <v>8.5</v>
      </c>
      <c r="B55">
        <v>15</v>
      </c>
      <c r="C55">
        <v>0.2</v>
      </c>
      <c r="D55">
        <v>1</v>
      </c>
      <c r="E55">
        <v>6</v>
      </c>
    </row>
    <row r="56" spans="1:5" x14ac:dyDescent="0.3">
      <c r="A56">
        <v>8.5</v>
      </c>
      <c r="B56">
        <v>15</v>
      </c>
      <c r="C56">
        <v>0.2</v>
      </c>
      <c r="D56">
        <v>2</v>
      </c>
      <c r="E56">
        <v>9</v>
      </c>
    </row>
    <row r="57" spans="1:5" x14ac:dyDescent="0.3">
      <c r="A57">
        <v>8.5</v>
      </c>
      <c r="B57">
        <v>15</v>
      </c>
      <c r="C57">
        <v>0.2</v>
      </c>
      <c r="D57">
        <v>3</v>
      </c>
      <c r="E57">
        <v>12</v>
      </c>
    </row>
    <row r="58" spans="1:5" x14ac:dyDescent="0.3">
      <c r="A58">
        <v>8.5</v>
      </c>
      <c r="B58">
        <v>15</v>
      </c>
      <c r="C58">
        <v>0.2</v>
      </c>
      <c r="D58">
        <v>4</v>
      </c>
      <c r="E58">
        <v>15</v>
      </c>
    </row>
    <row r="59" spans="1:5" x14ac:dyDescent="0.3">
      <c r="A59">
        <v>9</v>
      </c>
      <c r="B59">
        <v>15</v>
      </c>
      <c r="C59">
        <v>0.2</v>
      </c>
      <c r="D59">
        <v>1</v>
      </c>
      <c r="E59">
        <v>6</v>
      </c>
    </row>
    <row r="60" spans="1:5" x14ac:dyDescent="0.3">
      <c r="A60">
        <v>9</v>
      </c>
      <c r="B60">
        <v>15</v>
      </c>
      <c r="C60">
        <v>0.2</v>
      </c>
      <c r="D60">
        <v>2</v>
      </c>
      <c r="E60">
        <v>10</v>
      </c>
    </row>
    <row r="61" spans="1:5" x14ac:dyDescent="0.3">
      <c r="A61">
        <v>9</v>
      </c>
      <c r="B61">
        <v>15</v>
      </c>
      <c r="C61">
        <v>0.2</v>
      </c>
      <c r="D61">
        <v>3</v>
      </c>
      <c r="E61">
        <v>14</v>
      </c>
    </row>
    <row r="62" spans="1:5" x14ac:dyDescent="0.3">
      <c r="A62">
        <v>9</v>
      </c>
      <c r="B62">
        <v>15</v>
      </c>
      <c r="C62">
        <v>0.2</v>
      </c>
      <c r="D62">
        <v>4</v>
      </c>
      <c r="E62">
        <v>17</v>
      </c>
    </row>
    <row r="63" spans="1:5" x14ac:dyDescent="0.3">
      <c r="A63">
        <v>7</v>
      </c>
      <c r="B63">
        <v>20</v>
      </c>
      <c r="C63">
        <v>0.2</v>
      </c>
      <c r="D63">
        <v>1</v>
      </c>
      <c r="E63">
        <v>2</v>
      </c>
    </row>
    <row r="64" spans="1:5" x14ac:dyDescent="0.3">
      <c r="A64">
        <v>7</v>
      </c>
      <c r="B64">
        <v>20</v>
      </c>
      <c r="C64">
        <v>0.2</v>
      </c>
      <c r="D64">
        <v>2</v>
      </c>
      <c r="E64">
        <v>2</v>
      </c>
    </row>
    <row r="65" spans="1:5" x14ac:dyDescent="0.3">
      <c r="A65">
        <v>7</v>
      </c>
      <c r="B65">
        <v>20</v>
      </c>
      <c r="C65">
        <v>0.2</v>
      </c>
      <c r="D65">
        <v>3</v>
      </c>
      <c r="E65">
        <v>3</v>
      </c>
    </row>
    <row r="66" spans="1:5" x14ac:dyDescent="0.3">
      <c r="A66">
        <v>7</v>
      </c>
      <c r="B66">
        <v>20</v>
      </c>
      <c r="C66">
        <v>0.2</v>
      </c>
      <c r="D66">
        <v>4</v>
      </c>
      <c r="E66">
        <v>3</v>
      </c>
    </row>
    <row r="67" spans="1:5" x14ac:dyDescent="0.3">
      <c r="A67">
        <v>7.5</v>
      </c>
      <c r="B67">
        <v>20</v>
      </c>
      <c r="C67">
        <v>0.2</v>
      </c>
      <c r="D67">
        <v>1</v>
      </c>
      <c r="E67">
        <v>3</v>
      </c>
    </row>
    <row r="68" spans="1:5" x14ac:dyDescent="0.3">
      <c r="A68">
        <v>7.5</v>
      </c>
      <c r="B68">
        <v>20</v>
      </c>
      <c r="C68">
        <v>0.2</v>
      </c>
      <c r="D68">
        <v>2</v>
      </c>
      <c r="E68">
        <v>4</v>
      </c>
    </row>
    <row r="69" spans="1:5" x14ac:dyDescent="0.3">
      <c r="A69">
        <v>7.5</v>
      </c>
      <c r="B69">
        <v>20</v>
      </c>
      <c r="C69">
        <v>0.2</v>
      </c>
      <c r="D69">
        <v>3</v>
      </c>
      <c r="E69">
        <v>5</v>
      </c>
    </row>
    <row r="70" spans="1:5" x14ac:dyDescent="0.3">
      <c r="A70">
        <v>7.5</v>
      </c>
      <c r="B70">
        <v>20</v>
      </c>
      <c r="C70">
        <v>0.2</v>
      </c>
      <c r="D70">
        <v>4</v>
      </c>
      <c r="E70">
        <v>6</v>
      </c>
    </row>
    <row r="71" spans="1:5" x14ac:dyDescent="0.3">
      <c r="A71">
        <v>8</v>
      </c>
      <c r="B71">
        <v>20</v>
      </c>
      <c r="C71">
        <v>0.2</v>
      </c>
      <c r="D71">
        <v>1</v>
      </c>
      <c r="E71">
        <v>3</v>
      </c>
    </row>
    <row r="72" spans="1:5" x14ac:dyDescent="0.3">
      <c r="A72">
        <v>8</v>
      </c>
      <c r="B72">
        <v>20</v>
      </c>
      <c r="C72">
        <v>0.2</v>
      </c>
      <c r="D72">
        <v>2</v>
      </c>
      <c r="E72">
        <v>5</v>
      </c>
    </row>
    <row r="73" spans="1:5" x14ac:dyDescent="0.3">
      <c r="A73">
        <v>8</v>
      </c>
      <c r="B73">
        <v>20</v>
      </c>
      <c r="C73">
        <v>0.2</v>
      </c>
      <c r="D73">
        <v>3</v>
      </c>
      <c r="E73">
        <v>7</v>
      </c>
    </row>
    <row r="74" spans="1:5" x14ac:dyDescent="0.3">
      <c r="A74">
        <v>8</v>
      </c>
      <c r="B74">
        <v>20</v>
      </c>
      <c r="C74">
        <v>0.2</v>
      </c>
      <c r="D74">
        <v>4</v>
      </c>
      <c r="E74">
        <v>8</v>
      </c>
    </row>
    <row r="75" spans="1:5" x14ac:dyDescent="0.3">
      <c r="A75">
        <v>8.5</v>
      </c>
      <c r="B75">
        <v>20</v>
      </c>
      <c r="C75">
        <v>0.2</v>
      </c>
      <c r="D75">
        <v>1</v>
      </c>
      <c r="E75">
        <v>4</v>
      </c>
    </row>
    <row r="76" spans="1:5" x14ac:dyDescent="0.3">
      <c r="A76">
        <v>8.5</v>
      </c>
      <c r="B76">
        <v>20</v>
      </c>
      <c r="C76">
        <v>0.2</v>
      </c>
      <c r="D76">
        <v>2</v>
      </c>
      <c r="E76">
        <v>6</v>
      </c>
    </row>
    <row r="77" spans="1:5" x14ac:dyDescent="0.3">
      <c r="A77">
        <v>8.5</v>
      </c>
      <c r="B77">
        <v>20</v>
      </c>
      <c r="C77">
        <v>0.2</v>
      </c>
      <c r="D77">
        <v>3</v>
      </c>
      <c r="E77">
        <v>9</v>
      </c>
    </row>
    <row r="78" spans="1:5" x14ac:dyDescent="0.3">
      <c r="A78">
        <v>8.5</v>
      </c>
      <c r="B78">
        <v>20</v>
      </c>
      <c r="C78">
        <v>0.2</v>
      </c>
      <c r="D78">
        <v>4</v>
      </c>
      <c r="E78">
        <v>10</v>
      </c>
    </row>
    <row r="79" spans="1:5" x14ac:dyDescent="0.3">
      <c r="A79">
        <v>9</v>
      </c>
      <c r="B79">
        <v>20</v>
      </c>
      <c r="C79">
        <v>0.2</v>
      </c>
      <c r="D79">
        <v>1</v>
      </c>
      <c r="E79">
        <v>5</v>
      </c>
    </row>
    <row r="80" spans="1:5" x14ac:dyDescent="0.3">
      <c r="A80">
        <v>9</v>
      </c>
      <c r="B80">
        <v>20</v>
      </c>
      <c r="C80">
        <v>0.2</v>
      </c>
      <c r="D80">
        <v>2</v>
      </c>
      <c r="E80">
        <v>7</v>
      </c>
    </row>
    <row r="81" spans="1:5" x14ac:dyDescent="0.3">
      <c r="A81">
        <v>9</v>
      </c>
      <c r="B81">
        <v>20</v>
      </c>
      <c r="C81">
        <v>0.2</v>
      </c>
      <c r="D81">
        <v>3</v>
      </c>
      <c r="E81">
        <v>10</v>
      </c>
    </row>
    <row r="82" spans="1:5" x14ac:dyDescent="0.3">
      <c r="A82">
        <v>9</v>
      </c>
      <c r="B82">
        <v>20</v>
      </c>
      <c r="C82">
        <v>0.2</v>
      </c>
      <c r="D82">
        <v>4</v>
      </c>
      <c r="E82">
        <v>12</v>
      </c>
    </row>
    <row r="83" spans="1:5" x14ac:dyDescent="0.3">
      <c r="A83">
        <v>7</v>
      </c>
      <c r="B83">
        <v>25</v>
      </c>
      <c r="C83">
        <v>0.2</v>
      </c>
      <c r="D83">
        <v>1</v>
      </c>
      <c r="E83">
        <v>1</v>
      </c>
    </row>
    <row r="84" spans="1:5" x14ac:dyDescent="0.3">
      <c r="A84">
        <v>7</v>
      </c>
      <c r="B84">
        <v>25</v>
      </c>
      <c r="C84">
        <v>0.2</v>
      </c>
      <c r="D84">
        <v>2</v>
      </c>
      <c r="E84">
        <v>2</v>
      </c>
    </row>
    <row r="85" spans="1:5" x14ac:dyDescent="0.3">
      <c r="A85">
        <v>7</v>
      </c>
      <c r="B85">
        <v>25</v>
      </c>
      <c r="C85">
        <v>0.2</v>
      </c>
      <c r="D85">
        <v>3</v>
      </c>
      <c r="E85">
        <v>2</v>
      </c>
    </row>
    <row r="86" spans="1:5" x14ac:dyDescent="0.3">
      <c r="A86">
        <v>7</v>
      </c>
      <c r="B86">
        <v>25</v>
      </c>
      <c r="C86">
        <v>0.2</v>
      </c>
      <c r="D86">
        <v>4</v>
      </c>
      <c r="E86">
        <v>2</v>
      </c>
    </row>
    <row r="87" spans="1:5" x14ac:dyDescent="0.3">
      <c r="A87">
        <v>7.5</v>
      </c>
      <c r="B87">
        <v>25</v>
      </c>
      <c r="C87">
        <v>0.2</v>
      </c>
      <c r="D87">
        <v>1</v>
      </c>
      <c r="E87">
        <v>2</v>
      </c>
    </row>
    <row r="88" spans="1:5" x14ac:dyDescent="0.3">
      <c r="A88">
        <v>7.5</v>
      </c>
      <c r="B88">
        <v>25</v>
      </c>
      <c r="C88">
        <v>0.2</v>
      </c>
      <c r="D88">
        <v>2</v>
      </c>
      <c r="E88">
        <v>3</v>
      </c>
    </row>
    <row r="89" spans="1:5" x14ac:dyDescent="0.3">
      <c r="A89">
        <v>7.5</v>
      </c>
      <c r="B89">
        <v>25</v>
      </c>
      <c r="C89">
        <v>0.2</v>
      </c>
      <c r="D89">
        <v>3</v>
      </c>
      <c r="E89">
        <v>4</v>
      </c>
    </row>
    <row r="90" spans="1:5" x14ac:dyDescent="0.3">
      <c r="A90">
        <v>7.5</v>
      </c>
      <c r="B90">
        <v>25</v>
      </c>
      <c r="C90">
        <v>0.2</v>
      </c>
      <c r="D90">
        <v>4</v>
      </c>
      <c r="E90">
        <v>4</v>
      </c>
    </row>
    <row r="91" spans="1:5" x14ac:dyDescent="0.3">
      <c r="A91">
        <v>8</v>
      </c>
      <c r="B91">
        <v>25</v>
      </c>
      <c r="C91">
        <v>0.2</v>
      </c>
      <c r="D91">
        <v>1</v>
      </c>
      <c r="E91">
        <v>3</v>
      </c>
    </row>
    <row r="92" spans="1:5" x14ac:dyDescent="0.3">
      <c r="A92">
        <v>8</v>
      </c>
      <c r="B92">
        <v>25</v>
      </c>
      <c r="C92">
        <v>0.2</v>
      </c>
      <c r="D92">
        <v>2</v>
      </c>
      <c r="E92">
        <v>4</v>
      </c>
    </row>
    <row r="93" spans="1:5" x14ac:dyDescent="0.3">
      <c r="A93">
        <v>8</v>
      </c>
      <c r="B93">
        <v>25</v>
      </c>
      <c r="C93">
        <v>0.2</v>
      </c>
      <c r="D93">
        <v>3</v>
      </c>
      <c r="E93">
        <v>5</v>
      </c>
    </row>
    <row r="94" spans="1:5" x14ac:dyDescent="0.3">
      <c r="A94">
        <v>8</v>
      </c>
      <c r="B94">
        <v>25</v>
      </c>
      <c r="C94">
        <v>0.2</v>
      </c>
      <c r="D94">
        <v>4</v>
      </c>
      <c r="E94">
        <v>6</v>
      </c>
    </row>
    <row r="95" spans="1:5" x14ac:dyDescent="0.3">
      <c r="A95">
        <v>8.5</v>
      </c>
      <c r="B95">
        <v>25</v>
      </c>
      <c r="C95">
        <v>0.2</v>
      </c>
      <c r="D95">
        <v>1</v>
      </c>
      <c r="E95">
        <v>3</v>
      </c>
    </row>
    <row r="96" spans="1:5" x14ac:dyDescent="0.3">
      <c r="A96">
        <v>8.5</v>
      </c>
      <c r="B96">
        <v>25</v>
      </c>
      <c r="C96">
        <v>0.2</v>
      </c>
      <c r="D96">
        <v>2</v>
      </c>
      <c r="E96">
        <v>5</v>
      </c>
    </row>
    <row r="97" spans="1:5" x14ac:dyDescent="0.3">
      <c r="A97">
        <v>8.5</v>
      </c>
      <c r="B97">
        <v>25</v>
      </c>
      <c r="C97">
        <v>0.2</v>
      </c>
      <c r="D97">
        <v>3</v>
      </c>
      <c r="E97">
        <v>6</v>
      </c>
    </row>
    <row r="98" spans="1:5" x14ac:dyDescent="0.3">
      <c r="A98">
        <v>8.5</v>
      </c>
      <c r="B98">
        <v>25</v>
      </c>
      <c r="C98">
        <v>0.2</v>
      </c>
      <c r="D98">
        <v>4</v>
      </c>
      <c r="E98">
        <v>8</v>
      </c>
    </row>
    <row r="99" spans="1:5" x14ac:dyDescent="0.3">
      <c r="A99">
        <v>9</v>
      </c>
      <c r="B99">
        <v>25</v>
      </c>
      <c r="C99">
        <v>0.2</v>
      </c>
      <c r="D99">
        <v>1</v>
      </c>
      <c r="E99">
        <v>3</v>
      </c>
    </row>
    <row r="100" spans="1:5" x14ac:dyDescent="0.3">
      <c r="A100">
        <v>9</v>
      </c>
      <c r="B100">
        <v>25</v>
      </c>
      <c r="C100">
        <v>0.2</v>
      </c>
      <c r="D100">
        <v>2</v>
      </c>
      <c r="E100">
        <v>5</v>
      </c>
    </row>
    <row r="101" spans="1:5" x14ac:dyDescent="0.3">
      <c r="A101">
        <v>9</v>
      </c>
      <c r="B101">
        <v>25</v>
      </c>
      <c r="C101">
        <v>0.2</v>
      </c>
      <c r="D101">
        <v>3</v>
      </c>
      <c r="E101">
        <v>7</v>
      </c>
    </row>
    <row r="102" spans="1:5" x14ac:dyDescent="0.3">
      <c r="A102">
        <v>9</v>
      </c>
      <c r="B102">
        <v>25</v>
      </c>
      <c r="C102">
        <v>0.2</v>
      </c>
      <c r="D102">
        <v>4</v>
      </c>
      <c r="E102">
        <v>9</v>
      </c>
    </row>
    <row r="103" spans="1:5" x14ac:dyDescent="0.3">
      <c r="A103">
        <v>7</v>
      </c>
      <c r="B103">
        <v>5</v>
      </c>
      <c r="C103">
        <v>2</v>
      </c>
      <c r="D103">
        <v>1</v>
      </c>
      <c r="E103">
        <v>4</v>
      </c>
    </row>
    <row r="104" spans="1:5" x14ac:dyDescent="0.3">
      <c r="A104">
        <v>7</v>
      </c>
      <c r="B104">
        <v>5</v>
      </c>
      <c r="C104">
        <v>2</v>
      </c>
      <c r="D104">
        <v>2</v>
      </c>
      <c r="E104">
        <v>5</v>
      </c>
    </row>
    <row r="105" spans="1:5" x14ac:dyDescent="0.3">
      <c r="A105">
        <v>7</v>
      </c>
      <c r="B105">
        <v>5</v>
      </c>
      <c r="C105">
        <v>2</v>
      </c>
      <c r="D105">
        <v>3</v>
      </c>
      <c r="E105">
        <v>7</v>
      </c>
    </row>
    <row r="106" spans="1:5" x14ac:dyDescent="0.3">
      <c r="A106">
        <v>7</v>
      </c>
      <c r="B106">
        <v>5</v>
      </c>
      <c r="C106">
        <v>2</v>
      </c>
      <c r="D106">
        <v>4</v>
      </c>
      <c r="E106">
        <v>9</v>
      </c>
    </row>
    <row r="107" spans="1:5" x14ac:dyDescent="0.3">
      <c r="A107">
        <v>7.5</v>
      </c>
      <c r="B107">
        <v>5</v>
      </c>
      <c r="C107">
        <v>2</v>
      </c>
      <c r="D107">
        <v>1</v>
      </c>
      <c r="E107">
        <v>7</v>
      </c>
    </row>
    <row r="108" spans="1:5" x14ac:dyDescent="0.3">
      <c r="A108">
        <v>7.5</v>
      </c>
      <c r="B108">
        <v>5</v>
      </c>
      <c r="C108">
        <v>2</v>
      </c>
      <c r="D108">
        <v>2</v>
      </c>
      <c r="E108">
        <v>10</v>
      </c>
    </row>
    <row r="109" spans="1:5" x14ac:dyDescent="0.3">
      <c r="A109">
        <v>7.5</v>
      </c>
      <c r="B109">
        <v>5</v>
      </c>
      <c r="C109">
        <v>2</v>
      </c>
      <c r="D109">
        <v>3</v>
      </c>
      <c r="E109">
        <v>13</v>
      </c>
    </row>
    <row r="110" spans="1:5" x14ac:dyDescent="0.3">
      <c r="A110">
        <v>7.5</v>
      </c>
      <c r="B110">
        <v>5</v>
      </c>
      <c r="C110">
        <v>2</v>
      </c>
      <c r="D110">
        <v>4</v>
      </c>
      <c r="E110">
        <v>16</v>
      </c>
    </row>
    <row r="111" spans="1:5" x14ac:dyDescent="0.3">
      <c r="A111">
        <v>8</v>
      </c>
      <c r="B111">
        <v>5</v>
      </c>
      <c r="C111">
        <v>2</v>
      </c>
      <c r="D111">
        <v>1</v>
      </c>
      <c r="E111">
        <v>10</v>
      </c>
    </row>
    <row r="112" spans="1:5" x14ac:dyDescent="0.3">
      <c r="A112">
        <v>8</v>
      </c>
      <c r="B112">
        <v>5</v>
      </c>
      <c r="C112">
        <v>2</v>
      </c>
      <c r="D112">
        <v>2</v>
      </c>
      <c r="E112">
        <v>15</v>
      </c>
    </row>
    <row r="113" spans="1:5" x14ac:dyDescent="0.3">
      <c r="A113">
        <v>8</v>
      </c>
      <c r="B113">
        <v>5</v>
      </c>
      <c r="C113">
        <v>2</v>
      </c>
      <c r="D113">
        <v>3</v>
      </c>
      <c r="E113">
        <v>19</v>
      </c>
    </row>
    <row r="114" spans="1:5" x14ac:dyDescent="0.3">
      <c r="A114">
        <v>8</v>
      </c>
      <c r="B114">
        <v>5</v>
      </c>
      <c r="C114">
        <v>2</v>
      </c>
      <c r="D114">
        <v>4</v>
      </c>
      <c r="E114">
        <v>23</v>
      </c>
    </row>
    <row r="115" spans="1:5" x14ac:dyDescent="0.3">
      <c r="A115">
        <v>8.5</v>
      </c>
      <c r="B115">
        <v>5</v>
      </c>
      <c r="C115">
        <v>2</v>
      </c>
      <c r="D115">
        <v>1</v>
      </c>
      <c r="E115">
        <v>12</v>
      </c>
    </row>
    <row r="116" spans="1:5" x14ac:dyDescent="0.3">
      <c r="A116">
        <v>8.5</v>
      </c>
      <c r="B116">
        <v>5</v>
      </c>
      <c r="C116">
        <v>2</v>
      </c>
      <c r="D116">
        <v>2</v>
      </c>
      <c r="E116">
        <v>19</v>
      </c>
    </row>
    <row r="117" spans="1:5" x14ac:dyDescent="0.3">
      <c r="A117">
        <v>8.5</v>
      </c>
      <c r="B117">
        <v>5</v>
      </c>
      <c r="C117">
        <v>2</v>
      </c>
      <c r="D117">
        <v>3</v>
      </c>
      <c r="E117">
        <v>25</v>
      </c>
    </row>
    <row r="118" spans="1:5" x14ac:dyDescent="0.3">
      <c r="A118">
        <v>8.5</v>
      </c>
      <c r="B118">
        <v>5</v>
      </c>
      <c r="C118">
        <v>2</v>
      </c>
      <c r="D118">
        <v>4</v>
      </c>
      <c r="E118">
        <v>31</v>
      </c>
    </row>
    <row r="119" spans="1:5" x14ac:dyDescent="0.3">
      <c r="A119">
        <v>9</v>
      </c>
      <c r="B119">
        <v>5</v>
      </c>
      <c r="C119">
        <v>2</v>
      </c>
      <c r="D119">
        <v>1</v>
      </c>
      <c r="E119">
        <v>14</v>
      </c>
    </row>
    <row r="120" spans="1:5" x14ac:dyDescent="0.3">
      <c r="A120">
        <v>9</v>
      </c>
      <c r="B120">
        <v>5</v>
      </c>
      <c r="C120">
        <v>2</v>
      </c>
      <c r="D120">
        <v>2</v>
      </c>
      <c r="E120">
        <v>22</v>
      </c>
    </row>
    <row r="121" spans="1:5" x14ac:dyDescent="0.3">
      <c r="A121">
        <v>9</v>
      </c>
      <c r="B121">
        <v>5</v>
      </c>
      <c r="C121">
        <v>2</v>
      </c>
      <c r="D121">
        <v>3</v>
      </c>
      <c r="E121">
        <v>30</v>
      </c>
    </row>
    <row r="122" spans="1:5" x14ac:dyDescent="0.3">
      <c r="A122">
        <v>9</v>
      </c>
      <c r="B122">
        <v>5</v>
      </c>
      <c r="C122">
        <v>2</v>
      </c>
      <c r="D122">
        <v>4</v>
      </c>
      <c r="E122">
        <v>38</v>
      </c>
    </row>
    <row r="123" spans="1:5" x14ac:dyDescent="0.3">
      <c r="A123">
        <v>7</v>
      </c>
      <c r="B123">
        <v>10</v>
      </c>
      <c r="C123">
        <v>2</v>
      </c>
      <c r="D123">
        <v>1</v>
      </c>
      <c r="E123">
        <v>3</v>
      </c>
    </row>
    <row r="124" spans="1:5" x14ac:dyDescent="0.3">
      <c r="A124">
        <v>7</v>
      </c>
      <c r="B124">
        <v>10</v>
      </c>
      <c r="C124">
        <v>2</v>
      </c>
      <c r="D124">
        <v>2</v>
      </c>
      <c r="E124">
        <v>4</v>
      </c>
    </row>
    <row r="125" spans="1:5" x14ac:dyDescent="0.3">
      <c r="A125">
        <v>7</v>
      </c>
      <c r="B125">
        <v>10</v>
      </c>
      <c r="C125">
        <v>2</v>
      </c>
      <c r="D125">
        <v>3</v>
      </c>
      <c r="E125">
        <v>5</v>
      </c>
    </row>
    <row r="126" spans="1:5" x14ac:dyDescent="0.3">
      <c r="A126">
        <v>7</v>
      </c>
      <c r="B126">
        <v>10</v>
      </c>
      <c r="C126">
        <v>2</v>
      </c>
      <c r="D126">
        <v>4</v>
      </c>
      <c r="E126">
        <v>6</v>
      </c>
    </row>
    <row r="127" spans="1:5" x14ac:dyDescent="0.3">
      <c r="A127">
        <v>7.5</v>
      </c>
      <c r="B127">
        <v>10</v>
      </c>
      <c r="C127">
        <v>2</v>
      </c>
      <c r="D127">
        <v>1</v>
      </c>
      <c r="E127">
        <v>5</v>
      </c>
    </row>
    <row r="128" spans="1:5" x14ac:dyDescent="0.3">
      <c r="A128">
        <v>7.5</v>
      </c>
      <c r="B128">
        <v>10</v>
      </c>
      <c r="C128">
        <v>2</v>
      </c>
      <c r="D128">
        <v>2</v>
      </c>
      <c r="E128">
        <v>7</v>
      </c>
    </row>
    <row r="129" spans="1:5" x14ac:dyDescent="0.3">
      <c r="A129">
        <v>7.5</v>
      </c>
      <c r="B129">
        <v>10</v>
      </c>
      <c r="C129">
        <v>2</v>
      </c>
      <c r="D129">
        <v>3</v>
      </c>
      <c r="E129">
        <v>9</v>
      </c>
    </row>
    <row r="130" spans="1:5" x14ac:dyDescent="0.3">
      <c r="A130">
        <v>7.5</v>
      </c>
      <c r="B130">
        <v>10</v>
      </c>
      <c r="C130">
        <v>2</v>
      </c>
      <c r="D130">
        <v>4</v>
      </c>
      <c r="E130">
        <v>11</v>
      </c>
    </row>
    <row r="131" spans="1:5" x14ac:dyDescent="0.3">
      <c r="A131">
        <v>8</v>
      </c>
      <c r="B131">
        <v>10</v>
      </c>
      <c r="C131">
        <v>2</v>
      </c>
      <c r="D131">
        <v>1</v>
      </c>
      <c r="E131">
        <v>7</v>
      </c>
    </row>
    <row r="132" spans="1:5" x14ac:dyDescent="0.3">
      <c r="A132">
        <v>8</v>
      </c>
      <c r="B132">
        <v>10</v>
      </c>
      <c r="C132">
        <v>2</v>
      </c>
      <c r="D132">
        <v>2</v>
      </c>
      <c r="E132">
        <v>10</v>
      </c>
    </row>
    <row r="133" spans="1:5" x14ac:dyDescent="0.3">
      <c r="A133">
        <v>8</v>
      </c>
      <c r="B133">
        <v>10</v>
      </c>
      <c r="C133">
        <v>2</v>
      </c>
      <c r="D133">
        <v>3</v>
      </c>
      <c r="E133">
        <v>13</v>
      </c>
    </row>
    <row r="134" spans="1:5" x14ac:dyDescent="0.3">
      <c r="A134">
        <v>8</v>
      </c>
      <c r="B134">
        <v>10</v>
      </c>
      <c r="C134">
        <v>2</v>
      </c>
      <c r="D134">
        <v>4</v>
      </c>
      <c r="E134">
        <v>16</v>
      </c>
    </row>
    <row r="135" spans="1:5" x14ac:dyDescent="0.3">
      <c r="A135">
        <v>8.5</v>
      </c>
      <c r="B135">
        <v>10</v>
      </c>
      <c r="C135">
        <v>2</v>
      </c>
      <c r="D135">
        <v>1</v>
      </c>
      <c r="E135">
        <v>9</v>
      </c>
    </row>
    <row r="136" spans="1:5" x14ac:dyDescent="0.3">
      <c r="A136">
        <v>8.5</v>
      </c>
      <c r="B136">
        <v>10</v>
      </c>
      <c r="C136">
        <v>2</v>
      </c>
      <c r="D136">
        <v>2</v>
      </c>
      <c r="E136">
        <v>13</v>
      </c>
    </row>
    <row r="137" spans="1:5" x14ac:dyDescent="0.3">
      <c r="A137">
        <v>8.5</v>
      </c>
      <c r="B137">
        <v>10</v>
      </c>
      <c r="C137">
        <v>2</v>
      </c>
      <c r="D137">
        <v>3</v>
      </c>
      <c r="E137">
        <v>17</v>
      </c>
    </row>
    <row r="138" spans="1:5" x14ac:dyDescent="0.3">
      <c r="A138">
        <v>8.5</v>
      </c>
      <c r="B138">
        <v>10</v>
      </c>
      <c r="C138">
        <v>2</v>
      </c>
      <c r="D138">
        <v>4</v>
      </c>
      <c r="E138">
        <v>22</v>
      </c>
    </row>
    <row r="139" spans="1:5" x14ac:dyDescent="0.3">
      <c r="A139">
        <v>9</v>
      </c>
      <c r="B139">
        <v>10</v>
      </c>
      <c r="C139">
        <v>2</v>
      </c>
      <c r="D139">
        <v>1</v>
      </c>
      <c r="E139">
        <v>10</v>
      </c>
    </row>
    <row r="140" spans="1:5" x14ac:dyDescent="0.3">
      <c r="A140">
        <v>9</v>
      </c>
      <c r="B140">
        <v>10</v>
      </c>
      <c r="C140">
        <v>2</v>
      </c>
      <c r="D140">
        <v>2</v>
      </c>
      <c r="E140">
        <v>16</v>
      </c>
    </row>
    <row r="141" spans="1:5" x14ac:dyDescent="0.3">
      <c r="A141">
        <v>9</v>
      </c>
      <c r="B141">
        <v>10</v>
      </c>
      <c r="C141">
        <v>2</v>
      </c>
      <c r="D141">
        <v>3</v>
      </c>
      <c r="E141">
        <v>21</v>
      </c>
    </row>
    <row r="142" spans="1:5" x14ac:dyDescent="0.3">
      <c r="A142">
        <v>9</v>
      </c>
      <c r="B142">
        <v>10</v>
      </c>
      <c r="C142">
        <v>2</v>
      </c>
      <c r="D142">
        <v>4</v>
      </c>
      <c r="E142">
        <v>27</v>
      </c>
    </row>
    <row r="143" spans="1:5" x14ac:dyDescent="0.3">
      <c r="A143">
        <v>7</v>
      </c>
      <c r="B143">
        <v>15</v>
      </c>
      <c r="C143">
        <v>2</v>
      </c>
      <c r="D143">
        <v>1</v>
      </c>
      <c r="E143">
        <v>2</v>
      </c>
    </row>
    <row r="144" spans="1:5" x14ac:dyDescent="0.3">
      <c r="A144">
        <v>7</v>
      </c>
      <c r="B144">
        <v>15</v>
      </c>
      <c r="C144">
        <v>2</v>
      </c>
      <c r="D144">
        <v>2</v>
      </c>
      <c r="E144">
        <v>3</v>
      </c>
    </row>
    <row r="145" spans="1:5" x14ac:dyDescent="0.3">
      <c r="A145">
        <v>7</v>
      </c>
      <c r="B145">
        <v>15</v>
      </c>
      <c r="C145">
        <v>2</v>
      </c>
      <c r="D145">
        <v>3</v>
      </c>
      <c r="E145">
        <v>4</v>
      </c>
    </row>
    <row r="146" spans="1:5" x14ac:dyDescent="0.3">
      <c r="A146">
        <v>7</v>
      </c>
      <c r="B146">
        <v>15</v>
      </c>
      <c r="C146">
        <v>2</v>
      </c>
      <c r="D146">
        <v>4</v>
      </c>
      <c r="E146">
        <v>4</v>
      </c>
    </row>
    <row r="147" spans="1:5" x14ac:dyDescent="0.3">
      <c r="A147">
        <v>7.5</v>
      </c>
      <c r="B147">
        <v>15</v>
      </c>
      <c r="C147">
        <v>2</v>
      </c>
      <c r="D147">
        <v>1</v>
      </c>
      <c r="E147">
        <v>4</v>
      </c>
    </row>
    <row r="148" spans="1:5" x14ac:dyDescent="0.3">
      <c r="A148">
        <v>7.5</v>
      </c>
      <c r="B148">
        <v>15</v>
      </c>
      <c r="C148">
        <v>2</v>
      </c>
      <c r="D148">
        <v>2</v>
      </c>
      <c r="E148">
        <v>5</v>
      </c>
    </row>
    <row r="149" spans="1:5" x14ac:dyDescent="0.3">
      <c r="A149">
        <v>7.5</v>
      </c>
      <c r="B149">
        <v>15</v>
      </c>
      <c r="C149">
        <v>2</v>
      </c>
      <c r="D149">
        <v>3</v>
      </c>
      <c r="E149">
        <v>7</v>
      </c>
    </row>
    <row r="150" spans="1:5" x14ac:dyDescent="0.3">
      <c r="A150">
        <v>7.5</v>
      </c>
      <c r="B150">
        <v>15</v>
      </c>
      <c r="C150">
        <v>2</v>
      </c>
      <c r="D150">
        <v>4</v>
      </c>
      <c r="E150">
        <v>8</v>
      </c>
    </row>
    <row r="151" spans="1:5" x14ac:dyDescent="0.3">
      <c r="A151">
        <v>8</v>
      </c>
      <c r="B151">
        <v>15</v>
      </c>
      <c r="C151">
        <v>2</v>
      </c>
      <c r="D151">
        <v>1</v>
      </c>
      <c r="E151">
        <v>5</v>
      </c>
    </row>
    <row r="152" spans="1:5" x14ac:dyDescent="0.3">
      <c r="A152">
        <v>8</v>
      </c>
      <c r="B152">
        <v>15</v>
      </c>
      <c r="C152">
        <v>2</v>
      </c>
      <c r="D152">
        <v>2</v>
      </c>
      <c r="E152">
        <v>7</v>
      </c>
    </row>
    <row r="153" spans="1:5" x14ac:dyDescent="0.3">
      <c r="A153">
        <v>8</v>
      </c>
      <c r="B153">
        <v>15</v>
      </c>
      <c r="C153">
        <v>2</v>
      </c>
      <c r="D153">
        <v>3</v>
      </c>
      <c r="E153">
        <v>10</v>
      </c>
    </row>
    <row r="154" spans="1:5" x14ac:dyDescent="0.3">
      <c r="A154">
        <v>8</v>
      </c>
      <c r="B154">
        <v>15</v>
      </c>
      <c r="C154">
        <v>2</v>
      </c>
      <c r="D154">
        <v>4</v>
      </c>
      <c r="E154">
        <v>12</v>
      </c>
    </row>
    <row r="155" spans="1:5" x14ac:dyDescent="0.3">
      <c r="A155">
        <v>8.5</v>
      </c>
      <c r="B155">
        <v>15</v>
      </c>
      <c r="C155">
        <v>2</v>
      </c>
      <c r="D155">
        <v>1</v>
      </c>
      <c r="E155">
        <v>6</v>
      </c>
    </row>
    <row r="156" spans="1:5" x14ac:dyDescent="0.3">
      <c r="A156">
        <v>8.5</v>
      </c>
      <c r="B156">
        <v>15</v>
      </c>
      <c r="C156">
        <v>2</v>
      </c>
      <c r="D156">
        <v>2</v>
      </c>
      <c r="E156">
        <v>9</v>
      </c>
    </row>
    <row r="157" spans="1:5" x14ac:dyDescent="0.3">
      <c r="A157">
        <v>8.5</v>
      </c>
      <c r="B157">
        <v>15</v>
      </c>
      <c r="C157">
        <v>2</v>
      </c>
      <c r="D157">
        <v>3</v>
      </c>
      <c r="E157">
        <v>13</v>
      </c>
    </row>
    <row r="158" spans="1:5" x14ac:dyDescent="0.3">
      <c r="A158">
        <v>8.5</v>
      </c>
      <c r="B158">
        <v>15</v>
      </c>
      <c r="C158">
        <v>2</v>
      </c>
      <c r="D158">
        <v>4</v>
      </c>
      <c r="E158">
        <v>16</v>
      </c>
    </row>
    <row r="159" spans="1:5" x14ac:dyDescent="0.3">
      <c r="A159">
        <v>9</v>
      </c>
      <c r="B159">
        <v>15</v>
      </c>
      <c r="C159">
        <v>2</v>
      </c>
      <c r="D159">
        <v>1</v>
      </c>
      <c r="E159">
        <v>7</v>
      </c>
    </row>
    <row r="160" spans="1:5" x14ac:dyDescent="0.3">
      <c r="A160">
        <v>9</v>
      </c>
      <c r="B160">
        <v>15</v>
      </c>
      <c r="C160">
        <v>2</v>
      </c>
      <c r="D160">
        <v>2</v>
      </c>
      <c r="E160">
        <v>11</v>
      </c>
    </row>
    <row r="161" spans="1:5" x14ac:dyDescent="0.3">
      <c r="A161">
        <v>9</v>
      </c>
      <c r="B161">
        <v>15</v>
      </c>
      <c r="C161">
        <v>2</v>
      </c>
      <c r="D161">
        <v>3</v>
      </c>
      <c r="E161">
        <v>15</v>
      </c>
    </row>
    <row r="162" spans="1:5" x14ac:dyDescent="0.3">
      <c r="A162">
        <v>9</v>
      </c>
      <c r="B162">
        <v>15</v>
      </c>
      <c r="C162">
        <v>2</v>
      </c>
      <c r="D162">
        <v>4</v>
      </c>
      <c r="E162">
        <v>19</v>
      </c>
    </row>
    <row r="163" spans="1:5" x14ac:dyDescent="0.3">
      <c r="A163">
        <v>7</v>
      </c>
      <c r="B163">
        <v>20</v>
      </c>
      <c r="C163">
        <v>2</v>
      </c>
      <c r="D163">
        <v>1</v>
      </c>
      <c r="E163">
        <v>2</v>
      </c>
    </row>
    <row r="164" spans="1:5" x14ac:dyDescent="0.3">
      <c r="A164">
        <v>7</v>
      </c>
      <c r="B164">
        <v>20</v>
      </c>
      <c r="C164">
        <v>2</v>
      </c>
      <c r="D164">
        <v>2</v>
      </c>
      <c r="E164">
        <v>2</v>
      </c>
    </row>
    <row r="165" spans="1:5" x14ac:dyDescent="0.3">
      <c r="A165">
        <v>7</v>
      </c>
      <c r="B165">
        <v>20</v>
      </c>
      <c r="C165">
        <v>2</v>
      </c>
      <c r="D165">
        <v>3</v>
      </c>
      <c r="E165">
        <v>3</v>
      </c>
    </row>
    <row r="166" spans="1:5" x14ac:dyDescent="0.3">
      <c r="A166">
        <v>7</v>
      </c>
      <c r="B166">
        <v>20</v>
      </c>
      <c r="C166">
        <v>2</v>
      </c>
      <c r="D166">
        <v>4</v>
      </c>
      <c r="E166">
        <v>3</v>
      </c>
    </row>
    <row r="167" spans="1:5" x14ac:dyDescent="0.3">
      <c r="A167">
        <v>7.5</v>
      </c>
      <c r="B167">
        <v>20</v>
      </c>
      <c r="C167">
        <v>2</v>
      </c>
      <c r="D167">
        <v>1</v>
      </c>
      <c r="E167">
        <v>3</v>
      </c>
    </row>
    <row r="168" spans="1:5" x14ac:dyDescent="0.3">
      <c r="A168">
        <v>7.5</v>
      </c>
      <c r="B168">
        <v>20</v>
      </c>
      <c r="C168">
        <v>2</v>
      </c>
      <c r="D168">
        <v>2</v>
      </c>
      <c r="E168">
        <v>4</v>
      </c>
    </row>
    <row r="169" spans="1:5" x14ac:dyDescent="0.3">
      <c r="A169">
        <v>7.5</v>
      </c>
      <c r="B169">
        <v>20</v>
      </c>
      <c r="C169">
        <v>2</v>
      </c>
      <c r="D169">
        <v>3</v>
      </c>
      <c r="E169">
        <v>5</v>
      </c>
    </row>
    <row r="170" spans="1:5" x14ac:dyDescent="0.3">
      <c r="A170">
        <v>7.5</v>
      </c>
      <c r="B170">
        <v>20</v>
      </c>
      <c r="C170">
        <v>2</v>
      </c>
      <c r="D170">
        <v>4</v>
      </c>
      <c r="E170">
        <v>6</v>
      </c>
    </row>
    <row r="171" spans="1:5" x14ac:dyDescent="0.3">
      <c r="A171">
        <v>8</v>
      </c>
      <c r="B171">
        <v>20</v>
      </c>
      <c r="C171">
        <v>2</v>
      </c>
      <c r="D171">
        <v>1</v>
      </c>
      <c r="E171">
        <v>4</v>
      </c>
    </row>
    <row r="172" spans="1:5" x14ac:dyDescent="0.3">
      <c r="A172">
        <v>8</v>
      </c>
      <c r="B172">
        <v>20</v>
      </c>
      <c r="C172">
        <v>2</v>
      </c>
      <c r="D172">
        <v>2</v>
      </c>
      <c r="E172">
        <v>5</v>
      </c>
    </row>
    <row r="173" spans="1:5" x14ac:dyDescent="0.3">
      <c r="A173">
        <v>8</v>
      </c>
      <c r="B173">
        <v>20</v>
      </c>
      <c r="C173">
        <v>2</v>
      </c>
      <c r="D173">
        <v>3</v>
      </c>
      <c r="E173">
        <v>7</v>
      </c>
    </row>
    <row r="174" spans="1:5" x14ac:dyDescent="0.3">
      <c r="A174">
        <v>8</v>
      </c>
      <c r="B174">
        <v>20</v>
      </c>
      <c r="C174">
        <v>2</v>
      </c>
      <c r="D174">
        <v>4</v>
      </c>
      <c r="E174">
        <v>8</v>
      </c>
    </row>
    <row r="175" spans="1:5" x14ac:dyDescent="0.3">
      <c r="A175">
        <v>8.5</v>
      </c>
      <c r="B175">
        <v>20</v>
      </c>
      <c r="C175">
        <v>2</v>
      </c>
      <c r="D175">
        <v>1</v>
      </c>
      <c r="E175">
        <v>5</v>
      </c>
    </row>
    <row r="176" spans="1:5" x14ac:dyDescent="0.3">
      <c r="A176">
        <v>8.5</v>
      </c>
      <c r="B176">
        <v>20</v>
      </c>
      <c r="C176">
        <v>2</v>
      </c>
      <c r="D176">
        <v>2</v>
      </c>
      <c r="E176">
        <v>7</v>
      </c>
    </row>
    <row r="177" spans="1:5" x14ac:dyDescent="0.3">
      <c r="A177">
        <v>8.5</v>
      </c>
      <c r="B177">
        <v>20</v>
      </c>
      <c r="C177">
        <v>2</v>
      </c>
      <c r="D177">
        <v>3</v>
      </c>
      <c r="E177">
        <v>9</v>
      </c>
    </row>
    <row r="178" spans="1:5" x14ac:dyDescent="0.3">
      <c r="A178">
        <v>8.5</v>
      </c>
      <c r="B178">
        <v>20</v>
      </c>
      <c r="C178">
        <v>2</v>
      </c>
      <c r="D178">
        <v>4</v>
      </c>
      <c r="E178">
        <v>11</v>
      </c>
    </row>
    <row r="179" spans="1:5" x14ac:dyDescent="0.3">
      <c r="A179">
        <v>9</v>
      </c>
      <c r="B179">
        <v>20</v>
      </c>
      <c r="C179">
        <v>2</v>
      </c>
      <c r="D179">
        <v>1</v>
      </c>
      <c r="E179">
        <v>5</v>
      </c>
    </row>
    <row r="180" spans="1:5" x14ac:dyDescent="0.3">
      <c r="A180">
        <v>9</v>
      </c>
      <c r="B180">
        <v>20</v>
      </c>
      <c r="C180">
        <v>2</v>
      </c>
      <c r="D180">
        <v>2</v>
      </c>
      <c r="E180">
        <v>8</v>
      </c>
    </row>
    <row r="181" spans="1:5" x14ac:dyDescent="0.3">
      <c r="A181">
        <v>9</v>
      </c>
      <c r="B181">
        <v>20</v>
      </c>
      <c r="C181">
        <v>2</v>
      </c>
      <c r="D181">
        <v>3</v>
      </c>
      <c r="E181">
        <v>11</v>
      </c>
    </row>
    <row r="182" spans="1:5" x14ac:dyDescent="0.3">
      <c r="A182">
        <v>9</v>
      </c>
      <c r="B182">
        <v>20</v>
      </c>
      <c r="C182">
        <v>2</v>
      </c>
      <c r="D182">
        <v>4</v>
      </c>
      <c r="E182">
        <v>13</v>
      </c>
    </row>
    <row r="183" spans="1:5" x14ac:dyDescent="0.3">
      <c r="A183">
        <v>7</v>
      </c>
      <c r="B183">
        <v>25</v>
      </c>
      <c r="C183">
        <v>2</v>
      </c>
      <c r="D183">
        <v>1</v>
      </c>
      <c r="E183">
        <v>1</v>
      </c>
    </row>
    <row r="184" spans="1:5" x14ac:dyDescent="0.3">
      <c r="A184">
        <v>7</v>
      </c>
      <c r="B184">
        <v>25</v>
      </c>
      <c r="C184">
        <v>2</v>
      </c>
      <c r="D184">
        <v>2</v>
      </c>
      <c r="E184">
        <v>2</v>
      </c>
    </row>
    <row r="185" spans="1:5" x14ac:dyDescent="0.3">
      <c r="A185">
        <v>7</v>
      </c>
      <c r="B185">
        <v>25</v>
      </c>
      <c r="C185">
        <v>2</v>
      </c>
      <c r="D185">
        <v>3</v>
      </c>
      <c r="E185">
        <v>2</v>
      </c>
    </row>
    <row r="186" spans="1:5" x14ac:dyDescent="0.3">
      <c r="A186">
        <v>7</v>
      </c>
      <c r="B186">
        <v>25</v>
      </c>
      <c r="C186">
        <v>2</v>
      </c>
      <c r="D186">
        <v>4</v>
      </c>
      <c r="E186">
        <v>2</v>
      </c>
    </row>
    <row r="187" spans="1:5" x14ac:dyDescent="0.3">
      <c r="A187">
        <v>7.5</v>
      </c>
      <c r="B187">
        <v>25</v>
      </c>
      <c r="C187">
        <v>2</v>
      </c>
      <c r="D187">
        <v>1</v>
      </c>
      <c r="E187">
        <v>2</v>
      </c>
    </row>
    <row r="188" spans="1:5" x14ac:dyDescent="0.3">
      <c r="A188">
        <v>7.5</v>
      </c>
      <c r="B188">
        <v>25</v>
      </c>
      <c r="C188">
        <v>2</v>
      </c>
      <c r="D188">
        <v>2</v>
      </c>
      <c r="E188">
        <v>3</v>
      </c>
    </row>
    <row r="189" spans="1:5" x14ac:dyDescent="0.3">
      <c r="A189">
        <v>7.5</v>
      </c>
      <c r="B189">
        <v>25</v>
      </c>
      <c r="C189">
        <v>2</v>
      </c>
      <c r="D189">
        <v>3</v>
      </c>
      <c r="E189">
        <v>4</v>
      </c>
    </row>
    <row r="190" spans="1:5" x14ac:dyDescent="0.3">
      <c r="A190">
        <v>7.5</v>
      </c>
      <c r="B190">
        <v>25</v>
      </c>
      <c r="C190">
        <v>2</v>
      </c>
      <c r="D190">
        <v>4</v>
      </c>
      <c r="E190">
        <v>4</v>
      </c>
    </row>
    <row r="191" spans="1:5" x14ac:dyDescent="0.3">
      <c r="A191">
        <v>8</v>
      </c>
      <c r="B191">
        <v>25</v>
      </c>
      <c r="C191">
        <v>2</v>
      </c>
      <c r="D191">
        <v>1</v>
      </c>
      <c r="E191">
        <v>3</v>
      </c>
    </row>
    <row r="192" spans="1:5" x14ac:dyDescent="0.3">
      <c r="A192">
        <v>8</v>
      </c>
      <c r="B192">
        <v>25</v>
      </c>
      <c r="C192">
        <v>2</v>
      </c>
      <c r="D192">
        <v>2</v>
      </c>
      <c r="E192">
        <v>4</v>
      </c>
    </row>
    <row r="193" spans="1:5" x14ac:dyDescent="0.3">
      <c r="A193">
        <v>8</v>
      </c>
      <c r="B193">
        <v>25</v>
      </c>
      <c r="C193">
        <v>2</v>
      </c>
      <c r="D193">
        <v>3</v>
      </c>
      <c r="E193">
        <v>5</v>
      </c>
    </row>
    <row r="194" spans="1:5" x14ac:dyDescent="0.3">
      <c r="A194">
        <v>8</v>
      </c>
      <c r="B194">
        <v>25</v>
      </c>
      <c r="C194">
        <v>2</v>
      </c>
      <c r="D194">
        <v>4</v>
      </c>
      <c r="E194">
        <v>6</v>
      </c>
    </row>
    <row r="195" spans="1:5" x14ac:dyDescent="0.3">
      <c r="A195">
        <v>8.5</v>
      </c>
      <c r="B195">
        <v>25</v>
      </c>
      <c r="C195">
        <v>2</v>
      </c>
      <c r="D195">
        <v>1</v>
      </c>
      <c r="E195">
        <v>4</v>
      </c>
    </row>
    <row r="196" spans="1:5" x14ac:dyDescent="0.3">
      <c r="A196">
        <v>8.5</v>
      </c>
      <c r="B196">
        <v>25</v>
      </c>
      <c r="C196">
        <v>2</v>
      </c>
      <c r="D196">
        <v>2</v>
      </c>
      <c r="E196">
        <v>5</v>
      </c>
    </row>
    <row r="197" spans="1:5" x14ac:dyDescent="0.3">
      <c r="A197">
        <v>8.5</v>
      </c>
      <c r="B197">
        <v>25</v>
      </c>
      <c r="C197">
        <v>2</v>
      </c>
      <c r="D197">
        <v>3</v>
      </c>
      <c r="E197">
        <v>7</v>
      </c>
    </row>
    <row r="198" spans="1:5" x14ac:dyDescent="0.3">
      <c r="A198">
        <v>8.5</v>
      </c>
      <c r="B198">
        <v>25</v>
      </c>
      <c r="C198">
        <v>2</v>
      </c>
      <c r="D198">
        <v>4</v>
      </c>
      <c r="E198">
        <v>8</v>
      </c>
    </row>
    <row r="199" spans="1:5" x14ac:dyDescent="0.3">
      <c r="A199">
        <v>9</v>
      </c>
      <c r="B199">
        <v>25</v>
      </c>
      <c r="C199">
        <v>2</v>
      </c>
      <c r="D199">
        <v>1</v>
      </c>
      <c r="E199">
        <v>4</v>
      </c>
    </row>
    <row r="200" spans="1:5" x14ac:dyDescent="0.3">
      <c r="A200">
        <v>9</v>
      </c>
      <c r="B200">
        <v>25</v>
      </c>
      <c r="C200">
        <v>2</v>
      </c>
      <c r="D200">
        <v>2</v>
      </c>
      <c r="E200">
        <v>6</v>
      </c>
    </row>
    <row r="201" spans="1:5" x14ac:dyDescent="0.3">
      <c r="A201">
        <v>9</v>
      </c>
      <c r="B201">
        <v>25</v>
      </c>
      <c r="C201">
        <v>2</v>
      </c>
      <c r="D201">
        <v>3</v>
      </c>
      <c r="E201">
        <v>8</v>
      </c>
    </row>
    <row r="202" spans="1:5" x14ac:dyDescent="0.3">
      <c r="A202">
        <v>9</v>
      </c>
      <c r="B202">
        <v>25</v>
      </c>
      <c r="C202">
        <v>2</v>
      </c>
      <c r="D202">
        <v>4</v>
      </c>
      <c r="E202">
        <v>10</v>
      </c>
    </row>
    <row r="203" spans="1:5" x14ac:dyDescent="0.3">
      <c r="A203">
        <v>7</v>
      </c>
      <c r="B203">
        <v>5</v>
      </c>
      <c r="C203">
        <v>5</v>
      </c>
      <c r="D203">
        <v>1</v>
      </c>
      <c r="E203">
        <v>4</v>
      </c>
    </row>
    <row r="204" spans="1:5" x14ac:dyDescent="0.3">
      <c r="A204">
        <v>7</v>
      </c>
      <c r="B204">
        <v>5</v>
      </c>
      <c r="C204">
        <v>5</v>
      </c>
      <c r="D204">
        <v>2</v>
      </c>
      <c r="E204">
        <v>6</v>
      </c>
    </row>
    <row r="205" spans="1:5" x14ac:dyDescent="0.3">
      <c r="A205">
        <v>7</v>
      </c>
      <c r="B205">
        <v>5</v>
      </c>
      <c r="C205">
        <v>5</v>
      </c>
      <c r="D205">
        <v>3</v>
      </c>
      <c r="E205">
        <v>7</v>
      </c>
    </row>
    <row r="206" spans="1:5" x14ac:dyDescent="0.3">
      <c r="A206">
        <v>7</v>
      </c>
      <c r="B206">
        <v>5</v>
      </c>
      <c r="C206">
        <v>5</v>
      </c>
      <c r="D206">
        <v>4</v>
      </c>
      <c r="E206">
        <v>9</v>
      </c>
    </row>
    <row r="207" spans="1:5" x14ac:dyDescent="0.3">
      <c r="A207">
        <v>7.5</v>
      </c>
      <c r="B207">
        <v>5</v>
      </c>
      <c r="C207">
        <v>5</v>
      </c>
      <c r="D207">
        <v>1</v>
      </c>
      <c r="E207">
        <v>8</v>
      </c>
    </row>
    <row r="208" spans="1:5" x14ac:dyDescent="0.3">
      <c r="A208">
        <v>7.5</v>
      </c>
      <c r="B208">
        <v>5</v>
      </c>
      <c r="C208">
        <v>5</v>
      </c>
      <c r="D208">
        <v>2</v>
      </c>
      <c r="E208">
        <v>13</v>
      </c>
    </row>
    <row r="209" spans="1:5" x14ac:dyDescent="0.3">
      <c r="A209">
        <v>7.5</v>
      </c>
      <c r="B209">
        <v>5</v>
      </c>
      <c r="C209">
        <v>5</v>
      </c>
      <c r="D209">
        <v>3</v>
      </c>
      <c r="E209">
        <v>16</v>
      </c>
    </row>
    <row r="210" spans="1:5" x14ac:dyDescent="0.3">
      <c r="A210">
        <v>7.5</v>
      </c>
      <c r="B210">
        <v>5</v>
      </c>
      <c r="C210">
        <v>5</v>
      </c>
      <c r="D210">
        <v>4</v>
      </c>
      <c r="E210">
        <v>21</v>
      </c>
    </row>
    <row r="211" spans="1:5" x14ac:dyDescent="0.3">
      <c r="A211">
        <v>8</v>
      </c>
      <c r="B211">
        <v>5</v>
      </c>
      <c r="C211">
        <v>5</v>
      </c>
      <c r="D211">
        <v>1</v>
      </c>
      <c r="E211">
        <v>12</v>
      </c>
    </row>
    <row r="212" spans="1:5" x14ac:dyDescent="0.3">
      <c r="A212">
        <v>8</v>
      </c>
      <c r="B212">
        <v>5</v>
      </c>
      <c r="C212">
        <v>5</v>
      </c>
      <c r="D212">
        <v>2</v>
      </c>
      <c r="E212">
        <v>19</v>
      </c>
    </row>
    <row r="213" spans="1:5" x14ac:dyDescent="0.3">
      <c r="A213">
        <v>8</v>
      </c>
      <c r="B213">
        <v>5</v>
      </c>
      <c r="C213">
        <v>5</v>
      </c>
      <c r="D213">
        <v>3</v>
      </c>
      <c r="E213">
        <v>25</v>
      </c>
    </row>
    <row r="214" spans="1:5" x14ac:dyDescent="0.3">
      <c r="A214">
        <v>8</v>
      </c>
      <c r="B214">
        <v>5</v>
      </c>
      <c r="C214">
        <v>5</v>
      </c>
      <c r="D214">
        <v>4</v>
      </c>
      <c r="E214">
        <v>32</v>
      </c>
    </row>
    <row r="215" spans="1:5" x14ac:dyDescent="0.3">
      <c r="A215">
        <v>8.5</v>
      </c>
      <c r="B215">
        <v>5</v>
      </c>
      <c r="C215">
        <v>5</v>
      </c>
      <c r="D215">
        <v>1</v>
      </c>
      <c r="E215">
        <v>14</v>
      </c>
    </row>
    <row r="216" spans="1:5" x14ac:dyDescent="0.3">
      <c r="A216">
        <v>8.5</v>
      </c>
      <c r="B216">
        <v>5</v>
      </c>
      <c r="C216">
        <v>5</v>
      </c>
      <c r="D216">
        <v>2</v>
      </c>
      <c r="E216">
        <v>21</v>
      </c>
    </row>
    <row r="217" spans="1:5" x14ac:dyDescent="0.3">
      <c r="A217">
        <v>8.5</v>
      </c>
      <c r="B217">
        <v>5</v>
      </c>
      <c r="C217">
        <v>5</v>
      </c>
      <c r="D217">
        <v>3</v>
      </c>
      <c r="E217">
        <v>29</v>
      </c>
    </row>
    <row r="218" spans="1:5" x14ac:dyDescent="0.3">
      <c r="A218">
        <v>8.5</v>
      </c>
      <c r="B218">
        <v>5</v>
      </c>
      <c r="C218">
        <v>5</v>
      </c>
      <c r="D218">
        <v>4</v>
      </c>
      <c r="E218">
        <v>37</v>
      </c>
    </row>
    <row r="219" spans="1:5" x14ac:dyDescent="0.3">
      <c r="A219">
        <v>9</v>
      </c>
      <c r="B219">
        <v>5</v>
      </c>
      <c r="C219">
        <v>5</v>
      </c>
      <c r="D219">
        <v>1</v>
      </c>
      <c r="E219">
        <v>15</v>
      </c>
    </row>
    <row r="220" spans="1:5" x14ac:dyDescent="0.3">
      <c r="A220">
        <v>9</v>
      </c>
      <c r="B220">
        <v>5</v>
      </c>
      <c r="C220">
        <v>5</v>
      </c>
      <c r="D220">
        <v>2</v>
      </c>
      <c r="E220">
        <v>23</v>
      </c>
    </row>
    <row r="221" spans="1:5" x14ac:dyDescent="0.3">
      <c r="A221">
        <v>9</v>
      </c>
      <c r="B221">
        <v>5</v>
      </c>
      <c r="C221">
        <v>5</v>
      </c>
      <c r="D221">
        <v>3</v>
      </c>
      <c r="E221">
        <v>32</v>
      </c>
    </row>
    <row r="222" spans="1:5" x14ac:dyDescent="0.3">
      <c r="A222">
        <v>9</v>
      </c>
      <c r="B222">
        <v>5</v>
      </c>
      <c r="C222">
        <v>5</v>
      </c>
      <c r="D222">
        <v>4</v>
      </c>
      <c r="E222">
        <v>41</v>
      </c>
    </row>
    <row r="223" spans="1:5" x14ac:dyDescent="0.3">
      <c r="A223">
        <v>7</v>
      </c>
      <c r="B223">
        <v>10</v>
      </c>
      <c r="C223">
        <v>5</v>
      </c>
      <c r="D223">
        <v>1</v>
      </c>
      <c r="E223">
        <v>3</v>
      </c>
    </row>
    <row r="224" spans="1:5" x14ac:dyDescent="0.3">
      <c r="A224">
        <v>7</v>
      </c>
      <c r="B224">
        <v>10</v>
      </c>
      <c r="C224">
        <v>5</v>
      </c>
      <c r="D224">
        <v>2</v>
      </c>
      <c r="E224">
        <v>4</v>
      </c>
    </row>
    <row r="225" spans="1:5" x14ac:dyDescent="0.3">
      <c r="A225">
        <v>7</v>
      </c>
      <c r="B225">
        <v>10</v>
      </c>
      <c r="C225">
        <v>5</v>
      </c>
      <c r="D225">
        <v>3</v>
      </c>
      <c r="E225">
        <v>5</v>
      </c>
    </row>
    <row r="226" spans="1:5" x14ac:dyDescent="0.3">
      <c r="A226">
        <v>7</v>
      </c>
      <c r="B226">
        <v>10</v>
      </c>
      <c r="C226">
        <v>5</v>
      </c>
      <c r="D226">
        <v>4</v>
      </c>
      <c r="E226">
        <v>7</v>
      </c>
    </row>
    <row r="227" spans="1:5" x14ac:dyDescent="0.3">
      <c r="A227">
        <v>7.5</v>
      </c>
      <c r="B227">
        <v>10</v>
      </c>
      <c r="C227">
        <v>5</v>
      </c>
      <c r="D227">
        <v>1</v>
      </c>
      <c r="E227">
        <v>6</v>
      </c>
    </row>
    <row r="228" spans="1:5" x14ac:dyDescent="0.3">
      <c r="A228">
        <v>7.5</v>
      </c>
      <c r="B228">
        <v>10</v>
      </c>
      <c r="C228">
        <v>5</v>
      </c>
      <c r="D228">
        <v>2</v>
      </c>
      <c r="E228">
        <v>9</v>
      </c>
    </row>
    <row r="229" spans="1:5" x14ac:dyDescent="0.3">
      <c r="A229">
        <v>7.5</v>
      </c>
      <c r="B229">
        <v>10</v>
      </c>
      <c r="C229">
        <v>5</v>
      </c>
      <c r="D229">
        <v>3</v>
      </c>
      <c r="E229">
        <v>12</v>
      </c>
    </row>
    <row r="230" spans="1:5" x14ac:dyDescent="0.3">
      <c r="A230">
        <v>7.5</v>
      </c>
      <c r="B230">
        <v>10</v>
      </c>
      <c r="C230">
        <v>5</v>
      </c>
      <c r="D230">
        <v>4</v>
      </c>
      <c r="E230">
        <v>15</v>
      </c>
    </row>
    <row r="231" spans="1:5" x14ac:dyDescent="0.3">
      <c r="A231">
        <v>8</v>
      </c>
      <c r="B231">
        <v>10</v>
      </c>
      <c r="C231">
        <v>5</v>
      </c>
      <c r="D231">
        <v>1</v>
      </c>
      <c r="E231">
        <v>9</v>
      </c>
    </row>
    <row r="232" spans="1:5" x14ac:dyDescent="0.3">
      <c r="A232">
        <v>8</v>
      </c>
      <c r="B232">
        <v>10</v>
      </c>
      <c r="C232">
        <v>5</v>
      </c>
      <c r="D232">
        <v>2</v>
      </c>
      <c r="E232">
        <v>13</v>
      </c>
    </row>
    <row r="233" spans="1:5" x14ac:dyDescent="0.3">
      <c r="A233">
        <v>8</v>
      </c>
      <c r="B233">
        <v>10</v>
      </c>
      <c r="C233">
        <v>5</v>
      </c>
      <c r="D233">
        <v>3</v>
      </c>
      <c r="E233">
        <v>18</v>
      </c>
    </row>
    <row r="234" spans="1:5" x14ac:dyDescent="0.3">
      <c r="A234">
        <v>8</v>
      </c>
      <c r="B234">
        <v>10</v>
      </c>
      <c r="C234">
        <v>5</v>
      </c>
      <c r="D234">
        <v>4</v>
      </c>
      <c r="E234">
        <v>23</v>
      </c>
    </row>
    <row r="235" spans="1:5" x14ac:dyDescent="0.3">
      <c r="A235">
        <v>8.5</v>
      </c>
      <c r="B235">
        <v>10</v>
      </c>
      <c r="C235">
        <v>5</v>
      </c>
      <c r="D235">
        <v>1</v>
      </c>
      <c r="E235">
        <v>10</v>
      </c>
    </row>
    <row r="236" spans="1:5" x14ac:dyDescent="0.3">
      <c r="A236">
        <v>8.5</v>
      </c>
      <c r="B236">
        <v>10</v>
      </c>
      <c r="C236">
        <v>5</v>
      </c>
      <c r="D236">
        <v>2</v>
      </c>
      <c r="E236">
        <v>15</v>
      </c>
    </row>
    <row r="237" spans="1:5" x14ac:dyDescent="0.3">
      <c r="A237">
        <v>8.5</v>
      </c>
      <c r="B237">
        <v>10</v>
      </c>
      <c r="C237">
        <v>5</v>
      </c>
      <c r="D237">
        <v>3</v>
      </c>
      <c r="E237">
        <v>21</v>
      </c>
    </row>
    <row r="238" spans="1:5" x14ac:dyDescent="0.3">
      <c r="A238">
        <v>8.5</v>
      </c>
      <c r="B238">
        <v>10</v>
      </c>
      <c r="C238">
        <v>5</v>
      </c>
      <c r="D238">
        <v>4</v>
      </c>
      <c r="E238">
        <v>26</v>
      </c>
    </row>
    <row r="239" spans="1:5" x14ac:dyDescent="0.3">
      <c r="A239">
        <v>9</v>
      </c>
      <c r="B239">
        <v>10</v>
      </c>
      <c r="C239">
        <v>5</v>
      </c>
      <c r="D239">
        <v>1</v>
      </c>
      <c r="E239">
        <v>10</v>
      </c>
    </row>
    <row r="240" spans="1:5" x14ac:dyDescent="0.3">
      <c r="A240">
        <v>9</v>
      </c>
      <c r="B240">
        <v>10</v>
      </c>
      <c r="C240">
        <v>5</v>
      </c>
      <c r="D240">
        <v>2</v>
      </c>
      <c r="E240">
        <v>16</v>
      </c>
    </row>
    <row r="241" spans="1:5" x14ac:dyDescent="0.3">
      <c r="A241">
        <v>9</v>
      </c>
      <c r="B241">
        <v>10</v>
      </c>
      <c r="C241">
        <v>5</v>
      </c>
      <c r="D241">
        <v>3</v>
      </c>
      <c r="E241">
        <v>23</v>
      </c>
    </row>
    <row r="242" spans="1:5" x14ac:dyDescent="0.3">
      <c r="A242">
        <v>9</v>
      </c>
      <c r="B242">
        <v>10</v>
      </c>
      <c r="C242">
        <v>5</v>
      </c>
      <c r="D242">
        <v>4</v>
      </c>
      <c r="E242">
        <v>29</v>
      </c>
    </row>
    <row r="243" spans="1:5" x14ac:dyDescent="0.3">
      <c r="A243">
        <v>7</v>
      </c>
      <c r="B243">
        <v>15</v>
      </c>
      <c r="C243">
        <v>5</v>
      </c>
      <c r="D243">
        <v>1</v>
      </c>
      <c r="E243">
        <v>2</v>
      </c>
    </row>
    <row r="244" spans="1:5" x14ac:dyDescent="0.3">
      <c r="A244">
        <v>7</v>
      </c>
      <c r="B244">
        <v>15</v>
      </c>
      <c r="C244">
        <v>5</v>
      </c>
      <c r="D244">
        <v>2</v>
      </c>
      <c r="E244">
        <v>3</v>
      </c>
    </row>
    <row r="245" spans="1:5" x14ac:dyDescent="0.3">
      <c r="A245">
        <v>7</v>
      </c>
      <c r="B245">
        <v>15</v>
      </c>
      <c r="C245">
        <v>5</v>
      </c>
      <c r="D245">
        <v>3</v>
      </c>
      <c r="E245">
        <v>4</v>
      </c>
    </row>
    <row r="246" spans="1:5" x14ac:dyDescent="0.3">
      <c r="A246">
        <v>7</v>
      </c>
      <c r="B246">
        <v>15</v>
      </c>
      <c r="C246">
        <v>5</v>
      </c>
      <c r="D246">
        <v>4</v>
      </c>
      <c r="E246">
        <v>5</v>
      </c>
    </row>
    <row r="247" spans="1:5" x14ac:dyDescent="0.3">
      <c r="A247">
        <v>7.5</v>
      </c>
      <c r="B247">
        <v>15</v>
      </c>
      <c r="C247">
        <v>5</v>
      </c>
      <c r="D247">
        <v>1</v>
      </c>
      <c r="E247">
        <v>4</v>
      </c>
    </row>
    <row r="248" spans="1:5" x14ac:dyDescent="0.3">
      <c r="A248">
        <v>7.5</v>
      </c>
      <c r="B248">
        <v>15</v>
      </c>
      <c r="C248">
        <v>5</v>
      </c>
      <c r="D248">
        <v>2</v>
      </c>
      <c r="E248">
        <v>6</v>
      </c>
    </row>
    <row r="249" spans="1:5" x14ac:dyDescent="0.3">
      <c r="A249">
        <v>7.5</v>
      </c>
      <c r="B249">
        <v>15</v>
      </c>
      <c r="C249">
        <v>5</v>
      </c>
      <c r="D249">
        <v>3</v>
      </c>
      <c r="E249">
        <v>9</v>
      </c>
    </row>
    <row r="250" spans="1:5" x14ac:dyDescent="0.3">
      <c r="A250">
        <v>7.5</v>
      </c>
      <c r="B250">
        <v>15</v>
      </c>
      <c r="C250">
        <v>5</v>
      </c>
      <c r="D250">
        <v>4</v>
      </c>
      <c r="E250">
        <v>11</v>
      </c>
    </row>
    <row r="251" spans="1:5" x14ac:dyDescent="0.3">
      <c r="A251">
        <v>8</v>
      </c>
      <c r="B251">
        <v>15</v>
      </c>
      <c r="C251">
        <v>5</v>
      </c>
      <c r="D251">
        <v>1</v>
      </c>
      <c r="E251">
        <v>6</v>
      </c>
    </row>
    <row r="252" spans="1:5" x14ac:dyDescent="0.3">
      <c r="A252">
        <v>8</v>
      </c>
      <c r="B252">
        <v>15</v>
      </c>
      <c r="C252">
        <v>5</v>
      </c>
      <c r="D252">
        <v>2</v>
      </c>
      <c r="E252">
        <v>9</v>
      </c>
    </row>
    <row r="253" spans="1:5" x14ac:dyDescent="0.3">
      <c r="A253">
        <v>8</v>
      </c>
      <c r="B253">
        <v>15</v>
      </c>
      <c r="C253">
        <v>5</v>
      </c>
      <c r="D253">
        <v>3</v>
      </c>
      <c r="E253">
        <v>13</v>
      </c>
    </row>
    <row r="254" spans="1:5" x14ac:dyDescent="0.3">
      <c r="A254">
        <v>8</v>
      </c>
      <c r="B254">
        <v>15</v>
      </c>
      <c r="C254">
        <v>5</v>
      </c>
      <c r="D254">
        <v>4</v>
      </c>
      <c r="E254">
        <v>16</v>
      </c>
    </row>
    <row r="255" spans="1:5" x14ac:dyDescent="0.3">
      <c r="A255">
        <v>8.5</v>
      </c>
      <c r="B255">
        <v>15</v>
      </c>
      <c r="C255">
        <v>5</v>
      </c>
      <c r="D255">
        <v>1</v>
      </c>
      <c r="E255">
        <v>7</v>
      </c>
    </row>
    <row r="256" spans="1:5" x14ac:dyDescent="0.3">
      <c r="A256">
        <v>8.5</v>
      </c>
      <c r="B256">
        <v>15</v>
      </c>
      <c r="C256">
        <v>5</v>
      </c>
      <c r="D256">
        <v>2</v>
      </c>
      <c r="E256">
        <v>11</v>
      </c>
    </row>
    <row r="257" spans="1:5" x14ac:dyDescent="0.3">
      <c r="A257">
        <v>8.5</v>
      </c>
      <c r="B257">
        <v>15</v>
      </c>
      <c r="C257">
        <v>5</v>
      </c>
      <c r="D257">
        <v>3</v>
      </c>
      <c r="E257">
        <v>15</v>
      </c>
    </row>
    <row r="258" spans="1:5" x14ac:dyDescent="0.3">
      <c r="A258">
        <v>8.5</v>
      </c>
      <c r="B258">
        <v>15</v>
      </c>
      <c r="C258">
        <v>5</v>
      </c>
      <c r="D258">
        <v>4</v>
      </c>
      <c r="E258">
        <v>18</v>
      </c>
    </row>
    <row r="259" spans="1:5" x14ac:dyDescent="0.3">
      <c r="A259">
        <v>9</v>
      </c>
      <c r="B259">
        <v>15</v>
      </c>
      <c r="C259">
        <v>5</v>
      </c>
      <c r="D259">
        <v>1</v>
      </c>
      <c r="E259">
        <v>7</v>
      </c>
    </row>
    <row r="260" spans="1:5" x14ac:dyDescent="0.3">
      <c r="A260">
        <v>9</v>
      </c>
      <c r="B260">
        <v>15</v>
      </c>
      <c r="C260">
        <v>5</v>
      </c>
      <c r="D260">
        <v>2</v>
      </c>
      <c r="E260">
        <v>12</v>
      </c>
    </row>
    <row r="261" spans="1:5" x14ac:dyDescent="0.3">
      <c r="A261">
        <v>9</v>
      </c>
      <c r="B261">
        <v>15</v>
      </c>
      <c r="C261">
        <v>5</v>
      </c>
      <c r="D261">
        <v>3</v>
      </c>
      <c r="E261">
        <v>16</v>
      </c>
    </row>
    <row r="262" spans="1:5" x14ac:dyDescent="0.3">
      <c r="A262">
        <v>9</v>
      </c>
      <c r="B262">
        <v>15</v>
      </c>
      <c r="C262">
        <v>5</v>
      </c>
      <c r="D262">
        <v>4</v>
      </c>
      <c r="E262">
        <v>20</v>
      </c>
    </row>
    <row r="263" spans="1:5" x14ac:dyDescent="0.3">
      <c r="A263">
        <v>7</v>
      </c>
      <c r="B263">
        <v>20</v>
      </c>
      <c r="C263">
        <v>5</v>
      </c>
      <c r="D263">
        <v>1</v>
      </c>
      <c r="E263">
        <v>2</v>
      </c>
    </row>
    <row r="264" spans="1:5" x14ac:dyDescent="0.3">
      <c r="A264">
        <v>7</v>
      </c>
      <c r="B264">
        <v>20</v>
      </c>
      <c r="C264">
        <v>5</v>
      </c>
      <c r="D264">
        <v>2</v>
      </c>
      <c r="E264">
        <v>2</v>
      </c>
    </row>
    <row r="265" spans="1:5" x14ac:dyDescent="0.3">
      <c r="A265">
        <v>7</v>
      </c>
      <c r="B265">
        <v>20</v>
      </c>
      <c r="C265">
        <v>5</v>
      </c>
      <c r="D265">
        <v>3</v>
      </c>
      <c r="E265">
        <v>3</v>
      </c>
    </row>
    <row r="266" spans="1:5" x14ac:dyDescent="0.3">
      <c r="A266">
        <v>7</v>
      </c>
      <c r="B266">
        <v>20</v>
      </c>
      <c r="C266">
        <v>5</v>
      </c>
      <c r="D266">
        <v>4</v>
      </c>
      <c r="E266">
        <v>3</v>
      </c>
    </row>
    <row r="267" spans="1:5" x14ac:dyDescent="0.3">
      <c r="A267">
        <v>7.5</v>
      </c>
      <c r="B267">
        <v>20</v>
      </c>
      <c r="C267">
        <v>5</v>
      </c>
      <c r="D267">
        <v>1</v>
      </c>
      <c r="E267">
        <v>3</v>
      </c>
    </row>
    <row r="268" spans="1:5" x14ac:dyDescent="0.3">
      <c r="A268">
        <v>7.5</v>
      </c>
      <c r="B268">
        <v>20</v>
      </c>
      <c r="C268">
        <v>5</v>
      </c>
      <c r="D268">
        <v>2</v>
      </c>
      <c r="E268">
        <v>5</v>
      </c>
    </row>
    <row r="269" spans="1:5" x14ac:dyDescent="0.3">
      <c r="A269">
        <v>7.5</v>
      </c>
      <c r="B269">
        <v>20</v>
      </c>
      <c r="C269">
        <v>5</v>
      </c>
      <c r="D269">
        <v>3</v>
      </c>
      <c r="E269">
        <v>6</v>
      </c>
    </row>
    <row r="270" spans="1:5" x14ac:dyDescent="0.3">
      <c r="A270">
        <v>7.5</v>
      </c>
      <c r="B270">
        <v>20</v>
      </c>
      <c r="C270">
        <v>5</v>
      </c>
      <c r="D270">
        <v>4</v>
      </c>
      <c r="E270">
        <v>7</v>
      </c>
    </row>
    <row r="271" spans="1:5" x14ac:dyDescent="0.3">
      <c r="A271">
        <v>8</v>
      </c>
      <c r="B271">
        <v>20</v>
      </c>
      <c r="C271">
        <v>5</v>
      </c>
      <c r="D271">
        <v>1</v>
      </c>
      <c r="E271">
        <v>4</v>
      </c>
    </row>
    <row r="272" spans="1:5" x14ac:dyDescent="0.3">
      <c r="A272">
        <v>8</v>
      </c>
      <c r="B272">
        <v>20</v>
      </c>
      <c r="C272">
        <v>5</v>
      </c>
      <c r="D272">
        <v>2</v>
      </c>
      <c r="E272">
        <v>7</v>
      </c>
    </row>
    <row r="273" spans="1:5" x14ac:dyDescent="0.3">
      <c r="A273">
        <v>8</v>
      </c>
      <c r="B273">
        <v>20</v>
      </c>
      <c r="C273">
        <v>5</v>
      </c>
      <c r="D273">
        <v>3</v>
      </c>
      <c r="E273">
        <v>9</v>
      </c>
    </row>
    <row r="274" spans="1:5" x14ac:dyDescent="0.3">
      <c r="A274">
        <v>8</v>
      </c>
      <c r="B274">
        <v>20</v>
      </c>
      <c r="C274">
        <v>5</v>
      </c>
      <c r="D274">
        <v>4</v>
      </c>
      <c r="E274">
        <v>11</v>
      </c>
    </row>
    <row r="275" spans="1:5" x14ac:dyDescent="0.3">
      <c r="A275">
        <v>8.5</v>
      </c>
      <c r="B275">
        <v>20</v>
      </c>
      <c r="C275">
        <v>5</v>
      </c>
      <c r="D275">
        <v>1</v>
      </c>
      <c r="E275">
        <v>5</v>
      </c>
    </row>
    <row r="276" spans="1:5" x14ac:dyDescent="0.3">
      <c r="A276">
        <v>8.5</v>
      </c>
      <c r="B276">
        <v>20</v>
      </c>
      <c r="C276">
        <v>5</v>
      </c>
      <c r="D276">
        <v>2</v>
      </c>
      <c r="E276">
        <v>8</v>
      </c>
    </row>
    <row r="277" spans="1:5" x14ac:dyDescent="0.3">
      <c r="A277">
        <v>8.5</v>
      </c>
      <c r="B277">
        <v>20</v>
      </c>
      <c r="C277">
        <v>5</v>
      </c>
      <c r="D277">
        <v>3</v>
      </c>
      <c r="E277">
        <v>10</v>
      </c>
    </row>
    <row r="278" spans="1:5" x14ac:dyDescent="0.3">
      <c r="A278">
        <v>8.5</v>
      </c>
      <c r="B278">
        <v>20</v>
      </c>
      <c r="C278">
        <v>5</v>
      </c>
      <c r="D278">
        <v>4</v>
      </c>
      <c r="E278">
        <v>13</v>
      </c>
    </row>
    <row r="279" spans="1:5" x14ac:dyDescent="0.3">
      <c r="A279">
        <v>9</v>
      </c>
      <c r="B279">
        <v>20</v>
      </c>
      <c r="C279">
        <v>5</v>
      </c>
      <c r="D279">
        <v>1</v>
      </c>
      <c r="E279">
        <v>5</v>
      </c>
    </row>
    <row r="280" spans="1:5" x14ac:dyDescent="0.3">
      <c r="A280">
        <v>9</v>
      </c>
      <c r="B280">
        <v>20</v>
      </c>
      <c r="C280">
        <v>5</v>
      </c>
      <c r="D280">
        <v>2</v>
      </c>
      <c r="E280">
        <v>8</v>
      </c>
    </row>
    <row r="281" spans="1:5" x14ac:dyDescent="0.3">
      <c r="A281">
        <v>9</v>
      </c>
      <c r="B281">
        <v>20</v>
      </c>
      <c r="C281">
        <v>5</v>
      </c>
      <c r="D281">
        <v>3</v>
      </c>
      <c r="E281">
        <v>11</v>
      </c>
    </row>
    <row r="282" spans="1:5" x14ac:dyDescent="0.3">
      <c r="A282">
        <v>9</v>
      </c>
      <c r="B282">
        <v>20</v>
      </c>
      <c r="C282">
        <v>5</v>
      </c>
      <c r="D282">
        <v>4</v>
      </c>
      <c r="E282">
        <v>14</v>
      </c>
    </row>
    <row r="283" spans="1:5" x14ac:dyDescent="0.3">
      <c r="A283">
        <v>7</v>
      </c>
      <c r="B283">
        <v>25</v>
      </c>
      <c r="C283">
        <v>5</v>
      </c>
      <c r="D283">
        <v>1</v>
      </c>
      <c r="E283">
        <v>1</v>
      </c>
    </row>
    <row r="284" spans="1:5" x14ac:dyDescent="0.3">
      <c r="A284">
        <v>7</v>
      </c>
      <c r="B284">
        <v>25</v>
      </c>
      <c r="C284">
        <v>5</v>
      </c>
      <c r="D284">
        <v>2</v>
      </c>
      <c r="E284">
        <v>2</v>
      </c>
    </row>
    <row r="285" spans="1:5" x14ac:dyDescent="0.3">
      <c r="A285">
        <v>7</v>
      </c>
      <c r="B285">
        <v>25</v>
      </c>
      <c r="C285">
        <v>5</v>
      </c>
      <c r="D285">
        <v>3</v>
      </c>
      <c r="E285">
        <v>2</v>
      </c>
    </row>
    <row r="286" spans="1:5" x14ac:dyDescent="0.3">
      <c r="A286">
        <v>7</v>
      </c>
      <c r="B286">
        <v>25</v>
      </c>
      <c r="C286">
        <v>5</v>
      </c>
      <c r="D286">
        <v>4</v>
      </c>
      <c r="E286">
        <v>3</v>
      </c>
    </row>
    <row r="287" spans="1:5" x14ac:dyDescent="0.3">
      <c r="A287">
        <v>7.5</v>
      </c>
      <c r="B287">
        <v>25</v>
      </c>
      <c r="C287">
        <v>5</v>
      </c>
      <c r="D287">
        <v>1</v>
      </c>
      <c r="E287">
        <v>2</v>
      </c>
    </row>
    <row r="288" spans="1:5" x14ac:dyDescent="0.3">
      <c r="A288">
        <v>7.5</v>
      </c>
      <c r="B288">
        <v>25</v>
      </c>
      <c r="C288">
        <v>5</v>
      </c>
      <c r="D288">
        <v>2</v>
      </c>
      <c r="E288">
        <v>4</v>
      </c>
    </row>
    <row r="289" spans="1:5" x14ac:dyDescent="0.3">
      <c r="A289">
        <v>7.5</v>
      </c>
      <c r="B289">
        <v>25</v>
      </c>
      <c r="C289">
        <v>5</v>
      </c>
      <c r="D289">
        <v>3</v>
      </c>
      <c r="E289">
        <v>5</v>
      </c>
    </row>
    <row r="290" spans="1:5" x14ac:dyDescent="0.3">
      <c r="A290">
        <v>7.5</v>
      </c>
      <c r="B290">
        <v>25</v>
      </c>
      <c r="C290">
        <v>5</v>
      </c>
      <c r="D290">
        <v>4</v>
      </c>
      <c r="E290">
        <v>6</v>
      </c>
    </row>
    <row r="291" spans="1:5" x14ac:dyDescent="0.3">
      <c r="A291">
        <v>8</v>
      </c>
      <c r="B291">
        <v>25</v>
      </c>
      <c r="C291">
        <v>5</v>
      </c>
      <c r="D291">
        <v>1</v>
      </c>
      <c r="E291">
        <v>3</v>
      </c>
    </row>
    <row r="292" spans="1:5" x14ac:dyDescent="0.3">
      <c r="A292">
        <v>8</v>
      </c>
      <c r="B292">
        <v>25</v>
      </c>
      <c r="C292">
        <v>5</v>
      </c>
      <c r="D292">
        <v>2</v>
      </c>
      <c r="E292">
        <v>5</v>
      </c>
    </row>
    <row r="293" spans="1:5" x14ac:dyDescent="0.3">
      <c r="A293">
        <v>8</v>
      </c>
      <c r="B293">
        <v>25</v>
      </c>
      <c r="C293">
        <v>5</v>
      </c>
      <c r="D293">
        <v>3</v>
      </c>
      <c r="E293">
        <v>7</v>
      </c>
    </row>
    <row r="294" spans="1:5" x14ac:dyDescent="0.3">
      <c r="A294">
        <v>8</v>
      </c>
      <c r="B294">
        <v>25</v>
      </c>
      <c r="C294">
        <v>5</v>
      </c>
      <c r="D294">
        <v>4</v>
      </c>
      <c r="E294">
        <v>8</v>
      </c>
    </row>
    <row r="295" spans="1:5" x14ac:dyDescent="0.3">
      <c r="A295">
        <v>8.5</v>
      </c>
      <c r="B295">
        <v>25</v>
      </c>
      <c r="C295">
        <v>5</v>
      </c>
      <c r="D295">
        <v>1</v>
      </c>
      <c r="E295">
        <v>4</v>
      </c>
    </row>
    <row r="296" spans="1:5" x14ac:dyDescent="0.3">
      <c r="A296">
        <v>8.5</v>
      </c>
      <c r="B296">
        <v>25</v>
      </c>
      <c r="C296">
        <v>5</v>
      </c>
      <c r="D296">
        <v>2</v>
      </c>
      <c r="E296">
        <v>6</v>
      </c>
    </row>
    <row r="297" spans="1:5" x14ac:dyDescent="0.3">
      <c r="A297">
        <v>8.5</v>
      </c>
      <c r="B297">
        <v>25</v>
      </c>
      <c r="C297">
        <v>5</v>
      </c>
      <c r="D297">
        <v>3</v>
      </c>
      <c r="E297">
        <v>8</v>
      </c>
    </row>
    <row r="298" spans="1:5" x14ac:dyDescent="0.3">
      <c r="A298">
        <v>8.5</v>
      </c>
      <c r="B298">
        <v>25</v>
      </c>
      <c r="C298">
        <v>5</v>
      </c>
      <c r="D298">
        <v>4</v>
      </c>
      <c r="E298">
        <v>9</v>
      </c>
    </row>
    <row r="299" spans="1:5" x14ac:dyDescent="0.3">
      <c r="A299">
        <v>9</v>
      </c>
      <c r="B299">
        <v>25</v>
      </c>
      <c r="C299">
        <v>5</v>
      </c>
      <c r="D299">
        <v>1</v>
      </c>
      <c r="E299">
        <v>4</v>
      </c>
    </row>
    <row r="300" spans="1:5" x14ac:dyDescent="0.3">
      <c r="A300">
        <v>9</v>
      </c>
      <c r="B300">
        <v>25</v>
      </c>
      <c r="C300">
        <v>5</v>
      </c>
      <c r="D300">
        <v>2</v>
      </c>
      <c r="E300">
        <v>6</v>
      </c>
    </row>
    <row r="301" spans="1:5" x14ac:dyDescent="0.3">
      <c r="A301">
        <v>9</v>
      </c>
      <c r="B301">
        <v>25</v>
      </c>
      <c r="C301">
        <v>5</v>
      </c>
      <c r="D301">
        <v>3</v>
      </c>
      <c r="E301">
        <v>8</v>
      </c>
    </row>
    <row r="302" spans="1:5" x14ac:dyDescent="0.3">
      <c r="A302">
        <v>9</v>
      </c>
      <c r="B302">
        <v>25</v>
      </c>
      <c r="C302">
        <v>5</v>
      </c>
      <c r="D302">
        <v>4</v>
      </c>
      <c r="E302">
        <v>10</v>
      </c>
    </row>
  </sheetData>
  <pageMargins left="0.7" right="0.7" top="0.75" bottom="0.75" header="0.3" footer="0.3"/>
  <pageSetup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5D486-7DEF-407F-BD09-EEBAAA0BEF05}">
  <sheetPr codeName="Sheet11"/>
  <dimension ref="B1:CZ92"/>
  <sheetViews>
    <sheetView workbookViewId="0">
      <selection activeCell="E8" sqref="E8"/>
    </sheetView>
  </sheetViews>
  <sheetFormatPr defaultRowHeight="14.4" x14ac:dyDescent="0.3"/>
  <cols>
    <col min="2" max="2" width="14.44140625" bestFit="1" customWidth="1"/>
    <col min="3" max="3" width="29.33203125" bestFit="1" customWidth="1"/>
    <col min="5" max="5" width="14.6640625" bestFit="1" customWidth="1"/>
    <col min="6" max="6" width="28.33203125" bestFit="1" customWidth="1"/>
  </cols>
  <sheetData>
    <row r="1" spans="2:104" x14ac:dyDescent="0.3">
      <c r="B1" t="s">
        <v>1097</v>
      </c>
      <c r="E1" t="s">
        <v>1096</v>
      </c>
      <c r="L1" t="s">
        <v>292</v>
      </c>
      <c r="M1" t="s">
        <v>293</v>
      </c>
      <c r="N1" t="s">
        <v>421</v>
      </c>
      <c r="O1" t="s">
        <v>422</v>
      </c>
      <c r="P1" t="s">
        <v>423</v>
      </c>
      <c r="Q1" t="s">
        <v>424</v>
      </c>
      <c r="R1" t="s">
        <v>425</v>
      </c>
      <c r="S1" t="s">
        <v>426</v>
      </c>
      <c r="T1" t="s">
        <v>427</v>
      </c>
      <c r="U1" t="s">
        <v>428</v>
      </c>
      <c r="V1" t="s">
        <v>429</v>
      </c>
      <c r="W1" t="s">
        <v>430</v>
      </c>
      <c r="X1" t="s">
        <v>431</v>
      </c>
      <c r="Y1" t="s">
        <v>432</v>
      </c>
      <c r="Z1" t="s">
        <v>433</v>
      </c>
      <c r="AA1" t="s">
        <v>434</v>
      </c>
      <c r="AB1" t="s">
        <v>435</v>
      </c>
      <c r="AC1" t="s">
        <v>437</v>
      </c>
      <c r="AD1" t="s">
        <v>439</v>
      </c>
      <c r="AE1" t="s">
        <v>440</v>
      </c>
      <c r="AF1" t="s">
        <v>441</v>
      </c>
      <c r="AG1" t="s">
        <v>442</v>
      </c>
      <c r="AH1" t="s">
        <v>443</v>
      </c>
      <c r="AI1" t="s">
        <v>444</v>
      </c>
      <c r="AJ1" t="s">
        <v>445</v>
      </c>
      <c r="AK1" t="s">
        <v>446</v>
      </c>
      <c r="AL1" t="s">
        <v>447</v>
      </c>
      <c r="AM1" t="s">
        <v>448</v>
      </c>
      <c r="AN1" t="s">
        <v>449</v>
      </c>
      <c r="AO1" t="s">
        <v>450</v>
      </c>
      <c r="AP1" t="s">
        <v>400</v>
      </c>
      <c r="AQ1" t="s">
        <v>401</v>
      </c>
      <c r="AR1" t="s">
        <v>402</v>
      </c>
      <c r="AS1" t="s">
        <v>451</v>
      </c>
      <c r="AT1" t="s">
        <v>403</v>
      </c>
      <c r="AU1" t="s">
        <v>452</v>
      </c>
      <c r="AV1" t="s">
        <v>405</v>
      </c>
      <c r="AW1" t="s">
        <v>454</v>
      </c>
      <c r="AX1" t="s">
        <v>406</v>
      </c>
      <c r="AY1" t="s">
        <v>407</v>
      </c>
      <c r="AZ1" t="s">
        <v>455</v>
      </c>
      <c r="BA1" t="s">
        <v>456</v>
      </c>
      <c r="BB1" t="s">
        <v>457</v>
      </c>
      <c r="BC1" t="s">
        <v>458</v>
      </c>
      <c r="BD1" t="s">
        <v>408</v>
      </c>
      <c r="BE1" t="s">
        <v>402</v>
      </c>
      <c r="BF1" t="s">
        <v>403</v>
      </c>
      <c r="BG1" t="s">
        <v>452</v>
      </c>
      <c r="BH1" t="s">
        <v>459</v>
      </c>
      <c r="BI1" t="s">
        <v>406</v>
      </c>
      <c r="BJ1" t="s">
        <v>407</v>
      </c>
      <c r="BK1" t="s">
        <v>408</v>
      </c>
      <c r="BL1" t="s">
        <v>463</v>
      </c>
      <c r="BM1" t="s">
        <v>1098</v>
      </c>
      <c r="BN1" t="s">
        <v>1099</v>
      </c>
      <c r="BO1" t="s">
        <v>416</v>
      </c>
      <c r="BP1" t="s">
        <v>460</v>
      </c>
      <c r="BQ1" t="s">
        <v>461</v>
      </c>
      <c r="BR1" t="s">
        <v>462</v>
      </c>
      <c r="BS1" t="s">
        <v>463</v>
      </c>
      <c r="BT1" t="s">
        <v>464</v>
      </c>
      <c r="BU1" t="s">
        <v>296</v>
      </c>
      <c r="BV1" t="s">
        <v>297</v>
      </c>
      <c r="BW1" t="s">
        <v>298</v>
      </c>
      <c r="BX1" t="s">
        <v>299</v>
      </c>
      <c r="BY1" t="s">
        <v>300</v>
      </c>
      <c r="BZ1" t="s">
        <v>301</v>
      </c>
      <c r="CA1" t="s">
        <v>302</v>
      </c>
      <c r="CB1" t="s">
        <v>303</v>
      </c>
      <c r="CC1" t="s">
        <v>465</v>
      </c>
      <c r="CD1" t="s">
        <v>296</v>
      </c>
      <c r="CE1" t="s">
        <v>298</v>
      </c>
      <c r="CF1" t="s">
        <v>299</v>
      </c>
      <c r="CG1" t="s">
        <v>300</v>
      </c>
      <c r="CH1" t="s">
        <v>301</v>
      </c>
      <c r="CI1" t="s">
        <v>302</v>
      </c>
      <c r="CJ1" t="s">
        <v>303</v>
      </c>
      <c r="CK1" t="s">
        <v>465</v>
      </c>
      <c r="CL1" t="s">
        <v>296</v>
      </c>
      <c r="CM1" t="s">
        <v>298</v>
      </c>
      <c r="CN1" t="s">
        <v>299</v>
      </c>
      <c r="CO1" t="s">
        <v>300</v>
      </c>
      <c r="CP1" t="s">
        <v>301</v>
      </c>
      <c r="CQ1" t="s">
        <v>302</v>
      </c>
      <c r="CR1" t="s">
        <v>303</v>
      </c>
      <c r="CS1" t="s">
        <v>465</v>
      </c>
      <c r="CT1" t="s">
        <v>466</v>
      </c>
      <c r="CU1" t="s">
        <v>467</v>
      </c>
      <c r="CV1" t="s">
        <v>468</v>
      </c>
      <c r="CW1" t="s">
        <v>469</v>
      </c>
    </row>
    <row r="2" spans="2:104" x14ac:dyDescent="0.3">
      <c r="B2" t="s">
        <v>1100</v>
      </c>
      <c r="C2" t="s">
        <v>1101</v>
      </c>
      <c r="E2" s="6" t="s">
        <v>1100</v>
      </c>
      <c r="F2" s="6" t="s">
        <v>1101</v>
      </c>
      <c r="L2" t="s">
        <v>470</v>
      </c>
      <c r="M2" t="s">
        <v>471</v>
      </c>
      <c r="N2" t="s">
        <v>472</v>
      </c>
      <c r="O2" t="s">
        <v>473</v>
      </c>
      <c r="P2" t="s">
        <v>474</v>
      </c>
      <c r="Q2" t="s">
        <v>475</v>
      </c>
      <c r="R2" t="s">
        <v>476</v>
      </c>
      <c r="S2" t="s">
        <v>478</v>
      </c>
      <c r="T2" t="s">
        <v>479</v>
      </c>
      <c r="U2" t="s">
        <v>480</v>
      </c>
      <c r="V2" t="s">
        <v>481</v>
      </c>
      <c r="W2" t="s">
        <v>482</v>
      </c>
      <c r="X2" t="s">
        <v>483</v>
      </c>
      <c r="Y2" t="s">
        <v>484</v>
      </c>
      <c r="Z2" t="s">
        <v>485</v>
      </c>
      <c r="AA2" t="s">
        <v>486</v>
      </c>
      <c r="AB2" t="s">
        <v>487</v>
      </c>
      <c r="AC2" t="s">
        <v>489</v>
      </c>
      <c r="AD2" t="s">
        <v>491</v>
      </c>
      <c r="AE2" t="s">
        <v>492</v>
      </c>
      <c r="AF2" t="s">
        <v>493</v>
      </c>
      <c r="AG2" t="s">
        <v>494</v>
      </c>
      <c r="AH2" t="s">
        <v>495</v>
      </c>
      <c r="AI2" t="s">
        <v>496</v>
      </c>
      <c r="AJ2" t="s">
        <v>497</v>
      </c>
      <c r="AK2" t="s">
        <v>498</v>
      </c>
      <c r="AL2" t="s">
        <v>499</v>
      </c>
      <c r="AM2" t="s">
        <v>500</v>
      </c>
      <c r="AN2" t="s">
        <v>501</v>
      </c>
      <c r="AO2" t="s">
        <v>502</v>
      </c>
      <c r="AP2" t="s">
        <v>503</v>
      </c>
      <c r="AQ2" t="s">
        <v>504</v>
      </c>
      <c r="AR2" t="s">
        <v>505</v>
      </c>
      <c r="AS2" t="s">
        <v>506</v>
      </c>
      <c r="AT2" t="s">
        <v>507</v>
      </c>
      <c r="AU2" t="s">
        <v>508</v>
      </c>
      <c r="AV2" t="s">
        <v>510</v>
      </c>
      <c r="AW2" t="s">
        <v>511</v>
      </c>
      <c r="AX2" t="s">
        <v>512</v>
      </c>
      <c r="AY2" t="s">
        <v>513</v>
      </c>
      <c r="AZ2" t="s">
        <v>514</v>
      </c>
      <c r="BA2" t="s">
        <v>515</v>
      </c>
      <c r="BB2" t="s">
        <v>516</v>
      </c>
      <c r="BC2" t="s">
        <v>517</v>
      </c>
      <c r="BD2" t="s">
        <v>518</v>
      </c>
      <c r="BE2" t="s">
        <v>519</v>
      </c>
      <c r="BF2" t="s">
        <v>521</v>
      </c>
      <c r="BG2" t="s">
        <v>522</v>
      </c>
      <c r="BH2" t="s">
        <v>523</v>
      </c>
      <c r="BI2" t="s">
        <v>525</v>
      </c>
      <c r="BJ2" t="s">
        <v>526</v>
      </c>
      <c r="BK2" t="s">
        <v>527</v>
      </c>
      <c r="BL2" t="s">
        <v>1102</v>
      </c>
      <c r="BM2" t="s">
        <v>1103</v>
      </c>
      <c r="BN2" t="s">
        <v>1104</v>
      </c>
      <c r="BO2" t="s">
        <v>528</v>
      </c>
      <c r="BP2" t="s">
        <v>529</v>
      </c>
      <c r="BQ2" t="s">
        <v>530</v>
      </c>
      <c r="BR2" t="s">
        <v>531</v>
      </c>
      <c r="BS2" t="s">
        <v>532</v>
      </c>
      <c r="BT2" t="s">
        <v>533</v>
      </c>
      <c r="BU2" t="s">
        <v>534</v>
      </c>
      <c r="BV2" t="s">
        <v>535</v>
      </c>
      <c r="BW2" t="s">
        <v>536</v>
      </c>
      <c r="BX2" t="s">
        <v>537</v>
      </c>
      <c r="BY2" t="s">
        <v>538</v>
      </c>
      <c r="BZ2" t="s">
        <v>539</v>
      </c>
      <c r="CA2" t="s">
        <v>540</v>
      </c>
      <c r="CB2" t="s">
        <v>541</v>
      </c>
      <c r="CC2" t="s">
        <v>542</v>
      </c>
      <c r="CD2" t="s">
        <v>543</v>
      </c>
      <c r="CE2" t="s">
        <v>544</v>
      </c>
      <c r="CF2" t="s">
        <v>545</v>
      </c>
      <c r="CG2" t="s">
        <v>546</v>
      </c>
      <c r="CH2" t="s">
        <v>547</v>
      </c>
      <c r="CI2" t="s">
        <v>548</v>
      </c>
      <c r="CJ2" t="s">
        <v>549</v>
      </c>
      <c r="CK2" t="s">
        <v>550</v>
      </c>
      <c r="CL2" t="s">
        <v>551</v>
      </c>
      <c r="CM2" t="s">
        <v>552</v>
      </c>
      <c r="CN2" t="s">
        <v>553</v>
      </c>
      <c r="CO2" t="s">
        <v>554</v>
      </c>
      <c r="CP2" t="s">
        <v>555</v>
      </c>
      <c r="CQ2" t="s">
        <v>556</v>
      </c>
      <c r="CR2" t="s">
        <v>557</v>
      </c>
      <c r="CS2" t="s">
        <v>558</v>
      </c>
      <c r="CT2" t="s">
        <v>559</v>
      </c>
      <c r="CU2" t="s">
        <v>560</v>
      </c>
      <c r="CV2" t="s">
        <v>561</v>
      </c>
      <c r="CW2" t="s">
        <v>562</v>
      </c>
    </row>
    <row r="3" spans="2:104" x14ac:dyDescent="0.3">
      <c r="B3" t="s">
        <v>470</v>
      </c>
      <c r="C3" t="s">
        <v>292</v>
      </c>
      <c r="E3" t="s">
        <v>470</v>
      </c>
      <c r="F3" t="s">
        <v>292</v>
      </c>
    </row>
    <row r="4" spans="2:104" x14ac:dyDescent="0.3">
      <c r="B4" t="s">
        <v>471</v>
      </c>
      <c r="C4" t="s">
        <v>293</v>
      </c>
      <c r="E4" t="s">
        <v>471</v>
      </c>
      <c r="F4" t="s">
        <v>293</v>
      </c>
      <c r="L4" t="s">
        <v>470</v>
      </c>
      <c r="M4" t="s">
        <v>471</v>
      </c>
      <c r="N4" t="s">
        <v>472</v>
      </c>
      <c r="O4" t="s">
        <v>473</v>
      </c>
      <c r="P4" t="s">
        <v>474</v>
      </c>
      <c r="Q4" t="s">
        <v>475</v>
      </c>
      <c r="R4" t="s">
        <v>476</v>
      </c>
      <c r="S4" t="s">
        <v>477</v>
      </c>
      <c r="T4" t="s">
        <v>478</v>
      </c>
      <c r="U4" t="s">
        <v>479</v>
      </c>
      <c r="V4" t="s">
        <v>480</v>
      </c>
      <c r="W4" t="s">
        <v>481</v>
      </c>
      <c r="X4" t="s">
        <v>482</v>
      </c>
      <c r="Y4" t="s">
        <v>483</v>
      </c>
      <c r="Z4" t="s">
        <v>484</v>
      </c>
      <c r="AA4" t="s">
        <v>485</v>
      </c>
      <c r="AB4" t="s">
        <v>486</v>
      </c>
      <c r="AC4" t="s">
        <v>487</v>
      </c>
      <c r="AD4" t="s">
        <v>488</v>
      </c>
      <c r="AE4" t="s">
        <v>489</v>
      </c>
      <c r="AF4" t="s">
        <v>490</v>
      </c>
      <c r="AG4" t="s">
        <v>1108</v>
      </c>
      <c r="AH4" t="s">
        <v>1109</v>
      </c>
      <c r="AI4" t="s">
        <v>1110</v>
      </c>
      <c r="AJ4" t="s">
        <v>1111</v>
      </c>
      <c r="AK4" t="s">
        <v>1112</v>
      </c>
      <c r="AL4" t="s">
        <v>496</v>
      </c>
      <c r="AM4" t="s">
        <v>497</v>
      </c>
      <c r="AN4" t="s">
        <v>498</v>
      </c>
      <c r="AO4" t="s">
        <v>499</v>
      </c>
      <c r="AP4" t="s">
        <v>500</v>
      </c>
      <c r="AQ4" t="s">
        <v>501</v>
      </c>
      <c r="AR4" t="s">
        <v>502</v>
      </c>
      <c r="AS4" t="s">
        <v>503</v>
      </c>
      <c r="AT4" t="s">
        <v>504</v>
      </c>
      <c r="AU4" t="s">
        <v>505</v>
      </c>
      <c r="AV4" t="s">
        <v>506</v>
      </c>
      <c r="AW4" t="s">
        <v>507</v>
      </c>
      <c r="AX4" t="s">
        <v>508</v>
      </c>
      <c r="AY4" t="s">
        <v>509</v>
      </c>
      <c r="AZ4" t="s">
        <v>510</v>
      </c>
      <c r="BA4" t="s">
        <v>511</v>
      </c>
      <c r="BB4" t="s">
        <v>512</v>
      </c>
      <c r="BC4" t="s">
        <v>513</v>
      </c>
      <c r="BD4" t="s">
        <v>514</v>
      </c>
      <c r="BE4" t="s">
        <v>515</v>
      </c>
      <c r="BF4" t="s">
        <v>516</v>
      </c>
      <c r="BG4" t="s">
        <v>517</v>
      </c>
      <c r="BH4" t="s">
        <v>518</v>
      </c>
      <c r="BI4" t="s">
        <v>519</v>
      </c>
      <c r="BJ4" t="s">
        <v>520</v>
      </c>
      <c r="BK4" t="s">
        <v>521</v>
      </c>
      <c r="BL4" t="s">
        <v>522</v>
      </c>
      <c r="BM4" t="s">
        <v>523</v>
      </c>
      <c r="BN4" t="s">
        <v>524</v>
      </c>
      <c r="BO4" t="s">
        <v>525</v>
      </c>
      <c r="BP4" t="s">
        <v>526</v>
      </c>
      <c r="BQ4" t="s">
        <v>527</v>
      </c>
      <c r="BR4" t="s">
        <v>528</v>
      </c>
      <c r="BS4" t="s">
        <v>529</v>
      </c>
      <c r="BT4" t="s">
        <v>530</v>
      </c>
      <c r="BU4" t="s">
        <v>531</v>
      </c>
      <c r="BV4" t="s">
        <v>532</v>
      </c>
      <c r="BW4" t="s">
        <v>533</v>
      </c>
      <c r="BX4" t="s">
        <v>534</v>
      </c>
      <c r="BY4" t="s">
        <v>535</v>
      </c>
      <c r="BZ4" t="s">
        <v>536</v>
      </c>
      <c r="CA4" t="s">
        <v>537</v>
      </c>
      <c r="CB4" t="s">
        <v>538</v>
      </c>
      <c r="CC4" t="s">
        <v>539</v>
      </c>
      <c r="CD4" t="s">
        <v>540</v>
      </c>
      <c r="CE4" t="s">
        <v>541</v>
      </c>
      <c r="CF4" t="s">
        <v>542</v>
      </c>
      <c r="CG4" t="s">
        <v>543</v>
      </c>
      <c r="CH4" t="s">
        <v>544</v>
      </c>
      <c r="CI4" t="s">
        <v>545</v>
      </c>
      <c r="CJ4" t="s">
        <v>546</v>
      </c>
      <c r="CK4" t="s">
        <v>547</v>
      </c>
      <c r="CL4" t="s">
        <v>548</v>
      </c>
      <c r="CM4" t="s">
        <v>549</v>
      </c>
      <c r="CN4" t="s">
        <v>550</v>
      </c>
      <c r="CO4" t="s">
        <v>551</v>
      </c>
      <c r="CP4" t="s">
        <v>552</v>
      </c>
      <c r="CQ4" t="s">
        <v>553</v>
      </c>
      <c r="CR4" t="s">
        <v>554</v>
      </c>
      <c r="CS4" t="s">
        <v>555</v>
      </c>
      <c r="CT4" t="s">
        <v>556</v>
      </c>
      <c r="CU4" t="s">
        <v>557</v>
      </c>
      <c r="CV4" t="s">
        <v>558</v>
      </c>
      <c r="CW4" t="s">
        <v>559</v>
      </c>
      <c r="CX4" t="s">
        <v>560</v>
      </c>
      <c r="CY4" t="s">
        <v>561</v>
      </c>
      <c r="CZ4" t="s">
        <v>562</v>
      </c>
    </row>
    <row r="5" spans="2:104" x14ac:dyDescent="0.3">
      <c r="B5" t="s">
        <v>472</v>
      </c>
      <c r="C5" t="s">
        <v>421</v>
      </c>
      <c r="E5" t="s">
        <v>472</v>
      </c>
      <c r="F5" t="s">
        <v>421</v>
      </c>
    </row>
    <row r="6" spans="2:104" x14ac:dyDescent="0.3">
      <c r="B6" t="s">
        <v>473</v>
      </c>
      <c r="C6" t="s">
        <v>422</v>
      </c>
      <c r="E6" t="s">
        <v>480</v>
      </c>
      <c r="F6" t="s">
        <v>428</v>
      </c>
    </row>
    <row r="7" spans="2:104" x14ac:dyDescent="0.3">
      <c r="B7" t="s">
        <v>474</v>
      </c>
      <c r="C7" t="s">
        <v>423</v>
      </c>
      <c r="E7" t="s">
        <v>481</v>
      </c>
      <c r="F7" t="s">
        <v>429</v>
      </c>
    </row>
    <row r="8" spans="2:104" x14ac:dyDescent="0.3">
      <c r="B8" t="s">
        <v>475</v>
      </c>
      <c r="C8" t="s">
        <v>424</v>
      </c>
      <c r="E8" t="s">
        <v>482</v>
      </c>
      <c r="F8" t="s">
        <v>430</v>
      </c>
    </row>
    <row r="9" spans="2:104" x14ac:dyDescent="0.3">
      <c r="B9" t="s">
        <v>476</v>
      </c>
      <c r="C9" t="s">
        <v>425</v>
      </c>
      <c r="E9" t="s">
        <v>483</v>
      </c>
      <c r="F9" t="s">
        <v>431</v>
      </c>
    </row>
    <row r="10" spans="2:104" x14ac:dyDescent="0.3">
      <c r="B10" t="s">
        <v>478</v>
      </c>
      <c r="C10" t="s">
        <v>426</v>
      </c>
      <c r="E10" t="s">
        <v>987</v>
      </c>
      <c r="F10" t="s">
        <v>984</v>
      </c>
    </row>
    <row r="11" spans="2:104" x14ac:dyDescent="0.3">
      <c r="B11" t="s">
        <v>479</v>
      </c>
      <c r="C11" t="s">
        <v>427</v>
      </c>
      <c r="E11" t="s">
        <v>484</v>
      </c>
      <c r="F11" t="s">
        <v>432</v>
      </c>
    </row>
    <row r="12" spans="2:104" x14ac:dyDescent="0.3">
      <c r="B12" t="s">
        <v>480</v>
      </c>
      <c r="C12" t="s">
        <v>428</v>
      </c>
      <c r="E12" t="s">
        <v>485</v>
      </c>
      <c r="F12" t="s">
        <v>433</v>
      </c>
    </row>
    <row r="13" spans="2:104" x14ac:dyDescent="0.3">
      <c r="B13" t="s">
        <v>481</v>
      </c>
      <c r="C13" t="s">
        <v>429</v>
      </c>
      <c r="E13" t="s">
        <v>486</v>
      </c>
      <c r="F13" t="s">
        <v>434</v>
      </c>
    </row>
    <row r="14" spans="2:104" x14ac:dyDescent="0.3">
      <c r="B14" t="s">
        <v>482</v>
      </c>
      <c r="C14" t="s">
        <v>430</v>
      </c>
      <c r="E14" t="s">
        <v>487</v>
      </c>
      <c r="F14" t="s">
        <v>435</v>
      </c>
    </row>
    <row r="15" spans="2:104" x14ac:dyDescent="0.3">
      <c r="B15" t="s">
        <v>483</v>
      </c>
      <c r="C15" t="s">
        <v>431</v>
      </c>
      <c r="E15" t="s">
        <v>489</v>
      </c>
      <c r="F15" t="s">
        <v>437</v>
      </c>
    </row>
    <row r="16" spans="2:104" x14ac:dyDescent="0.3">
      <c r="B16" t="s">
        <v>484</v>
      </c>
      <c r="C16" t="s">
        <v>432</v>
      </c>
      <c r="E16" t="s">
        <v>491</v>
      </c>
      <c r="F16" t="s">
        <v>439</v>
      </c>
    </row>
    <row r="17" spans="2:6" x14ac:dyDescent="0.3">
      <c r="B17" t="s">
        <v>485</v>
      </c>
      <c r="C17" t="s">
        <v>433</v>
      </c>
      <c r="E17" t="s">
        <v>492</v>
      </c>
      <c r="F17" t="s">
        <v>440</v>
      </c>
    </row>
    <row r="18" spans="2:6" x14ac:dyDescent="0.3">
      <c r="B18" t="s">
        <v>486</v>
      </c>
      <c r="C18" t="s">
        <v>434</v>
      </c>
      <c r="E18" t="s">
        <v>493</v>
      </c>
      <c r="F18" t="s">
        <v>441</v>
      </c>
    </row>
    <row r="19" spans="2:6" x14ac:dyDescent="0.3">
      <c r="B19" t="s">
        <v>487</v>
      </c>
      <c r="C19" t="s">
        <v>435</v>
      </c>
      <c r="E19" t="s">
        <v>494</v>
      </c>
      <c r="F19" t="s">
        <v>442</v>
      </c>
    </row>
    <row r="20" spans="2:6" x14ac:dyDescent="0.3">
      <c r="B20" t="s">
        <v>489</v>
      </c>
      <c r="C20" t="s">
        <v>437</v>
      </c>
      <c r="E20" t="s">
        <v>495</v>
      </c>
      <c r="F20" t="s">
        <v>443</v>
      </c>
    </row>
    <row r="21" spans="2:6" x14ac:dyDescent="0.3">
      <c r="B21" t="s">
        <v>491</v>
      </c>
      <c r="C21" t="s">
        <v>439</v>
      </c>
      <c r="E21" t="s">
        <v>496</v>
      </c>
      <c r="F21" t="s">
        <v>444</v>
      </c>
    </row>
    <row r="22" spans="2:6" x14ac:dyDescent="0.3">
      <c r="B22" t="s">
        <v>492</v>
      </c>
      <c r="C22" t="s">
        <v>440</v>
      </c>
      <c r="E22" t="s">
        <v>497</v>
      </c>
      <c r="F22" t="s">
        <v>445</v>
      </c>
    </row>
    <row r="23" spans="2:6" x14ac:dyDescent="0.3">
      <c r="B23" t="s">
        <v>493</v>
      </c>
      <c r="C23" t="s">
        <v>441</v>
      </c>
      <c r="E23" t="s">
        <v>498</v>
      </c>
      <c r="F23" t="s">
        <v>446</v>
      </c>
    </row>
    <row r="24" spans="2:6" x14ac:dyDescent="0.3">
      <c r="B24" t="s">
        <v>494</v>
      </c>
      <c r="C24" t="s">
        <v>442</v>
      </c>
      <c r="E24" t="s">
        <v>476</v>
      </c>
      <c r="F24" t="s">
        <v>425</v>
      </c>
    </row>
    <row r="25" spans="2:6" x14ac:dyDescent="0.3">
      <c r="B25" t="s">
        <v>495</v>
      </c>
      <c r="C25" t="s">
        <v>443</v>
      </c>
      <c r="E25" t="s">
        <v>478</v>
      </c>
      <c r="F25" t="s">
        <v>426</v>
      </c>
    </row>
    <row r="26" spans="2:6" x14ac:dyDescent="0.3">
      <c r="B26" t="s">
        <v>496</v>
      </c>
      <c r="C26" t="s">
        <v>444</v>
      </c>
      <c r="E26" t="s">
        <v>503</v>
      </c>
      <c r="F26" t="s">
        <v>400</v>
      </c>
    </row>
    <row r="27" spans="2:6" x14ac:dyDescent="0.3">
      <c r="B27" t="s">
        <v>497</v>
      </c>
      <c r="C27" t="s">
        <v>445</v>
      </c>
      <c r="E27" t="s">
        <v>504</v>
      </c>
      <c r="F27" t="s">
        <v>401</v>
      </c>
    </row>
    <row r="28" spans="2:6" x14ac:dyDescent="0.3">
      <c r="B28" t="s">
        <v>498</v>
      </c>
      <c r="C28" t="s">
        <v>446</v>
      </c>
      <c r="E28" t="s">
        <v>505</v>
      </c>
      <c r="F28" t="s">
        <v>402</v>
      </c>
    </row>
    <row r="29" spans="2:6" x14ac:dyDescent="0.3">
      <c r="B29" t="s">
        <v>499</v>
      </c>
      <c r="C29" t="s">
        <v>447</v>
      </c>
      <c r="E29" t="s">
        <v>507</v>
      </c>
      <c r="F29" t="s">
        <v>403</v>
      </c>
    </row>
    <row r="30" spans="2:6" x14ac:dyDescent="0.3">
      <c r="B30" t="s">
        <v>500</v>
      </c>
      <c r="C30" t="s">
        <v>448</v>
      </c>
      <c r="E30" t="s">
        <v>508</v>
      </c>
      <c r="F30" t="s">
        <v>404</v>
      </c>
    </row>
    <row r="31" spans="2:6" x14ac:dyDescent="0.3">
      <c r="B31" t="s">
        <v>501</v>
      </c>
      <c r="C31" t="s">
        <v>449</v>
      </c>
      <c r="E31" t="s">
        <v>510</v>
      </c>
      <c r="F31" t="s">
        <v>405</v>
      </c>
    </row>
    <row r="32" spans="2:6" x14ac:dyDescent="0.3">
      <c r="B32" t="s">
        <v>502</v>
      </c>
      <c r="C32" t="s">
        <v>450</v>
      </c>
      <c r="E32" t="s">
        <v>511</v>
      </c>
      <c r="F32" t="s">
        <v>454</v>
      </c>
    </row>
    <row r="33" spans="2:6" x14ac:dyDescent="0.3">
      <c r="B33" t="s">
        <v>503</v>
      </c>
      <c r="C33" t="s">
        <v>400</v>
      </c>
      <c r="E33" t="s">
        <v>512</v>
      </c>
      <c r="F33" t="s">
        <v>406</v>
      </c>
    </row>
    <row r="34" spans="2:6" x14ac:dyDescent="0.3">
      <c r="B34" t="s">
        <v>504</v>
      </c>
      <c r="C34" t="s">
        <v>401</v>
      </c>
      <c r="E34" t="s">
        <v>513</v>
      </c>
      <c r="F34" t="s">
        <v>407</v>
      </c>
    </row>
    <row r="35" spans="2:6" x14ac:dyDescent="0.3">
      <c r="B35" t="s">
        <v>505</v>
      </c>
      <c r="C35" t="s">
        <v>402</v>
      </c>
      <c r="E35" t="s">
        <v>518</v>
      </c>
      <c r="F35" t="s">
        <v>408</v>
      </c>
    </row>
    <row r="36" spans="2:6" x14ac:dyDescent="0.3">
      <c r="B36" t="s">
        <v>506</v>
      </c>
      <c r="C36" t="s">
        <v>451</v>
      </c>
      <c r="E36" t="s">
        <v>529</v>
      </c>
      <c r="F36" t="s">
        <v>460</v>
      </c>
    </row>
    <row r="37" spans="2:6" x14ac:dyDescent="0.3">
      <c r="B37" t="s">
        <v>507</v>
      </c>
      <c r="C37" t="s">
        <v>403</v>
      </c>
      <c r="E37" t="s">
        <v>530</v>
      </c>
      <c r="F37" t="s">
        <v>985</v>
      </c>
    </row>
    <row r="38" spans="2:6" x14ac:dyDescent="0.3">
      <c r="B38" t="s">
        <v>508</v>
      </c>
      <c r="C38" t="s">
        <v>452</v>
      </c>
      <c r="E38" t="s">
        <v>1105</v>
      </c>
      <c r="F38" t="s">
        <v>1106</v>
      </c>
    </row>
    <row r="39" spans="2:6" x14ac:dyDescent="0.3">
      <c r="B39" t="s">
        <v>510</v>
      </c>
      <c r="C39" t="s">
        <v>405</v>
      </c>
      <c r="E39" t="s">
        <v>531</v>
      </c>
      <c r="F39" t="s">
        <v>462</v>
      </c>
    </row>
    <row r="40" spans="2:6" x14ac:dyDescent="0.3">
      <c r="B40" t="s">
        <v>511</v>
      </c>
      <c r="C40" t="s">
        <v>454</v>
      </c>
      <c r="E40" t="s">
        <v>989</v>
      </c>
      <c r="F40" t="s">
        <v>983</v>
      </c>
    </row>
    <row r="41" spans="2:6" x14ac:dyDescent="0.3">
      <c r="B41" t="s">
        <v>512</v>
      </c>
      <c r="C41" t="s">
        <v>406</v>
      </c>
      <c r="E41" t="s">
        <v>502</v>
      </c>
      <c r="F41" t="s">
        <v>450</v>
      </c>
    </row>
    <row r="42" spans="2:6" x14ac:dyDescent="0.3">
      <c r="B42" t="s">
        <v>513</v>
      </c>
      <c r="C42" t="s">
        <v>407</v>
      </c>
      <c r="E42" t="s">
        <v>990</v>
      </c>
      <c r="F42" t="s">
        <v>466</v>
      </c>
    </row>
    <row r="43" spans="2:6" x14ac:dyDescent="0.3">
      <c r="B43" t="s">
        <v>514</v>
      </c>
      <c r="C43" t="s">
        <v>455</v>
      </c>
      <c r="E43" t="s">
        <v>560</v>
      </c>
      <c r="F43" t="s">
        <v>467</v>
      </c>
    </row>
    <row r="44" spans="2:6" x14ac:dyDescent="0.3">
      <c r="B44" t="s">
        <v>515</v>
      </c>
      <c r="C44" t="s">
        <v>456</v>
      </c>
      <c r="E44" t="s">
        <v>561</v>
      </c>
      <c r="F44" t="s">
        <v>468</v>
      </c>
    </row>
    <row r="45" spans="2:6" x14ac:dyDescent="0.3">
      <c r="B45" t="s">
        <v>516</v>
      </c>
      <c r="C45" t="s">
        <v>457</v>
      </c>
      <c r="E45" t="s">
        <v>562</v>
      </c>
      <c r="F45" t="s">
        <v>469</v>
      </c>
    </row>
    <row r="46" spans="2:6" x14ac:dyDescent="0.3">
      <c r="B46" t="s">
        <v>517</v>
      </c>
      <c r="C46" t="s">
        <v>458</v>
      </c>
    </row>
    <row r="47" spans="2:6" x14ac:dyDescent="0.3">
      <c r="B47" t="s">
        <v>518</v>
      </c>
      <c r="C47" t="s">
        <v>408</v>
      </c>
    </row>
    <row r="48" spans="2:6" x14ac:dyDescent="0.3">
      <c r="B48" t="s">
        <v>519</v>
      </c>
      <c r="C48" t="s">
        <v>402</v>
      </c>
    </row>
    <row r="49" spans="2:3" x14ac:dyDescent="0.3">
      <c r="B49" t="s">
        <v>521</v>
      </c>
      <c r="C49" t="s">
        <v>403</v>
      </c>
    </row>
    <row r="50" spans="2:3" x14ac:dyDescent="0.3">
      <c r="B50" t="s">
        <v>522</v>
      </c>
      <c r="C50" t="s">
        <v>452</v>
      </c>
    </row>
    <row r="51" spans="2:3" x14ac:dyDescent="0.3">
      <c r="B51" t="s">
        <v>523</v>
      </c>
      <c r="C51" t="s">
        <v>459</v>
      </c>
    </row>
    <row r="52" spans="2:3" x14ac:dyDescent="0.3">
      <c r="B52" t="s">
        <v>525</v>
      </c>
      <c r="C52" t="s">
        <v>406</v>
      </c>
    </row>
    <row r="53" spans="2:3" x14ac:dyDescent="0.3">
      <c r="B53" t="s">
        <v>526</v>
      </c>
      <c r="C53" t="s">
        <v>407</v>
      </c>
    </row>
    <row r="54" spans="2:3" x14ac:dyDescent="0.3">
      <c r="B54" t="s">
        <v>527</v>
      </c>
      <c r="C54" t="s">
        <v>408</v>
      </c>
    </row>
    <row r="55" spans="2:3" x14ac:dyDescent="0.3">
      <c r="B55" t="s">
        <v>1102</v>
      </c>
      <c r="C55" t="s">
        <v>463</v>
      </c>
    </row>
    <row r="56" spans="2:3" x14ac:dyDescent="0.3">
      <c r="B56" t="s">
        <v>1103</v>
      </c>
      <c r="C56" t="s">
        <v>1098</v>
      </c>
    </row>
    <row r="57" spans="2:3" x14ac:dyDescent="0.3">
      <c r="B57" t="s">
        <v>1104</v>
      </c>
      <c r="C57" t="s">
        <v>1099</v>
      </c>
    </row>
    <row r="58" spans="2:3" x14ac:dyDescent="0.3">
      <c r="B58" t="s">
        <v>528</v>
      </c>
      <c r="C58" t="s">
        <v>416</v>
      </c>
    </row>
    <row r="59" spans="2:3" x14ac:dyDescent="0.3">
      <c r="B59" t="s">
        <v>529</v>
      </c>
      <c r="C59" t="s">
        <v>460</v>
      </c>
    </row>
    <row r="60" spans="2:3" x14ac:dyDescent="0.3">
      <c r="B60" t="s">
        <v>530</v>
      </c>
      <c r="C60" t="s">
        <v>461</v>
      </c>
    </row>
    <row r="61" spans="2:3" x14ac:dyDescent="0.3">
      <c r="B61" t="s">
        <v>531</v>
      </c>
      <c r="C61" t="s">
        <v>462</v>
      </c>
    </row>
    <row r="62" spans="2:3" x14ac:dyDescent="0.3">
      <c r="B62" t="s">
        <v>532</v>
      </c>
      <c r="C62" t="s">
        <v>463</v>
      </c>
    </row>
    <row r="63" spans="2:3" x14ac:dyDescent="0.3">
      <c r="B63" t="s">
        <v>533</v>
      </c>
      <c r="C63" t="s">
        <v>464</v>
      </c>
    </row>
    <row r="64" spans="2:3" x14ac:dyDescent="0.3">
      <c r="B64" t="s">
        <v>534</v>
      </c>
      <c r="C64" t="s">
        <v>296</v>
      </c>
    </row>
    <row r="65" spans="2:3" x14ac:dyDescent="0.3">
      <c r="B65" t="s">
        <v>535</v>
      </c>
      <c r="C65" t="s">
        <v>297</v>
      </c>
    </row>
    <row r="66" spans="2:3" x14ac:dyDescent="0.3">
      <c r="B66" t="s">
        <v>536</v>
      </c>
      <c r="C66" t="s">
        <v>298</v>
      </c>
    </row>
    <row r="67" spans="2:3" x14ac:dyDescent="0.3">
      <c r="B67" t="s">
        <v>537</v>
      </c>
      <c r="C67" t="s">
        <v>299</v>
      </c>
    </row>
    <row r="68" spans="2:3" x14ac:dyDescent="0.3">
      <c r="B68" t="s">
        <v>538</v>
      </c>
      <c r="C68" t="s">
        <v>300</v>
      </c>
    </row>
    <row r="69" spans="2:3" x14ac:dyDescent="0.3">
      <c r="B69" t="s">
        <v>539</v>
      </c>
      <c r="C69" t="s">
        <v>301</v>
      </c>
    </row>
    <row r="70" spans="2:3" x14ac:dyDescent="0.3">
      <c r="B70" t="s">
        <v>540</v>
      </c>
      <c r="C70" t="s">
        <v>302</v>
      </c>
    </row>
    <row r="71" spans="2:3" x14ac:dyDescent="0.3">
      <c r="B71" t="s">
        <v>541</v>
      </c>
      <c r="C71" t="s">
        <v>303</v>
      </c>
    </row>
    <row r="72" spans="2:3" x14ac:dyDescent="0.3">
      <c r="B72" t="s">
        <v>542</v>
      </c>
      <c r="C72" t="s">
        <v>465</v>
      </c>
    </row>
    <row r="73" spans="2:3" x14ac:dyDescent="0.3">
      <c r="B73" t="s">
        <v>543</v>
      </c>
      <c r="C73" t="s">
        <v>296</v>
      </c>
    </row>
    <row r="74" spans="2:3" x14ac:dyDescent="0.3">
      <c r="B74" t="s">
        <v>544</v>
      </c>
      <c r="C74" t="s">
        <v>298</v>
      </c>
    </row>
    <row r="75" spans="2:3" x14ac:dyDescent="0.3">
      <c r="B75" t="s">
        <v>545</v>
      </c>
      <c r="C75" t="s">
        <v>299</v>
      </c>
    </row>
    <row r="76" spans="2:3" x14ac:dyDescent="0.3">
      <c r="B76" t="s">
        <v>546</v>
      </c>
      <c r="C76" t="s">
        <v>300</v>
      </c>
    </row>
    <row r="77" spans="2:3" x14ac:dyDescent="0.3">
      <c r="B77" t="s">
        <v>547</v>
      </c>
      <c r="C77" t="s">
        <v>301</v>
      </c>
    </row>
    <row r="78" spans="2:3" x14ac:dyDescent="0.3">
      <c r="B78" t="s">
        <v>548</v>
      </c>
      <c r="C78" t="s">
        <v>302</v>
      </c>
    </row>
    <row r="79" spans="2:3" x14ac:dyDescent="0.3">
      <c r="B79" t="s">
        <v>549</v>
      </c>
      <c r="C79" t="s">
        <v>303</v>
      </c>
    </row>
    <row r="80" spans="2:3" x14ac:dyDescent="0.3">
      <c r="B80" t="s">
        <v>550</v>
      </c>
      <c r="C80" t="s">
        <v>465</v>
      </c>
    </row>
    <row r="81" spans="2:3" x14ac:dyDescent="0.3">
      <c r="B81" t="s">
        <v>551</v>
      </c>
      <c r="C81" t="s">
        <v>296</v>
      </c>
    </row>
    <row r="82" spans="2:3" x14ac:dyDescent="0.3">
      <c r="B82" t="s">
        <v>552</v>
      </c>
      <c r="C82" t="s">
        <v>298</v>
      </c>
    </row>
    <row r="83" spans="2:3" x14ac:dyDescent="0.3">
      <c r="B83" t="s">
        <v>553</v>
      </c>
      <c r="C83" t="s">
        <v>299</v>
      </c>
    </row>
    <row r="84" spans="2:3" x14ac:dyDescent="0.3">
      <c r="B84" t="s">
        <v>554</v>
      </c>
      <c r="C84" t="s">
        <v>300</v>
      </c>
    </row>
    <row r="85" spans="2:3" x14ac:dyDescent="0.3">
      <c r="B85" t="s">
        <v>555</v>
      </c>
      <c r="C85" t="s">
        <v>301</v>
      </c>
    </row>
    <row r="86" spans="2:3" x14ac:dyDescent="0.3">
      <c r="B86" t="s">
        <v>556</v>
      </c>
      <c r="C86" t="s">
        <v>302</v>
      </c>
    </row>
    <row r="87" spans="2:3" x14ac:dyDescent="0.3">
      <c r="B87" t="s">
        <v>557</v>
      </c>
      <c r="C87" t="s">
        <v>303</v>
      </c>
    </row>
    <row r="88" spans="2:3" x14ac:dyDescent="0.3">
      <c r="B88" t="s">
        <v>558</v>
      </c>
      <c r="C88" t="s">
        <v>465</v>
      </c>
    </row>
    <row r="89" spans="2:3" x14ac:dyDescent="0.3">
      <c r="B89" t="s">
        <v>559</v>
      </c>
      <c r="C89" t="s">
        <v>466</v>
      </c>
    </row>
    <row r="90" spans="2:3" x14ac:dyDescent="0.3">
      <c r="B90" t="s">
        <v>560</v>
      </c>
      <c r="C90" t="s">
        <v>467</v>
      </c>
    </row>
    <row r="91" spans="2:3" x14ac:dyDescent="0.3">
      <c r="B91" t="s">
        <v>561</v>
      </c>
      <c r="C91" t="s">
        <v>468</v>
      </c>
    </row>
    <row r="92" spans="2:3" x14ac:dyDescent="0.3">
      <c r="B92" t="s">
        <v>562</v>
      </c>
      <c r="C92" t="s">
        <v>469</v>
      </c>
    </row>
  </sheetData>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EA92F818099A48BDEA15D399FBF140" ma:contentTypeVersion="17" ma:contentTypeDescription="Create a new document." ma:contentTypeScope="" ma:versionID="3e1bc87cc58e006d8d342cdaeb5b26b5">
  <xsd:schema xmlns:xsd="http://www.w3.org/2001/XMLSchema" xmlns:xs="http://www.w3.org/2001/XMLSchema" xmlns:p="http://schemas.microsoft.com/office/2006/metadata/properties" xmlns:ns2="f32e4ece-4232-4718-b5ba-4f312eb55289" xmlns:ns3="9afc3e17-fd1c-4af7-ae0c-7ae9d1230a0c" targetNamespace="http://schemas.microsoft.com/office/2006/metadata/properties" ma:root="true" ma:fieldsID="e265596bb43ab1b0f0bfe2e071b4e789" ns2:_="" ns3:_="">
    <xsd:import namespace="f32e4ece-4232-4718-b5ba-4f312eb55289"/>
    <xsd:import namespace="9afc3e17-fd1c-4af7-ae0c-7ae9d1230a0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2e4ece-4232-4718-b5ba-4f312eb552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896de28-cb53-43b9-a38b-bef149b2430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afc3e17-fd1c-4af7-ae0c-7ae9d1230a0c"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b8d4d748-e1f1-4e8d-8675-726c5b61e97e}" ma:internalName="TaxCatchAll" ma:showField="CatchAllData" ma:web="9afc3e17-fd1c-4af7-ae0c-7ae9d1230a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32e4ece-4232-4718-b5ba-4f312eb55289">
      <Terms xmlns="http://schemas.microsoft.com/office/infopath/2007/PartnerControls"/>
    </lcf76f155ced4ddcb4097134ff3c332f>
    <TaxCatchAll xmlns="9afc3e17-fd1c-4af7-ae0c-7ae9d1230a0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B23C8F-7975-4576-827A-3D4758CF42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2e4ece-4232-4718-b5ba-4f312eb55289"/>
    <ds:schemaRef ds:uri="9afc3e17-fd1c-4af7-ae0c-7ae9d1230a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599F430-20D8-4EE2-880E-D648E4113BB5}">
  <ds:schemaRefs>
    <ds:schemaRef ds:uri="http://purl.org/dc/elements/1.1/"/>
    <ds:schemaRef ds:uri="http://purl.org/dc/terms/"/>
    <ds:schemaRef ds:uri="9afc3e17-fd1c-4af7-ae0c-7ae9d1230a0c"/>
    <ds:schemaRef ds:uri="http://purl.org/dc/dcmitype/"/>
    <ds:schemaRef ds:uri="http://schemas.microsoft.com/office/infopath/2007/PartnerControls"/>
    <ds:schemaRef ds:uri="http://www.w3.org/XML/1998/namespace"/>
    <ds:schemaRef ds:uri="http://schemas.microsoft.com/office/2006/metadata/properties"/>
    <ds:schemaRef ds:uri="http://schemas.microsoft.com/office/2006/documentManagement/types"/>
    <ds:schemaRef ds:uri="http://schemas.openxmlformats.org/package/2006/metadata/core-properties"/>
    <ds:schemaRef ds:uri="f32e4ece-4232-4718-b5ba-4f312eb55289"/>
  </ds:schemaRefs>
</ds:datastoreItem>
</file>

<file path=customXml/itemProps3.xml><?xml version="1.0" encoding="utf-8"?>
<ds:datastoreItem xmlns:ds="http://schemas.openxmlformats.org/officeDocument/2006/customXml" ds:itemID="{129AC833-11EE-4569-8B38-C31072998B5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TOC</vt:lpstr>
      <vt:lpstr>Terminology</vt:lpstr>
      <vt:lpstr>Paper Tracker</vt:lpstr>
      <vt:lpstr>LRVs</vt:lpstr>
      <vt:lpstr>LRCs</vt:lpstr>
      <vt:lpstr>Data Summary</vt:lpstr>
      <vt:lpstr>Table 1</vt:lpstr>
      <vt:lpstr>Figures 1-3</vt:lpstr>
      <vt:lpstr>References</vt:lpstr>
      <vt:lpstr>Chlorine</vt:lpstr>
      <vt:lpstr>Chlorine_LRC</vt:lpstr>
      <vt:lpstr>Variables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 Arden</dc:creator>
  <cp:keywords/>
  <dc:description/>
  <cp:lastModifiedBy>Sam Arden</cp:lastModifiedBy>
  <cp:revision/>
  <dcterms:created xsi:type="dcterms:W3CDTF">2015-06-05T18:17:20Z</dcterms:created>
  <dcterms:modified xsi:type="dcterms:W3CDTF">2024-05-16T17:56:52Z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0x0101002AEA92F818099A48BDEA15D399FBF140</vt:lpwstr>
  </property>
  <property fmtid="{D5CDD505-2E9C-101B-9397-08002B2CF9AE}" pid="3" name="MediaServiceImageTags">
    <vt:lpwstr/>
  </property>
</Properties>
</file>