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mikelonis_anne_epa_gov/Documents/Green Infrastructure Spore Flushing Project/BRCs/SciHub Data/"/>
    </mc:Choice>
  </mc:AlternateContent>
  <xr:revisionPtr revIDLastSave="86" documentId="8_{6400E7F2-C125-49B5-A721-486A6A535D73}" xr6:coauthVersionLast="47" xr6:coauthVersionMax="47" xr10:uidLastSave="{123732B0-0DD4-4063-B084-43AEDB5C4F1A}"/>
  <bookViews>
    <workbookView xWindow="-110" yWindow="-110" windowWidth="19420" windowHeight="10300" activeTab="1" xr2:uid="{6A62F85D-D437-4585-9C08-0E42882E1813}"/>
  </bookViews>
  <sheets>
    <sheet name="Data Dictionary" sheetId="2" r:id="rId1"/>
    <sheet name="Data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1" l="1"/>
  <c r="Q6" i="1"/>
  <c r="AG6" i="1"/>
  <c r="AH6" i="1"/>
  <c r="AI6" i="1"/>
  <c r="AF6" i="1"/>
  <c r="AG7" i="1"/>
  <c r="AH7" i="1"/>
  <c r="AI7" i="1"/>
  <c r="AF7" i="1"/>
  <c r="AC5" i="1"/>
  <c r="AB5" i="1"/>
  <c r="AC4" i="1"/>
  <c r="AB4" i="1"/>
  <c r="AC3" i="1"/>
  <c r="AB3" i="1"/>
  <c r="AC2" i="1"/>
  <c r="AB2" i="1"/>
  <c r="I25" i="1"/>
  <c r="P25" i="1" s="1"/>
  <c r="I24" i="1"/>
  <c r="I23" i="1"/>
  <c r="I22" i="1"/>
  <c r="E25" i="1"/>
  <c r="E24" i="1"/>
  <c r="E23" i="1"/>
  <c r="E22" i="1"/>
  <c r="N22" i="1" s="1"/>
  <c r="I21" i="1"/>
  <c r="I20" i="1"/>
  <c r="I19" i="1"/>
  <c r="P19" i="1" s="1"/>
  <c r="I18" i="1"/>
  <c r="I17" i="1"/>
  <c r="I16" i="1"/>
  <c r="I15" i="1"/>
  <c r="I14" i="1"/>
  <c r="E21" i="1"/>
  <c r="N21" i="1" s="1"/>
  <c r="E20" i="1"/>
  <c r="E19" i="1"/>
  <c r="E18" i="1"/>
  <c r="E17" i="1"/>
  <c r="E16" i="1"/>
  <c r="N16" i="1" s="1"/>
  <c r="E15" i="1"/>
  <c r="N15" i="1" s="1"/>
  <c r="E14" i="1"/>
  <c r="G15" i="1"/>
  <c r="H15" i="1" s="1"/>
  <c r="G16" i="1"/>
  <c r="H16" i="1" s="1"/>
  <c r="G21" i="1"/>
  <c r="H21" i="1" s="1"/>
  <c r="G22" i="1"/>
  <c r="H22" i="1" s="1"/>
  <c r="K19" i="1"/>
  <c r="L19" i="1" s="1"/>
  <c r="K25" i="1"/>
  <c r="L25" i="1" s="1"/>
  <c r="I13" i="1"/>
  <c r="I12" i="1"/>
  <c r="I11" i="1"/>
  <c r="I10" i="1"/>
  <c r="I9" i="1"/>
  <c r="I8" i="1"/>
  <c r="I7" i="1"/>
  <c r="I6" i="1"/>
  <c r="F7" i="1"/>
  <c r="F6" i="1"/>
  <c r="E13" i="1"/>
  <c r="E12" i="1"/>
  <c r="E11" i="1"/>
  <c r="E10" i="1"/>
  <c r="E9" i="1"/>
  <c r="E8" i="1"/>
  <c r="E7" i="1"/>
  <c r="E6" i="1"/>
  <c r="J5" i="1"/>
  <c r="J4" i="1"/>
  <c r="J3" i="1"/>
  <c r="J2" i="1"/>
  <c r="F5" i="1"/>
  <c r="F4" i="1"/>
  <c r="F3" i="1"/>
  <c r="F2" i="1"/>
  <c r="I5" i="1"/>
  <c r="K5" i="1" s="1"/>
  <c r="L5" i="1" s="1"/>
  <c r="I4" i="1"/>
  <c r="K4" i="1" s="1"/>
  <c r="L4" i="1" s="1"/>
  <c r="I3" i="1"/>
  <c r="K3" i="1" s="1"/>
  <c r="L3" i="1" s="1"/>
  <c r="I2" i="1"/>
  <c r="K2" i="1" s="1"/>
  <c r="L2" i="1" s="1"/>
  <c r="E5" i="1"/>
  <c r="G5" i="1" s="1"/>
  <c r="H5" i="1" s="1"/>
  <c r="E4" i="1"/>
  <c r="G4" i="1" s="1"/>
  <c r="H4" i="1" s="1"/>
  <c r="E3" i="1"/>
  <c r="G3" i="1" s="1"/>
  <c r="H3" i="1" s="1"/>
  <c r="E2" i="1"/>
  <c r="G2" i="1" s="1"/>
  <c r="H2" i="1" s="1"/>
  <c r="N6" i="1" l="1"/>
  <c r="G6" i="1"/>
  <c r="H6" i="1" s="1"/>
  <c r="N7" i="1"/>
  <c r="G7" i="1"/>
  <c r="H7" i="1" s="1"/>
  <c r="N8" i="1"/>
  <c r="G8" i="1"/>
  <c r="H8" i="1" s="1"/>
  <c r="N9" i="1"/>
  <c r="G9" i="1"/>
  <c r="H9" i="1" s="1"/>
  <c r="N10" i="1"/>
  <c r="G10" i="1"/>
  <c r="H10" i="1" s="1"/>
  <c r="N11" i="1"/>
  <c r="G11" i="1"/>
  <c r="H11" i="1" s="1"/>
  <c r="N12" i="1"/>
  <c r="G12" i="1"/>
  <c r="H12" i="1" s="1"/>
  <c r="N13" i="1"/>
  <c r="G13" i="1"/>
  <c r="H13" i="1" s="1"/>
  <c r="P6" i="1"/>
  <c r="K6" i="1"/>
  <c r="L6" i="1" s="1"/>
  <c r="P7" i="1"/>
  <c r="K7" i="1"/>
  <c r="L7" i="1" s="1"/>
  <c r="P8" i="1"/>
  <c r="K8" i="1"/>
  <c r="L8" i="1" s="1"/>
  <c r="P9" i="1"/>
  <c r="K9" i="1"/>
  <c r="L9" i="1" s="1"/>
  <c r="P10" i="1"/>
  <c r="K10" i="1"/>
  <c r="L10" i="1" s="1"/>
  <c r="P11" i="1"/>
  <c r="K11" i="1"/>
  <c r="L11" i="1" s="1"/>
  <c r="P12" i="1"/>
  <c r="K12" i="1"/>
  <c r="L12" i="1" s="1"/>
  <c r="P13" i="1"/>
  <c r="K13" i="1"/>
  <c r="L13" i="1" s="1"/>
  <c r="G14" i="1"/>
  <c r="H14" i="1" s="1"/>
  <c r="N14" i="1"/>
  <c r="G17" i="1"/>
  <c r="H17" i="1" s="1"/>
  <c r="N17" i="1"/>
  <c r="G18" i="1"/>
  <c r="H18" i="1" s="1"/>
  <c r="N18" i="1"/>
  <c r="G19" i="1"/>
  <c r="H19" i="1" s="1"/>
  <c r="N19" i="1"/>
  <c r="G20" i="1"/>
  <c r="H20" i="1" s="1"/>
  <c r="N20" i="1"/>
  <c r="K14" i="1"/>
  <c r="L14" i="1" s="1"/>
  <c r="P14" i="1"/>
  <c r="K15" i="1"/>
  <c r="L15" i="1" s="1"/>
  <c r="P15" i="1"/>
  <c r="K16" i="1"/>
  <c r="L16" i="1" s="1"/>
  <c r="P16" i="1"/>
  <c r="K17" i="1"/>
  <c r="L17" i="1" s="1"/>
  <c r="P17" i="1"/>
  <c r="K18" i="1"/>
  <c r="L18" i="1" s="1"/>
  <c r="P18" i="1"/>
  <c r="K20" i="1"/>
  <c r="L20" i="1" s="1"/>
  <c r="P20" i="1"/>
  <c r="K21" i="1"/>
  <c r="L21" i="1" s="1"/>
  <c r="P21" i="1"/>
  <c r="G23" i="1"/>
  <c r="H23" i="1" s="1"/>
  <c r="N23" i="1"/>
  <c r="G24" i="1"/>
  <c r="H24" i="1" s="1"/>
  <c r="N24" i="1"/>
  <c r="G25" i="1"/>
  <c r="H25" i="1" s="1"/>
  <c r="N25" i="1"/>
  <c r="K22" i="1"/>
  <c r="L22" i="1" s="1"/>
  <c r="P22" i="1"/>
  <c r="K23" i="1"/>
  <c r="L23" i="1" s="1"/>
  <c r="P23" i="1"/>
  <c r="K24" i="1"/>
  <c r="L24" i="1" s="1"/>
  <c r="P24" i="1"/>
  <c r="R22" i="1" l="1"/>
  <c r="Q22" i="1"/>
  <c r="S22" i="1" s="1"/>
  <c r="R18" i="1"/>
  <c r="P27" i="1"/>
  <c r="R14" i="1"/>
  <c r="L27" i="1"/>
  <c r="Q18" i="1"/>
  <c r="S18" i="1" s="1"/>
  <c r="Q14" i="1"/>
  <c r="S14" i="1" s="1"/>
  <c r="L26" i="1"/>
  <c r="R10" i="1"/>
  <c r="P26" i="1"/>
  <c r="R6" i="1"/>
  <c r="Q10" i="1"/>
  <c r="S10" i="1" s="1"/>
  <c r="U6" i="1"/>
  <c r="U9" i="1" l="1"/>
  <c r="U8" i="1"/>
  <c r="U5" i="1"/>
  <c r="L28" i="1"/>
  <c r="P28" i="1"/>
</calcChain>
</file>

<file path=xl/sharedStrings.xml><?xml version="1.0" encoding="utf-8"?>
<sst xmlns="http://schemas.openxmlformats.org/spreadsheetml/2006/main" count="136" uniqueCount="94">
  <si>
    <t>Test Date</t>
  </si>
  <si>
    <t>Cell</t>
  </si>
  <si>
    <t>Sample Number</t>
  </si>
  <si>
    <t>ADP (days)</t>
  </si>
  <si>
    <t>Volume In (L)</t>
  </si>
  <si>
    <t>Bg Concentration In (CFU/mL)</t>
  </si>
  <si>
    <t>Bg Load In (CFU)</t>
  </si>
  <si>
    <t>Bg Load In (log(CFU))</t>
  </si>
  <si>
    <t>Volume Out (L)</t>
  </si>
  <si>
    <t>Bg Concentration Out (CFU/mL)</t>
  </si>
  <si>
    <t>Bg Load Out</t>
  </si>
  <si>
    <t>Bg Load Out (log(CFU))</t>
  </si>
  <si>
    <t>TSS Concentration In (mg/L)</t>
  </si>
  <si>
    <t>TSS Load In (mg)</t>
  </si>
  <si>
    <t>TSS Concentration Out (mg/L)</t>
  </si>
  <si>
    <t>TSS Load Out (mg)</t>
  </si>
  <si>
    <t>Total TSS Load IN (mg)</t>
  </si>
  <si>
    <t>Total TSS Load Out (mg)</t>
  </si>
  <si>
    <t>% Difference TSS Load</t>
  </si>
  <si>
    <t>Summary Stats TSS Load Reductions</t>
  </si>
  <si>
    <t>Test 1</t>
  </si>
  <si>
    <t>Test 2</t>
  </si>
  <si>
    <t>Test 3</t>
  </si>
  <si>
    <t>Mean</t>
  </si>
  <si>
    <t>Std. Dev</t>
  </si>
  <si>
    <t>Test Number</t>
  </si>
  <si>
    <t>HFMF Volume In (gal)</t>
  </si>
  <si>
    <t>HFMF Vol In (L)</t>
  </si>
  <si>
    <t>BRC Volume In (gal)</t>
  </si>
  <si>
    <t>BRC Vol In (L)</t>
  </si>
  <si>
    <t>HFMF</t>
  </si>
  <si>
    <t>Volume Reduction (%)</t>
  </si>
  <si>
    <t>BRC</t>
  </si>
  <si>
    <t>Bg Log10Load Reduction</t>
  </si>
  <si>
    <t>HFMF Median</t>
  </si>
  <si>
    <t>Median</t>
  </si>
  <si>
    <t>HFMF SD</t>
  </si>
  <si>
    <t>Std.Dev</t>
  </si>
  <si>
    <t>MEan</t>
  </si>
  <si>
    <t>BRC MEdian</t>
  </si>
  <si>
    <t>BRC SD</t>
  </si>
  <si>
    <t>Std.Dev BRC</t>
  </si>
  <si>
    <t>Std.Dev HFMF</t>
  </si>
  <si>
    <t>Difference in Std Dev</t>
  </si>
  <si>
    <t>Parameter</t>
  </si>
  <si>
    <t>Definition</t>
  </si>
  <si>
    <t>Units</t>
  </si>
  <si>
    <t>Date</t>
  </si>
  <si>
    <t>Day testing was performed</t>
  </si>
  <si>
    <t>Type of filter technology. BRC refers to Bioretention Cell and HFMF refers to high flow media filter</t>
  </si>
  <si>
    <t>#</t>
  </si>
  <si>
    <t>multiple samples were collected on the day of test and this indicates which was first and following</t>
  </si>
  <si>
    <t>days</t>
  </si>
  <si>
    <t>L</t>
  </si>
  <si>
    <t>CFU/mL</t>
  </si>
  <si>
    <t>CFU</t>
  </si>
  <si>
    <t>log(CFU)</t>
  </si>
  <si>
    <t>mg/L</t>
  </si>
  <si>
    <t>mg</t>
  </si>
  <si>
    <t>antecedent dry period</t>
  </si>
  <si>
    <t xml:space="preserve">ADP </t>
  </si>
  <si>
    <t xml:space="preserve">Volume In </t>
  </si>
  <si>
    <t>The volume of water entering into the filter</t>
  </si>
  <si>
    <t>CFU/ml</t>
  </si>
  <si>
    <t>The concentration of Bacillus globigii spores entering into the filter</t>
  </si>
  <si>
    <t>The colony forming units of Bacillus globigii spores entering into the filter</t>
  </si>
  <si>
    <t xml:space="preserve">Bg Concentration In </t>
  </si>
  <si>
    <t xml:space="preserve">Bg Load In </t>
  </si>
  <si>
    <t xml:space="preserve">Volume Out </t>
  </si>
  <si>
    <t xml:space="preserve">Bg Concentration Out </t>
  </si>
  <si>
    <t xml:space="preserve">Bg Load Out </t>
  </si>
  <si>
    <t xml:space="preserve">TSS Concentration In </t>
  </si>
  <si>
    <t xml:space="preserve">TSS Load In </t>
  </si>
  <si>
    <t xml:space="preserve">TSS Concentration Out </t>
  </si>
  <si>
    <t xml:space="preserve">TSS Load Out </t>
  </si>
  <si>
    <t xml:space="preserve">Total TSS Load IN </t>
  </si>
  <si>
    <t xml:space="preserve">Total TSS Load Out </t>
  </si>
  <si>
    <t>The log base 10 amount of colony forming units of Bacillus globigii spores entering into the filter</t>
  </si>
  <si>
    <t>Volume of water exiting the filter at associated with sample</t>
  </si>
  <si>
    <t>Concentration of Bacillus globigii spores exiting the filter in terms of colony forming units per mililiter</t>
  </si>
  <si>
    <t>The number of colony forming untils of bacillus globigii spores exiting the filter for that sample point</t>
  </si>
  <si>
    <t>The log base 10 amount of oclony forming units of bacillus blobigii spores exiting the filter</t>
  </si>
  <si>
    <t>The inlet total suspended solids value in terms of concentration</t>
  </si>
  <si>
    <t>The outlet total suspended solids value out terms of concentration</t>
  </si>
  <si>
    <t>The inlet total suspended solids value in terms of mass</t>
  </si>
  <si>
    <t>The outlet total suspended solids value out terms of mass</t>
  </si>
  <si>
    <t>The inlet total suspended solids value in terms of mass as a cumulative number over all samples collected</t>
  </si>
  <si>
    <t>The inlet total suspended solids value out terms of mass as a cumulative number over all samples collected</t>
  </si>
  <si>
    <t>Difference TSS Load</t>
  </si>
  <si>
    <t>%</t>
  </si>
  <si>
    <t>Precentage total suspended solids value calculated as a difference from the total load in and total load out columns</t>
  </si>
  <si>
    <t>SD</t>
  </si>
  <si>
    <t>standard deviation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</si>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</sst>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E+0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11" fontId="0" fillId="0" borderId="0" xfId="0" applyNumberFormat="1"/>
    <xf numFmtId="11" fontId="1" fillId="0" borderId="1" xfId="0" applyNumberFormat="1" applyFont="1" applyBorder="1" applyAlignment="1">
      <alignment horizontal="center" vertical="center"/>
    </xf>
    <xf numFmtId="11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vertical="center"/>
    </xf>
    <xf numFmtId="0" fontId="2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F0092-219D-4CD8-8D36-9C2B3F517187}">
  <dimension ref="A1:C21"/>
  <sheetViews>
    <sheetView workbookViewId="0">
      <selection activeCell="C9" sqref="C9"/>
    </sheetView>
  </sheetViews>
  <sheetFormatPr defaultRowHeight="14.5" x14ac:dyDescent="0.35"/>
  <cols>
    <col min="1" max="2" width="18.36328125" customWidth="1"/>
    <col min="3" max="3" width="17.453125" customWidth="1"/>
  </cols>
  <sheetData>
    <row r="1" spans="1:3" x14ac:dyDescent="0.35">
      <c r="A1" s="13" t="s">
        <v>44</v>
      </c>
      <c r="B1" s="13" t="s">
        <v>46</v>
      </c>
      <c r="C1" s="13" t="s">
        <v>45</v>
      </c>
    </row>
    <row r="2" spans="1:3" x14ac:dyDescent="0.35">
      <c r="A2" t="s">
        <v>0</v>
      </c>
      <c r="B2" t="s">
        <v>47</v>
      </c>
      <c r="C2" t="s">
        <v>48</v>
      </c>
    </row>
    <row r="3" spans="1:3" x14ac:dyDescent="0.35">
      <c r="A3" t="s">
        <v>1</v>
      </c>
      <c r="B3" t="s">
        <v>93</v>
      </c>
      <c r="C3" t="s">
        <v>49</v>
      </c>
    </row>
    <row r="4" spans="1:3" x14ac:dyDescent="0.35">
      <c r="A4" t="s">
        <v>2</v>
      </c>
      <c r="B4" t="s">
        <v>50</v>
      </c>
      <c r="C4" t="s">
        <v>51</v>
      </c>
    </row>
    <row r="5" spans="1:3" x14ac:dyDescent="0.35">
      <c r="A5" t="s">
        <v>60</v>
      </c>
      <c r="B5" t="s">
        <v>52</v>
      </c>
      <c r="C5" t="s">
        <v>59</v>
      </c>
    </row>
    <row r="6" spans="1:3" x14ac:dyDescent="0.35">
      <c r="A6" t="s">
        <v>61</v>
      </c>
      <c r="B6" t="s">
        <v>53</v>
      </c>
      <c r="C6" t="s">
        <v>62</v>
      </c>
    </row>
    <row r="7" spans="1:3" x14ac:dyDescent="0.35">
      <c r="A7" s="10" t="s">
        <v>66</v>
      </c>
      <c r="B7" s="10" t="s">
        <v>63</v>
      </c>
      <c r="C7" t="s">
        <v>64</v>
      </c>
    </row>
    <row r="8" spans="1:3" x14ac:dyDescent="0.35">
      <c r="A8" s="10" t="s">
        <v>67</v>
      </c>
      <c r="B8" s="10" t="s">
        <v>55</v>
      </c>
      <c r="C8" t="s">
        <v>65</v>
      </c>
    </row>
    <row r="9" spans="1:3" x14ac:dyDescent="0.35">
      <c r="A9" s="10" t="s">
        <v>67</v>
      </c>
      <c r="B9" s="10" t="s">
        <v>56</v>
      </c>
      <c r="C9" t="s">
        <v>77</v>
      </c>
    </row>
    <row r="10" spans="1:3" x14ac:dyDescent="0.35">
      <c r="A10" s="10" t="s">
        <v>68</v>
      </c>
      <c r="B10" s="10" t="s">
        <v>53</v>
      </c>
      <c r="C10" t="s">
        <v>78</v>
      </c>
    </row>
    <row r="11" spans="1:3" ht="29" x14ac:dyDescent="0.35">
      <c r="A11" s="10" t="s">
        <v>69</v>
      </c>
      <c r="B11" s="10" t="s">
        <v>54</v>
      </c>
      <c r="C11" t="s">
        <v>79</v>
      </c>
    </row>
    <row r="12" spans="1:3" x14ac:dyDescent="0.35">
      <c r="A12" s="10" t="s">
        <v>10</v>
      </c>
      <c r="B12" s="10" t="s">
        <v>55</v>
      </c>
      <c r="C12" t="s">
        <v>80</v>
      </c>
    </row>
    <row r="13" spans="1:3" x14ac:dyDescent="0.35">
      <c r="A13" s="10" t="s">
        <v>70</v>
      </c>
      <c r="B13" s="10" t="s">
        <v>56</v>
      </c>
      <c r="C13" t="s">
        <v>81</v>
      </c>
    </row>
    <row r="14" spans="1:3" x14ac:dyDescent="0.35">
      <c r="A14" s="10" t="s">
        <v>71</v>
      </c>
      <c r="B14" s="10" t="s">
        <v>57</v>
      </c>
      <c r="C14" t="s">
        <v>82</v>
      </c>
    </row>
    <row r="15" spans="1:3" x14ac:dyDescent="0.35">
      <c r="A15" s="10" t="s">
        <v>72</v>
      </c>
      <c r="B15" s="10" t="s">
        <v>58</v>
      </c>
      <c r="C15" t="s">
        <v>84</v>
      </c>
    </row>
    <row r="16" spans="1:3" ht="29" x14ac:dyDescent="0.35">
      <c r="A16" s="10" t="s">
        <v>73</v>
      </c>
      <c r="B16" s="10" t="s">
        <v>57</v>
      </c>
      <c r="C16" t="s">
        <v>83</v>
      </c>
    </row>
    <row r="17" spans="1:3" x14ac:dyDescent="0.35">
      <c r="A17" t="s">
        <v>74</v>
      </c>
      <c r="B17" t="s">
        <v>58</v>
      </c>
      <c r="C17" t="s">
        <v>85</v>
      </c>
    </row>
    <row r="18" spans="1:3" x14ac:dyDescent="0.35">
      <c r="A18" t="s">
        <v>75</v>
      </c>
      <c r="B18" t="s">
        <v>58</v>
      </c>
      <c r="C18" t="s">
        <v>86</v>
      </c>
    </row>
    <row r="19" spans="1:3" x14ac:dyDescent="0.35">
      <c r="A19" s="14" t="s">
        <v>76</v>
      </c>
      <c r="B19" s="14" t="s">
        <v>58</v>
      </c>
      <c r="C19" t="s">
        <v>87</v>
      </c>
    </row>
    <row r="20" spans="1:3" x14ac:dyDescent="0.35">
      <c r="A20" s="10" t="s">
        <v>88</v>
      </c>
      <c r="B20" t="s">
        <v>89</v>
      </c>
      <c r="C20" t="s">
        <v>90</v>
      </c>
    </row>
    <row r="21" spans="1:3" x14ac:dyDescent="0.35">
      <c r="A21" t="s">
        <v>91</v>
      </c>
      <c r="B21" t="s">
        <v>93</v>
      </c>
      <c r="C21" t="s">
        <v>92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22E73-B66B-41A5-BA67-E2B1FD480B78}">
  <dimension ref="A1:AI28"/>
  <sheetViews>
    <sheetView tabSelected="1" workbookViewId="0">
      <selection activeCell="N6" sqref="N6"/>
    </sheetView>
  </sheetViews>
  <sheetFormatPr defaultRowHeight="14.5" x14ac:dyDescent="0.35"/>
  <cols>
    <col min="1" max="1" width="9.54296875" bestFit="1" customWidth="1"/>
    <col min="3" max="3" width="15.7265625" customWidth="1"/>
    <col min="4" max="4" width="14.54296875" customWidth="1"/>
    <col min="5" max="5" width="15.7265625" customWidth="1"/>
    <col min="6" max="6" width="13.7265625" customWidth="1"/>
    <col min="7" max="8" width="14.54296875" customWidth="1"/>
    <col min="10" max="10" width="13.26953125" customWidth="1"/>
    <col min="11" max="11" width="14.453125" customWidth="1"/>
    <col min="12" max="12" width="9.26953125" bestFit="1" customWidth="1"/>
    <col min="17" max="17" width="9.26953125" bestFit="1" customWidth="1"/>
    <col min="18" max="18" width="12.7265625" customWidth="1"/>
    <col min="19" max="19" width="14.81640625" customWidth="1"/>
    <col min="20" max="20" width="16.54296875" customWidth="1"/>
    <col min="21" max="21" width="18" customWidth="1"/>
    <col min="23" max="23" width="15" customWidth="1"/>
    <col min="24" max="24" width="18" customWidth="1"/>
    <col min="31" max="31" width="12.81640625" customWidth="1"/>
  </cols>
  <sheetData>
    <row r="1" spans="1:35" ht="5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t="s">
        <v>15</v>
      </c>
      <c r="Q1" t="s">
        <v>16</v>
      </c>
      <c r="R1" s="11" t="s">
        <v>17</v>
      </c>
      <c r="S1" s="10" t="s">
        <v>18</v>
      </c>
      <c r="T1" s="15" t="s">
        <v>19</v>
      </c>
      <c r="U1" s="15"/>
      <c r="Y1" t="s">
        <v>20</v>
      </c>
      <c r="Z1" t="s">
        <v>21</v>
      </c>
      <c r="AA1" t="s">
        <v>22</v>
      </c>
      <c r="AB1" t="s">
        <v>23</v>
      </c>
      <c r="AC1" t="s">
        <v>24</v>
      </c>
      <c r="AE1" t="s">
        <v>25</v>
      </c>
      <c r="AF1" s="10" t="s">
        <v>26</v>
      </c>
      <c r="AG1" s="10" t="s">
        <v>27</v>
      </c>
      <c r="AH1" s="10" t="s">
        <v>28</v>
      </c>
      <c r="AI1" t="s">
        <v>29</v>
      </c>
    </row>
    <row r="2" spans="1:35" ht="21.75" customHeight="1" x14ac:dyDescent="0.35">
      <c r="A2" s="1">
        <v>44690</v>
      </c>
      <c r="B2" t="s">
        <v>30</v>
      </c>
      <c r="C2">
        <v>1</v>
      </c>
      <c r="D2">
        <v>2</v>
      </c>
      <c r="E2">
        <f>90*3.785</f>
        <v>340.65000000000003</v>
      </c>
      <c r="F2" s="2">
        <f>1.1*10^4</f>
        <v>11000</v>
      </c>
      <c r="G2" s="2">
        <f>E2*F2*1000</f>
        <v>3747150000.0000005</v>
      </c>
      <c r="H2" s="2">
        <f>LOG10(G2)</f>
        <v>9.5737010784336416</v>
      </c>
      <c r="I2">
        <f>3.785*21.28</f>
        <v>80.544800000000009</v>
      </c>
      <c r="J2" s="2">
        <f>1.3*10^4</f>
        <v>13000</v>
      </c>
      <c r="K2" s="2">
        <f>I2*J2*1000</f>
        <v>1047082400.0000001</v>
      </c>
      <c r="L2" s="2">
        <f>LOG10(K2)</f>
        <v>9.0199808597659388</v>
      </c>
      <c r="W2" s="16" t="s">
        <v>31</v>
      </c>
      <c r="X2" t="s">
        <v>30</v>
      </c>
      <c r="Y2">
        <v>42.6</v>
      </c>
      <c r="Z2">
        <v>71.099999999999994</v>
      </c>
      <c r="AA2">
        <v>19.7</v>
      </c>
      <c r="AB2">
        <f>AVERAGE(Y2:AA2)</f>
        <v>44.466666666666661</v>
      </c>
      <c r="AC2">
        <f>STDEVA(Y2:AA2)</f>
        <v>25.750792868052315</v>
      </c>
      <c r="AE2">
        <v>1</v>
      </c>
      <c r="AF2" s="9">
        <v>235.3</v>
      </c>
      <c r="AG2">
        <v>890.61050000000012</v>
      </c>
      <c r="AH2" s="8">
        <v>611.79999999999995</v>
      </c>
      <c r="AI2">
        <v>2315.663</v>
      </c>
    </row>
    <row r="3" spans="1:35" x14ac:dyDescent="0.35">
      <c r="A3" s="1">
        <v>44690</v>
      </c>
      <c r="B3" t="s">
        <v>30</v>
      </c>
      <c r="C3">
        <v>2</v>
      </c>
      <c r="D3">
        <v>2</v>
      </c>
      <c r="E3">
        <f>90*3.785</f>
        <v>340.65000000000003</v>
      </c>
      <c r="F3" s="2">
        <f>1.8*10^4</f>
        <v>18000</v>
      </c>
      <c r="G3" s="2">
        <f t="shared" ref="G3:G25" si="0">E3*F3*1000</f>
        <v>6131700000.000001</v>
      </c>
      <c r="H3" s="2">
        <f t="shared" ref="H3:H25" si="1">LOG10(G3)</f>
        <v>9.7875808983787227</v>
      </c>
      <c r="I3">
        <f>3.785*45.08</f>
        <v>170.62780000000001</v>
      </c>
      <c r="J3" s="2">
        <f>1.1*10^4</f>
        <v>11000</v>
      </c>
      <c r="K3" s="2">
        <f t="shared" ref="K3:K25" si="2">I3*J3*1000</f>
        <v>1876905800</v>
      </c>
      <c r="L3" s="2">
        <f t="shared" ref="L3:L25" si="3">LOG10(K3)</f>
        <v>9.2734424763683858</v>
      </c>
      <c r="W3" s="16"/>
      <c r="X3" t="s">
        <v>32</v>
      </c>
      <c r="Y3">
        <v>91.1</v>
      </c>
      <c r="Z3">
        <v>94</v>
      </c>
      <c r="AA3">
        <v>94.5</v>
      </c>
      <c r="AB3">
        <f>AVERAGE(Y3:AA3)</f>
        <v>93.2</v>
      </c>
      <c r="AC3">
        <f>STDEVA(Y3:AA3)</f>
        <v>1.835755975068585</v>
      </c>
      <c r="AE3">
        <v>2</v>
      </c>
      <c r="AF3" s="12">
        <v>541.91999999999996</v>
      </c>
      <c r="AG3">
        <v>2051.1671999999999</v>
      </c>
      <c r="AH3">
        <v>1220.02</v>
      </c>
      <c r="AI3">
        <v>4617.7757000000001</v>
      </c>
    </row>
    <row r="4" spans="1:35" ht="30.75" customHeight="1" x14ac:dyDescent="0.35">
      <c r="A4" s="1">
        <v>44690</v>
      </c>
      <c r="B4" t="s">
        <v>30</v>
      </c>
      <c r="C4">
        <v>3</v>
      </c>
      <c r="D4">
        <v>2</v>
      </c>
      <c r="E4">
        <f>33.4*3.785</f>
        <v>126.419</v>
      </c>
      <c r="F4" s="2">
        <f>4.5*10^3</f>
        <v>4500</v>
      </c>
      <c r="G4" s="2">
        <f t="shared" si="0"/>
        <v>568885500</v>
      </c>
      <c r="H4" s="2">
        <f t="shared" si="1"/>
        <v>8.7550248644229995</v>
      </c>
      <c r="I4">
        <f>3.785*45.8</f>
        <v>173.35300000000001</v>
      </c>
      <c r="J4" s="2">
        <f>1.1*10^4</f>
        <v>11000</v>
      </c>
      <c r="K4" s="2">
        <f t="shared" si="2"/>
        <v>1906883000</v>
      </c>
      <c r="L4" s="2">
        <f t="shared" si="3"/>
        <v>9.2803240469981851</v>
      </c>
      <c r="W4" s="17" t="s">
        <v>33</v>
      </c>
      <c r="X4" t="s">
        <v>30</v>
      </c>
      <c r="Y4">
        <v>0.28000000000000003</v>
      </c>
      <c r="Z4">
        <v>0.61</v>
      </c>
      <c r="AA4">
        <v>0.35</v>
      </c>
      <c r="AB4">
        <f t="shared" ref="AB4:AB5" si="4">AVERAGE(Y4:AA4)</f>
        <v>0.41333333333333333</v>
      </c>
      <c r="AC4">
        <f t="shared" ref="AC4:AC5" si="5">STDEVA(Y4:AA4)</f>
        <v>0.17387735140993285</v>
      </c>
      <c r="AE4">
        <v>3</v>
      </c>
      <c r="AF4">
        <v>353.45200000000006</v>
      </c>
      <c r="AG4">
        <v>1337.8158200000003</v>
      </c>
      <c r="AH4" s="8">
        <v>2204.2359999999999</v>
      </c>
      <c r="AI4">
        <v>8343.0332600000002</v>
      </c>
    </row>
    <row r="5" spans="1:35" x14ac:dyDescent="0.35">
      <c r="A5" s="1">
        <v>44690</v>
      </c>
      <c r="B5" t="s">
        <v>30</v>
      </c>
      <c r="C5">
        <v>4</v>
      </c>
      <c r="D5">
        <v>2</v>
      </c>
      <c r="E5">
        <f>3.785*21.9</f>
        <v>82.891499999999994</v>
      </c>
      <c r="F5" s="2">
        <f>9*10^2</f>
        <v>900</v>
      </c>
      <c r="G5" s="2">
        <f t="shared" si="0"/>
        <v>74602349.999999985</v>
      </c>
      <c r="H5" s="2">
        <f t="shared" si="1"/>
        <v>7.8727525081155347</v>
      </c>
      <c r="I5">
        <f>3.785*22.9</f>
        <v>86.676500000000004</v>
      </c>
      <c r="J5" s="2">
        <f>7.9*10^3</f>
        <v>7900</v>
      </c>
      <c r="K5" s="2">
        <f t="shared" si="2"/>
        <v>684744350</v>
      </c>
      <c r="L5" s="2">
        <f t="shared" si="3"/>
        <v>8.8355284574664203</v>
      </c>
      <c r="T5" t="s">
        <v>34</v>
      </c>
      <c r="U5">
        <f>MEDIAN(S14,S6)</f>
        <v>0.52724130708646766</v>
      </c>
      <c r="W5" s="17"/>
      <c r="X5" t="s">
        <v>32</v>
      </c>
      <c r="Y5">
        <v>1.37</v>
      </c>
      <c r="Z5">
        <v>2.0299999999999998</v>
      </c>
      <c r="AA5">
        <v>2.31</v>
      </c>
      <c r="AB5">
        <f t="shared" si="4"/>
        <v>1.9033333333333333</v>
      </c>
      <c r="AC5">
        <f t="shared" si="5"/>
        <v>0.48263167460635292</v>
      </c>
      <c r="AE5" t="s">
        <v>35</v>
      </c>
      <c r="AF5">
        <v>353.45200000000006</v>
      </c>
      <c r="AG5">
        <v>1337.8158200000003</v>
      </c>
      <c r="AH5" s="8">
        <v>1220.02</v>
      </c>
      <c r="AI5">
        <v>4617.7757000000001</v>
      </c>
    </row>
    <row r="6" spans="1:35" x14ac:dyDescent="0.35">
      <c r="A6" s="1">
        <v>44699</v>
      </c>
      <c r="B6" t="s">
        <v>30</v>
      </c>
      <c r="C6">
        <v>1</v>
      </c>
      <c r="D6">
        <v>1</v>
      </c>
      <c r="E6">
        <f>157.5*3.785</f>
        <v>596.13750000000005</v>
      </c>
      <c r="F6" s="2">
        <f>1.6*10^4</f>
        <v>16000</v>
      </c>
      <c r="G6" s="2">
        <f t="shared" si="0"/>
        <v>9538200000</v>
      </c>
      <c r="H6" s="2">
        <f t="shared" si="1"/>
        <v>9.9794664246176357</v>
      </c>
      <c r="I6">
        <f>75*3.785</f>
        <v>283.875</v>
      </c>
      <c r="J6" s="3">
        <v>4300</v>
      </c>
      <c r="K6" s="2">
        <f t="shared" si="2"/>
        <v>1220662500</v>
      </c>
      <c r="L6" s="2">
        <f t="shared" si="3"/>
        <v>9.0865956028073782</v>
      </c>
      <c r="M6" s="5">
        <v>15</v>
      </c>
      <c r="N6" s="2">
        <f>M6*E6</f>
        <v>8942.0625</v>
      </c>
      <c r="O6" s="5">
        <v>44</v>
      </c>
      <c r="P6">
        <f>O6*I6</f>
        <v>12490.5</v>
      </c>
      <c r="Q6" s="8">
        <f>N6+N7+N8+N9</f>
        <v>29959.259100000003</v>
      </c>
      <c r="R6">
        <f>P6+P7+P8+P9</f>
        <v>23020.370000000003</v>
      </c>
      <c r="S6">
        <f>(Q6-R6)/Q6</f>
        <v>0.23161083779939004</v>
      </c>
      <c r="T6" t="s">
        <v>36</v>
      </c>
      <c r="U6">
        <f>STDEVA(S6,S14)</f>
        <v>0.41808461911650785</v>
      </c>
      <c r="AE6" t="s">
        <v>37</v>
      </c>
      <c r="AF6">
        <f>STDEVA(AF2:AF4)</f>
        <v>154.64793700962625</v>
      </c>
      <c r="AG6">
        <f t="shared" ref="AG6:AI6" si="6">STDEVA(AG2:AG4)</f>
        <v>585.34244158143485</v>
      </c>
      <c r="AH6">
        <f t="shared" si="6"/>
        <v>803.58209673436625</v>
      </c>
      <c r="AI6">
        <f t="shared" si="6"/>
        <v>3041.5582361395759</v>
      </c>
    </row>
    <row r="7" spans="1:35" x14ac:dyDescent="0.35">
      <c r="A7" s="1">
        <v>44699</v>
      </c>
      <c r="B7" t="s">
        <v>30</v>
      </c>
      <c r="C7">
        <v>2</v>
      </c>
      <c r="D7">
        <v>1</v>
      </c>
      <c r="E7">
        <f>3.785*240</f>
        <v>908.40000000000009</v>
      </c>
      <c r="F7" s="2">
        <f>2.6*10^2</f>
        <v>260</v>
      </c>
      <c r="G7" s="2">
        <f t="shared" si="0"/>
        <v>236184000.00000003</v>
      </c>
      <c r="H7" s="2">
        <f t="shared" si="1"/>
        <v>8.3732504735185156</v>
      </c>
      <c r="I7">
        <f>74*3.785</f>
        <v>280.09000000000003</v>
      </c>
      <c r="J7" s="3">
        <v>3900</v>
      </c>
      <c r="K7" s="2">
        <f t="shared" si="2"/>
        <v>1092351000.0000002</v>
      </c>
      <c r="L7" s="2">
        <f t="shared" si="3"/>
        <v>9.0383622105935668</v>
      </c>
      <c r="M7" s="5">
        <v>17</v>
      </c>
      <c r="N7" s="2">
        <f t="shared" ref="N7:N25" si="7">M7*E7</f>
        <v>15442.800000000001</v>
      </c>
      <c r="O7" s="5">
        <v>32</v>
      </c>
      <c r="P7">
        <f t="shared" ref="P7:P25" si="8">O7*I7</f>
        <v>8962.880000000001</v>
      </c>
      <c r="Q7" s="8"/>
      <c r="AE7" t="s">
        <v>38</v>
      </c>
      <c r="AF7">
        <f>AVERAGE(AF2:AF4)</f>
        <v>376.89066666666668</v>
      </c>
      <c r="AG7">
        <f t="shared" ref="AG7:AI7" si="9">AVERAGE(AG2:AG4)</f>
        <v>1426.5311733333335</v>
      </c>
      <c r="AH7">
        <f t="shared" si="9"/>
        <v>1345.3519999999999</v>
      </c>
      <c r="AI7">
        <f t="shared" si="9"/>
        <v>5092.1573200000003</v>
      </c>
    </row>
    <row r="8" spans="1:35" x14ac:dyDescent="0.35">
      <c r="A8" s="1">
        <v>44699</v>
      </c>
      <c r="B8" t="s">
        <v>30</v>
      </c>
      <c r="C8">
        <v>3</v>
      </c>
      <c r="D8">
        <v>1</v>
      </c>
      <c r="E8">
        <f>134.9*3.785</f>
        <v>510.59650000000005</v>
      </c>
      <c r="F8" s="3">
        <v>85</v>
      </c>
      <c r="G8" s="2">
        <f t="shared" si="0"/>
        <v>43400702.500000007</v>
      </c>
      <c r="H8" s="2">
        <f t="shared" si="1"/>
        <v>7.6374967592222882</v>
      </c>
      <c r="I8">
        <f>4.8*3.785</f>
        <v>18.167999999999999</v>
      </c>
      <c r="J8" s="3">
        <v>3700</v>
      </c>
      <c r="K8" s="2">
        <f t="shared" si="2"/>
        <v>67221599.999999985</v>
      </c>
      <c r="L8" s="2">
        <f t="shared" si="3"/>
        <v>7.8275088452786736</v>
      </c>
      <c r="M8" s="5">
        <v>10</v>
      </c>
      <c r="N8" s="2">
        <f t="shared" si="7"/>
        <v>5105.9650000000001</v>
      </c>
      <c r="O8" s="5">
        <v>50</v>
      </c>
      <c r="P8">
        <f t="shared" si="8"/>
        <v>908.4</v>
      </c>
      <c r="Q8" s="8"/>
      <c r="T8" t="s">
        <v>39</v>
      </c>
      <c r="U8">
        <f>MEDIAN(S10,S18,S22)</f>
        <v>0.99543243521714486</v>
      </c>
    </row>
    <row r="9" spans="1:35" x14ac:dyDescent="0.35">
      <c r="A9" s="1">
        <v>44699</v>
      </c>
      <c r="B9" t="s">
        <v>30</v>
      </c>
      <c r="C9">
        <v>4</v>
      </c>
      <c r="D9">
        <v>1</v>
      </c>
      <c r="E9">
        <f>9.52*3.785</f>
        <v>36.033200000000001</v>
      </c>
      <c r="F9" s="3">
        <v>60</v>
      </c>
      <c r="G9" s="2">
        <f t="shared" si="0"/>
        <v>2161992</v>
      </c>
      <c r="H9" s="2">
        <f t="shared" si="1"/>
        <v>6.3348540826042097</v>
      </c>
      <c r="I9">
        <f>3*3.785</f>
        <v>11.355</v>
      </c>
      <c r="J9" s="3">
        <v>5400</v>
      </c>
      <c r="K9" s="2">
        <f t="shared" si="2"/>
        <v>61317000</v>
      </c>
      <c r="L9" s="2">
        <f t="shared" si="3"/>
        <v>7.7875808983787227</v>
      </c>
      <c r="M9" s="5">
        <v>13</v>
      </c>
      <c r="N9" s="2">
        <f t="shared" si="7"/>
        <v>468.4316</v>
      </c>
      <c r="O9" s="5">
        <v>58</v>
      </c>
      <c r="P9">
        <f t="shared" si="8"/>
        <v>658.59</v>
      </c>
      <c r="Q9" s="8"/>
      <c r="T9" t="s">
        <v>40</v>
      </c>
      <c r="U9">
        <f>STDEVA(S10,S18,S22)</f>
        <v>6.7439815798432173E-3</v>
      </c>
    </row>
    <row r="10" spans="1:35" x14ac:dyDescent="0.35">
      <c r="A10" s="1">
        <v>44699</v>
      </c>
      <c r="B10" t="s">
        <v>32</v>
      </c>
      <c r="C10">
        <v>1</v>
      </c>
      <c r="D10">
        <v>1</v>
      </c>
      <c r="E10">
        <f>110.1*3.785</f>
        <v>416.7285</v>
      </c>
      <c r="F10" s="3">
        <v>25000</v>
      </c>
      <c r="G10" s="2">
        <f t="shared" si="0"/>
        <v>10418212500</v>
      </c>
      <c r="H10" s="2">
        <f t="shared" si="1"/>
        <v>10.017793211479882</v>
      </c>
      <c r="I10">
        <f>52*3.785</f>
        <v>196.82</v>
      </c>
      <c r="J10" s="3">
        <v>4800</v>
      </c>
      <c r="K10" s="2">
        <f t="shared" si="2"/>
        <v>944736000</v>
      </c>
      <c r="L10" s="2">
        <f t="shared" si="3"/>
        <v>8.9753104648464781</v>
      </c>
      <c r="M10" s="5">
        <v>364</v>
      </c>
      <c r="N10" s="2">
        <f t="shared" si="7"/>
        <v>151689.174</v>
      </c>
      <c r="O10" s="5">
        <v>15</v>
      </c>
      <c r="P10">
        <f t="shared" si="8"/>
        <v>2952.2999999999997</v>
      </c>
      <c r="Q10" s="8">
        <f>N10+N11+N12+N13</f>
        <v>343290.03750000003</v>
      </c>
      <c r="R10">
        <f>P10+P11+P12+P13</f>
        <v>5308.0839999999998</v>
      </c>
      <c r="S10">
        <f>(Q10-R10)/Q10</f>
        <v>0.98453761129027817</v>
      </c>
    </row>
    <row r="11" spans="1:35" x14ac:dyDescent="0.35">
      <c r="A11" s="1">
        <v>44699</v>
      </c>
      <c r="B11" t="s">
        <v>32</v>
      </c>
      <c r="C11">
        <v>2</v>
      </c>
      <c r="D11">
        <v>1</v>
      </c>
      <c r="E11">
        <f>203.4*3.785</f>
        <v>769.86900000000003</v>
      </c>
      <c r="F11" s="3">
        <v>2800</v>
      </c>
      <c r="G11" s="2">
        <f t="shared" si="0"/>
        <v>2155633200</v>
      </c>
      <c r="H11" s="2">
        <f t="shared" si="1"/>
        <v>9.3335748637650369</v>
      </c>
      <c r="I11">
        <f>14*3.785</f>
        <v>52.99</v>
      </c>
      <c r="J11" s="3">
        <v>4500</v>
      </c>
      <c r="K11" s="2">
        <f t="shared" si="2"/>
        <v>238455000</v>
      </c>
      <c r="L11" s="2">
        <f t="shared" si="3"/>
        <v>8.3774064332896732</v>
      </c>
      <c r="M11" s="5">
        <v>32</v>
      </c>
      <c r="N11" s="2">
        <f t="shared" si="7"/>
        <v>24635.808000000001</v>
      </c>
      <c r="O11" s="5">
        <v>17</v>
      </c>
      <c r="P11">
        <f t="shared" si="8"/>
        <v>900.83</v>
      </c>
      <c r="Q11" s="8"/>
    </row>
    <row r="12" spans="1:35" x14ac:dyDescent="0.35">
      <c r="A12" s="1">
        <v>44699</v>
      </c>
      <c r="B12" t="s">
        <v>32</v>
      </c>
      <c r="C12">
        <v>3</v>
      </c>
      <c r="D12">
        <v>1</v>
      </c>
      <c r="E12">
        <f>172.9*3.785</f>
        <v>654.42650000000003</v>
      </c>
      <c r="F12" s="3">
        <v>1500</v>
      </c>
      <c r="G12" s="2">
        <f t="shared" si="0"/>
        <v>981639750</v>
      </c>
      <c r="H12" s="2">
        <f t="shared" si="1"/>
        <v>8.9919521361656951</v>
      </c>
      <c r="I12">
        <f>27*3.785</f>
        <v>102.19500000000001</v>
      </c>
      <c r="J12" s="3">
        <v>3100</v>
      </c>
      <c r="K12" s="2">
        <f t="shared" si="2"/>
        <v>316804500</v>
      </c>
      <c r="L12" s="2">
        <f t="shared" si="3"/>
        <v>8.5007913418293519</v>
      </c>
      <c r="M12" s="5">
        <v>171</v>
      </c>
      <c r="N12" s="2">
        <f t="shared" si="7"/>
        <v>111906.93150000001</v>
      </c>
      <c r="O12" s="5">
        <v>10</v>
      </c>
      <c r="P12">
        <f t="shared" si="8"/>
        <v>1021.95</v>
      </c>
      <c r="Q12" s="8"/>
    </row>
    <row r="13" spans="1:35" x14ac:dyDescent="0.35">
      <c r="A13" s="1">
        <v>44699</v>
      </c>
      <c r="B13" t="s">
        <v>32</v>
      </c>
      <c r="C13">
        <v>4</v>
      </c>
      <c r="D13">
        <v>1</v>
      </c>
      <c r="E13">
        <f>3.785*125.4</f>
        <v>474.63900000000007</v>
      </c>
      <c r="F13" s="3">
        <v>7300</v>
      </c>
      <c r="G13" s="2">
        <f t="shared" si="0"/>
        <v>3464864700.0000005</v>
      </c>
      <c r="H13" s="2">
        <f t="shared" si="1"/>
        <v>9.5396862804512459</v>
      </c>
      <c r="I13">
        <f>8.8*3.785</f>
        <v>33.308000000000007</v>
      </c>
      <c r="J13" s="3">
        <v>2200</v>
      </c>
      <c r="K13" s="2">
        <f t="shared" si="2"/>
        <v>73277600.000000015</v>
      </c>
      <c r="L13" s="2">
        <f t="shared" si="3"/>
        <v>7.8649712368084668</v>
      </c>
      <c r="M13" s="5">
        <v>116</v>
      </c>
      <c r="N13" s="2">
        <f t="shared" si="7"/>
        <v>55058.124000000011</v>
      </c>
      <c r="O13" s="5">
        <v>13</v>
      </c>
      <c r="P13">
        <f t="shared" si="8"/>
        <v>433.00400000000008</v>
      </c>
      <c r="Q13" s="8"/>
    </row>
    <row r="14" spans="1:35" x14ac:dyDescent="0.35">
      <c r="A14" s="1">
        <v>44705</v>
      </c>
      <c r="B14" t="s">
        <v>30</v>
      </c>
      <c r="C14">
        <v>1</v>
      </c>
      <c r="D14">
        <v>2</v>
      </c>
      <c r="E14">
        <f>3.785*200</f>
        <v>757</v>
      </c>
      <c r="F14" s="3">
        <v>25000</v>
      </c>
      <c r="G14" s="2">
        <f t="shared" si="0"/>
        <v>18925000000</v>
      </c>
      <c r="H14" s="2">
        <f t="shared" si="1"/>
        <v>10.27703588817211</v>
      </c>
      <c r="I14">
        <f>85.61*3.785</f>
        <v>324.03385000000003</v>
      </c>
      <c r="J14" s="3">
        <v>7700</v>
      </c>
      <c r="K14" s="2">
        <f t="shared" si="2"/>
        <v>2495060645</v>
      </c>
      <c r="L14" s="2">
        <f t="shared" si="3"/>
        <v>9.3970811060591153</v>
      </c>
      <c r="M14" s="6">
        <v>154</v>
      </c>
      <c r="N14" s="2">
        <f t="shared" si="7"/>
        <v>116578</v>
      </c>
      <c r="O14" s="6">
        <v>41</v>
      </c>
      <c r="P14">
        <f t="shared" si="8"/>
        <v>13285.387850000001</v>
      </c>
      <c r="Q14" s="8">
        <f>N14+N15+N16+N17</f>
        <v>174184.18599999999</v>
      </c>
      <c r="R14">
        <f>P14+P15+P16+P17</f>
        <v>30852.935450000001</v>
      </c>
      <c r="S14">
        <f>(Q14-R14)/Q14</f>
        <v>0.82287177637354525</v>
      </c>
    </row>
    <row r="15" spans="1:35" x14ac:dyDescent="0.35">
      <c r="A15" s="1">
        <v>44705</v>
      </c>
      <c r="B15" t="s">
        <v>30</v>
      </c>
      <c r="C15">
        <v>2</v>
      </c>
      <c r="D15">
        <v>2</v>
      </c>
      <c r="E15">
        <f>88*3.785</f>
        <v>333.08000000000004</v>
      </c>
      <c r="F15" s="3">
        <v>4400</v>
      </c>
      <c r="G15" s="2">
        <f t="shared" si="0"/>
        <v>1465552000.0000002</v>
      </c>
      <c r="H15" s="2">
        <f t="shared" si="1"/>
        <v>9.166001232472448</v>
      </c>
      <c r="I15">
        <f>46.59*3.785</f>
        <v>176.34315000000001</v>
      </c>
      <c r="J15" s="3">
        <v>7700</v>
      </c>
      <c r="K15" s="2">
        <f t="shared" si="2"/>
        <v>1357842255.0000002</v>
      </c>
      <c r="L15" s="2">
        <f t="shared" si="3"/>
        <v>9.1328493194567937</v>
      </c>
      <c r="M15" s="6">
        <v>141</v>
      </c>
      <c r="N15" s="2">
        <f t="shared" si="7"/>
        <v>46964.280000000006</v>
      </c>
      <c r="O15" s="6">
        <v>32</v>
      </c>
      <c r="P15">
        <f t="shared" si="8"/>
        <v>5642.9808000000003</v>
      </c>
      <c r="Q15" s="8"/>
    </row>
    <row r="16" spans="1:35" x14ac:dyDescent="0.35">
      <c r="A16" s="1">
        <v>44705</v>
      </c>
      <c r="B16" t="s">
        <v>30</v>
      </c>
      <c r="C16">
        <v>3</v>
      </c>
      <c r="D16">
        <v>2</v>
      </c>
      <c r="E16">
        <f>66*3.785</f>
        <v>249.81</v>
      </c>
      <c r="F16" s="3">
        <v>6600</v>
      </c>
      <c r="G16" s="2">
        <f t="shared" si="0"/>
        <v>1648746000</v>
      </c>
      <c r="H16" s="2">
        <f t="shared" si="1"/>
        <v>9.2171537549198295</v>
      </c>
      <c r="I16">
        <f>90.83*3.785</f>
        <v>343.79155000000003</v>
      </c>
      <c r="J16" s="3">
        <v>10000</v>
      </c>
      <c r="K16" s="2">
        <f t="shared" si="2"/>
        <v>3437915500.0000005</v>
      </c>
      <c r="L16" s="2">
        <f t="shared" si="3"/>
        <v>9.5362951980244741</v>
      </c>
      <c r="M16" s="6">
        <v>42</v>
      </c>
      <c r="N16" s="2">
        <f t="shared" si="7"/>
        <v>10492.02</v>
      </c>
      <c r="O16" s="6">
        <v>24</v>
      </c>
      <c r="P16">
        <f t="shared" si="8"/>
        <v>8250.9972000000016</v>
      </c>
      <c r="Q16" s="8"/>
    </row>
    <row r="17" spans="1:19" x14ac:dyDescent="0.35">
      <c r="A17" s="1">
        <v>44705</v>
      </c>
      <c r="B17" t="s">
        <v>30</v>
      </c>
      <c r="C17">
        <v>4</v>
      </c>
      <c r="D17">
        <v>2</v>
      </c>
      <c r="E17">
        <f>2.2*3.785</f>
        <v>8.3270000000000017</v>
      </c>
      <c r="F17" s="3">
        <v>140</v>
      </c>
      <c r="G17" s="2">
        <f t="shared" si="0"/>
        <v>1165780.0000000002</v>
      </c>
      <c r="H17" s="2">
        <f t="shared" si="1"/>
        <v>6.0666166003365358</v>
      </c>
      <c r="I17">
        <f>60.66*3.785</f>
        <v>229.59809999999999</v>
      </c>
      <c r="J17" s="4">
        <v>9400</v>
      </c>
      <c r="K17" s="2">
        <f t="shared" si="2"/>
        <v>2158222139.9999995</v>
      </c>
      <c r="L17" s="2">
        <f t="shared" si="3"/>
        <v>9.3340961434104344</v>
      </c>
      <c r="M17" s="6">
        <v>18</v>
      </c>
      <c r="N17" s="2">
        <f t="shared" si="7"/>
        <v>149.88600000000002</v>
      </c>
      <c r="O17" s="7">
        <v>16</v>
      </c>
      <c r="P17">
        <f t="shared" si="8"/>
        <v>3673.5695999999998</v>
      </c>
      <c r="Q17" s="8"/>
    </row>
    <row r="18" spans="1:19" x14ac:dyDescent="0.35">
      <c r="A18" s="1">
        <v>44705</v>
      </c>
      <c r="B18" t="s">
        <v>32</v>
      </c>
      <c r="C18">
        <v>1</v>
      </c>
      <c r="D18">
        <v>2</v>
      </c>
      <c r="E18">
        <f>310*3.785</f>
        <v>1173.3500000000001</v>
      </c>
      <c r="F18" s="3">
        <v>20000</v>
      </c>
      <c r="G18" s="2">
        <f t="shared" si="0"/>
        <v>23467000000.000004</v>
      </c>
      <c r="H18" s="2">
        <f t="shared" si="1"/>
        <v>10.370457573334345</v>
      </c>
      <c r="I18">
        <f>7.72*3.785</f>
        <v>29.220199999999998</v>
      </c>
      <c r="J18" s="3">
        <v>14000</v>
      </c>
      <c r="K18" s="2">
        <f t="shared" si="2"/>
        <v>409082800</v>
      </c>
      <c r="L18" s="2">
        <f t="shared" si="3"/>
        <v>8.6118112198500665</v>
      </c>
      <c r="M18" s="5">
        <v>337</v>
      </c>
      <c r="N18" s="2">
        <f t="shared" si="7"/>
        <v>395418.95000000007</v>
      </c>
      <c r="O18" s="5">
        <v>17</v>
      </c>
      <c r="P18">
        <f t="shared" si="8"/>
        <v>496.74339999999995</v>
      </c>
      <c r="Q18" s="8">
        <f>N18+N19+N20+N21</f>
        <v>734706.35000000009</v>
      </c>
      <c r="R18" s="8">
        <f>P18+P19+P20+P21</f>
        <v>3355.8188499999997</v>
      </c>
      <c r="S18">
        <f>(Q18-R18)/Q18</f>
        <v>0.99543243521714486</v>
      </c>
    </row>
    <row r="19" spans="1:19" x14ac:dyDescent="0.35">
      <c r="A19" s="1">
        <v>44705</v>
      </c>
      <c r="B19" t="s">
        <v>32</v>
      </c>
      <c r="C19">
        <v>2</v>
      </c>
      <c r="D19">
        <v>2</v>
      </c>
      <c r="E19">
        <f>290*3.785</f>
        <v>1097.6500000000001</v>
      </c>
      <c r="F19" s="3">
        <v>110000</v>
      </c>
      <c r="G19" s="2">
        <f t="shared" si="0"/>
        <v>120741500000.00002</v>
      </c>
      <c r="H19" s="2">
        <f t="shared" si="1"/>
        <v>11.081856566893272</v>
      </c>
      <c r="I19">
        <f>19.32*3.785</f>
        <v>73.126199999999997</v>
      </c>
      <c r="J19" s="3">
        <v>9800</v>
      </c>
      <c r="K19" s="2">
        <f t="shared" si="2"/>
        <v>716636760</v>
      </c>
      <c r="L19" s="2">
        <f t="shared" si="3"/>
        <v>8.8552990816080612</v>
      </c>
      <c r="M19" s="5">
        <v>162</v>
      </c>
      <c r="N19" s="2">
        <f t="shared" si="7"/>
        <v>177819.30000000002</v>
      </c>
      <c r="O19" s="5">
        <v>12</v>
      </c>
      <c r="P19">
        <f t="shared" si="8"/>
        <v>877.51440000000002</v>
      </c>
      <c r="Q19" s="8"/>
    </row>
    <row r="20" spans="1:19" x14ac:dyDescent="0.35">
      <c r="A20" s="1">
        <v>44705</v>
      </c>
      <c r="B20" t="s">
        <v>32</v>
      </c>
      <c r="C20">
        <v>3</v>
      </c>
      <c r="D20">
        <v>2</v>
      </c>
      <c r="E20">
        <f>290*3.785</f>
        <v>1097.6500000000001</v>
      </c>
      <c r="F20" s="3">
        <v>100000</v>
      </c>
      <c r="G20" s="2">
        <f t="shared" si="0"/>
        <v>109765000000.00002</v>
      </c>
      <c r="H20" s="2">
        <f t="shared" si="1"/>
        <v>11.040463881735048</v>
      </c>
      <c r="I20">
        <f>28.98*3.785</f>
        <v>109.6893</v>
      </c>
      <c r="J20" s="3">
        <v>9900</v>
      </c>
      <c r="K20" s="2">
        <f t="shared" si="2"/>
        <v>1085924070</v>
      </c>
      <c r="L20" s="2">
        <f t="shared" si="3"/>
        <v>9.035799459568798</v>
      </c>
      <c r="M20" s="5">
        <v>105</v>
      </c>
      <c r="N20" s="2">
        <f t="shared" si="7"/>
        <v>115253.25000000001</v>
      </c>
      <c r="O20" s="5">
        <v>13</v>
      </c>
      <c r="P20">
        <f t="shared" si="8"/>
        <v>1425.9609</v>
      </c>
      <c r="Q20" s="8"/>
    </row>
    <row r="21" spans="1:19" x14ac:dyDescent="0.35">
      <c r="A21" s="1">
        <v>44705</v>
      </c>
      <c r="B21" t="s">
        <v>32</v>
      </c>
      <c r="C21">
        <v>4</v>
      </c>
      <c r="D21">
        <v>2</v>
      </c>
      <c r="E21">
        <f>330*3.785</f>
        <v>1249.05</v>
      </c>
      <c r="F21" s="3">
        <v>24000</v>
      </c>
      <c r="G21" s="2">
        <f t="shared" si="0"/>
        <v>29977200000</v>
      </c>
      <c r="H21" s="2">
        <f t="shared" si="1"/>
        <v>10.476791065425585</v>
      </c>
      <c r="I21">
        <f>3.785*16.31</f>
        <v>61.733349999999994</v>
      </c>
      <c r="J21" s="3">
        <v>7200</v>
      </c>
      <c r="K21" s="2">
        <f t="shared" si="2"/>
        <v>444480119.99999994</v>
      </c>
      <c r="L21" s="2">
        <f t="shared" si="3"/>
        <v>8.6478523413076349</v>
      </c>
      <c r="M21" s="5">
        <v>37</v>
      </c>
      <c r="N21" s="2">
        <f t="shared" si="7"/>
        <v>46214.85</v>
      </c>
      <c r="O21" s="5">
        <v>9</v>
      </c>
      <c r="P21">
        <f t="shared" si="8"/>
        <v>555.60014999999999</v>
      </c>
      <c r="Q21" s="8"/>
    </row>
    <row r="22" spans="1:19" x14ac:dyDescent="0.35">
      <c r="A22" s="1">
        <v>44706</v>
      </c>
      <c r="B22" t="s">
        <v>32</v>
      </c>
      <c r="C22">
        <v>1</v>
      </c>
      <c r="D22">
        <v>1</v>
      </c>
      <c r="E22">
        <f>3.785*269.4</f>
        <v>1019.679</v>
      </c>
      <c r="F22" s="3">
        <v>61000</v>
      </c>
      <c r="G22" s="2">
        <f t="shared" si="0"/>
        <v>62200419000</v>
      </c>
      <c r="H22" s="2">
        <f t="shared" si="1"/>
        <v>10.793793310233825</v>
      </c>
      <c r="I22">
        <f>3.785*34.76</f>
        <v>131.56659999999999</v>
      </c>
      <c r="J22" s="3">
        <v>2200</v>
      </c>
      <c r="K22" s="2">
        <f t="shared" si="2"/>
        <v>289446519.99999994</v>
      </c>
      <c r="L22" s="2">
        <f t="shared" si="3"/>
        <v>8.4615683324349273</v>
      </c>
      <c r="M22" s="6">
        <v>213</v>
      </c>
      <c r="N22" s="2">
        <f t="shared" si="7"/>
        <v>217191.62700000001</v>
      </c>
      <c r="O22" s="6">
        <v>6</v>
      </c>
      <c r="P22">
        <f t="shared" si="8"/>
        <v>789.39959999999996</v>
      </c>
      <c r="Q22" s="8">
        <f>N22+N23+N24+N25</f>
        <v>727436.04630000005</v>
      </c>
      <c r="R22">
        <f>P22+P23+P24+P25</f>
        <v>2275.9205000000002</v>
      </c>
      <c r="S22">
        <f>(Q22-R22)/Q22</f>
        <v>0.99687131190215805</v>
      </c>
    </row>
    <row r="23" spans="1:19" x14ac:dyDescent="0.35">
      <c r="A23" s="1">
        <v>44706</v>
      </c>
      <c r="B23" t="s">
        <v>32</v>
      </c>
      <c r="C23">
        <v>2</v>
      </c>
      <c r="D23">
        <v>1</v>
      </c>
      <c r="E23">
        <f>485.5*3.785</f>
        <v>1837.6175000000001</v>
      </c>
      <c r="F23" s="3">
        <v>59000</v>
      </c>
      <c r="G23" s="2">
        <f t="shared" si="0"/>
        <v>108419432500</v>
      </c>
      <c r="H23" s="2">
        <f t="shared" si="1"/>
        <v>11.03510712972226</v>
      </c>
      <c r="I23">
        <f>3.785*25.07</f>
        <v>94.889949999999999</v>
      </c>
      <c r="J23" s="3">
        <v>2100</v>
      </c>
      <c r="K23" s="2">
        <f t="shared" si="2"/>
        <v>199268895</v>
      </c>
      <c r="L23" s="2">
        <f t="shared" si="3"/>
        <v>8.2994395125282274</v>
      </c>
      <c r="M23" s="6">
        <v>132</v>
      </c>
      <c r="N23" s="2">
        <f t="shared" si="7"/>
        <v>242565.51</v>
      </c>
      <c r="O23" s="6">
        <v>6</v>
      </c>
      <c r="P23">
        <f t="shared" si="8"/>
        <v>569.33969999999999</v>
      </c>
      <c r="Q23" s="8"/>
    </row>
    <row r="24" spans="1:19" x14ac:dyDescent="0.35">
      <c r="A24" s="1">
        <v>44706</v>
      </c>
      <c r="B24" t="s">
        <v>32</v>
      </c>
      <c r="C24">
        <v>3</v>
      </c>
      <c r="D24">
        <v>1</v>
      </c>
      <c r="E24">
        <f>847.88*3.785</f>
        <v>3209.2258000000002</v>
      </c>
      <c r="F24" s="3">
        <v>13000</v>
      </c>
      <c r="G24" s="2">
        <f t="shared" si="0"/>
        <v>41719935400</v>
      </c>
      <c r="H24" s="2">
        <f t="shared" si="1"/>
        <v>10.620343627284569</v>
      </c>
      <c r="I24">
        <f>39.42*3.785</f>
        <v>149.2047</v>
      </c>
      <c r="J24" s="3">
        <v>1800</v>
      </c>
      <c r="K24" s="2">
        <f t="shared" si="2"/>
        <v>268568460</v>
      </c>
      <c r="L24" s="2">
        <f t="shared" si="3"/>
        <v>8.4290550088828216</v>
      </c>
      <c r="M24" s="6">
        <v>60</v>
      </c>
      <c r="N24" s="2">
        <f t="shared" si="7"/>
        <v>192553.54800000001</v>
      </c>
      <c r="O24" s="6">
        <v>5</v>
      </c>
      <c r="P24">
        <f t="shared" si="8"/>
        <v>746.02350000000001</v>
      </c>
      <c r="Q24" s="8"/>
    </row>
    <row r="25" spans="1:19" x14ac:dyDescent="0.35">
      <c r="A25" s="1">
        <v>44706</v>
      </c>
      <c r="B25" t="s">
        <v>32</v>
      </c>
      <c r="C25">
        <v>4</v>
      </c>
      <c r="D25">
        <v>1</v>
      </c>
      <c r="E25">
        <f>601.46*3.785</f>
        <v>2276.5261</v>
      </c>
      <c r="F25" s="3">
        <v>45</v>
      </c>
      <c r="G25" s="2">
        <f t="shared" si="0"/>
        <v>102443674.50000001</v>
      </c>
      <c r="H25" s="2">
        <f t="shared" si="1"/>
        <v>8.0104851475634131</v>
      </c>
      <c r="I25">
        <f>22.61*3.785</f>
        <v>85.578850000000003</v>
      </c>
      <c r="J25" s="3">
        <v>3100</v>
      </c>
      <c r="K25" s="2">
        <f t="shared" si="2"/>
        <v>265294435</v>
      </c>
      <c r="L25" s="2">
        <f t="shared" si="3"/>
        <v>8.423728140015724</v>
      </c>
      <c r="M25" s="6">
        <v>33</v>
      </c>
      <c r="N25" s="2">
        <f t="shared" si="7"/>
        <v>75125.361300000004</v>
      </c>
      <c r="O25" s="6">
        <v>2</v>
      </c>
      <c r="P25">
        <f t="shared" si="8"/>
        <v>171.15770000000001</v>
      </c>
      <c r="Q25" s="8"/>
    </row>
    <row r="26" spans="1:19" x14ac:dyDescent="0.35">
      <c r="K26" t="s">
        <v>41</v>
      </c>
      <c r="L26">
        <f>STDEVA(L10:L13,L18:L25)</f>
        <v>0.31980116795203678</v>
      </c>
      <c r="O26" t="s">
        <v>41</v>
      </c>
      <c r="P26">
        <f>STDEVA(P10:P13,P18:P25)</f>
        <v>718.46553578841701</v>
      </c>
      <c r="Q26" s="8"/>
    </row>
    <row r="27" spans="1:19" x14ac:dyDescent="0.35">
      <c r="K27" t="s">
        <v>42</v>
      </c>
      <c r="L27">
        <f>STDEVA(L14:L17,L2:L9)</f>
        <v>0.57145126425139781</v>
      </c>
      <c r="O27" t="s">
        <v>42</v>
      </c>
      <c r="P27">
        <f>STDEVA(P14:P17,P2:P9)</f>
        <v>4851.0962017940301</v>
      </c>
      <c r="Q27" s="8"/>
    </row>
    <row r="28" spans="1:19" x14ac:dyDescent="0.35">
      <c r="K28" t="s">
        <v>43</v>
      </c>
      <c r="L28">
        <f>(L27-L26)/L27</f>
        <v>0.44037018034954056</v>
      </c>
      <c r="O28" t="s">
        <v>43</v>
      </c>
      <c r="P28">
        <f>(P27-P26)/P27</f>
        <v>0.8518962506819151</v>
      </c>
    </row>
  </sheetData>
  <mergeCells count="3">
    <mergeCell ref="T1:U1"/>
    <mergeCell ref="W2:W3"/>
    <mergeCell ref="W4:W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8624C541DCD14980FB9558E7454DA3" ma:contentTypeVersion="9" ma:contentTypeDescription="Create a new document." ma:contentTypeScope="" ma:versionID="f99dbbb8e2ce4aeda9092f289cda0576">
  <xsd:schema xmlns:xsd="http://www.w3.org/2001/XMLSchema" xmlns:xs="http://www.w3.org/2001/XMLSchema" xmlns:p="http://schemas.microsoft.com/office/2006/metadata/properties" xmlns:ns3="63a86e50-3c24-4c9b-8567-879ab57e551f" xmlns:ns4="dbb3369a-f135-4e39-9cff-bc1aa39e3c61" targetNamespace="http://schemas.microsoft.com/office/2006/metadata/properties" ma:root="true" ma:fieldsID="1f2ed581ed3bae9391e44f383ae6852b" ns3:_="" ns4:_="">
    <xsd:import namespace="63a86e50-3c24-4c9b-8567-879ab57e551f"/>
    <xsd:import namespace="dbb3369a-f135-4e39-9cff-bc1aa39e3c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a86e50-3c24-4c9b-8567-879ab57e55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b3369a-f135-4e39-9cff-bc1aa39e3c6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027F61-836E-45E6-B2F8-26313FE92A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a86e50-3c24-4c9b-8567-879ab57e551f"/>
    <ds:schemaRef ds:uri="dbb3369a-f135-4e39-9cff-bc1aa39e3c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57AAD6-FBEF-49C6-87CE-6D12228EE8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986E6BE-615C-41E8-B2C1-3F1FB5636A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Dictionary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Boening, Kathryn M.</dc:creator>
  <cp:keywords/>
  <dc:description/>
  <cp:lastModifiedBy>Mikelonis, Anne</cp:lastModifiedBy>
  <cp:revision/>
  <dcterms:created xsi:type="dcterms:W3CDTF">2022-10-04T14:30:41Z</dcterms:created>
  <dcterms:modified xsi:type="dcterms:W3CDTF">2023-02-02T19:52:35Z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0x010100C78624C541DCD14980FB9558E7454DA3</vt:lpwstr>
  </property>
</Properties>
</file>