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SR_manuscript_Data\"/>
    </mc:Choice>
  </mc:AlternateContent>
  <xr:revisionPtr revIDLastSave="0" documentId="8_{CA47DE27-873D-4EE1-9F95-6C80776B1741}" xr6:coauthVersionLast="47" xr6:coauthVersionMax="47" xr10:uidLastSave="{00000000-0000-0000-0000-000000000000}"/>
  <bookViews>
    <workbookView xWindow="-120" yWindow="-120" windowWidth="29040" windowHeight="15720" xr2:uid="{24002873-81BC-4348-BD7E-A6AFADE56834}"/>
  </bookViews>
  <sheets>
    <sheet name="DOC_export" sheetId="1" r:id="rId1"/>
    <sheet name="Tid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1" l="1"/>
  <c r="K25" i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2" i="2"/>
  <c r="J23" i="1"/>
  <c r="N29" i="1"/>
  <c r="N31" i="1" s="1"/>
  <c r="N25" i="1"/>
  <c r="N27" i="1" s="1"/>
  <c r="N21" i="1"/>
  <c r="N23" i="1" s="1"/>
  <c r="M23" i="1"/>
  <c r="M21" i="1"/>
  <c r="L21" i="1"/>
  <c r="K23" i="1"/>
  <c r="J21" i="1"/>
  <c r="K21" i="1"/>
  <c r="I23" i="1"/>
  <c r="I21" i="1"/>
  <c r="H21" i="1"/>
  <c r="G2" i="1"/>
  <c r="F7" i="1"/>
  <c r="H7" i="1" s="1"/>
  <c r="H32" i="1" s="1"/>
  <c r="G32" i="1" s="1"/>
  <c r="G15" i="1"/>
  <c r="G16" i="1"/>
  <c r="G17" i="1"/>
  <c r="G18" i="1"/>
  <c r="G19" i="1"/>
  <c r="K3" i="1"/>
  <c r="L3" i="1" s="1"/>
  <c r="K4" i="1"/>
  <c r="L4" i="1" s="1"/>
  <c r="K5" i="1"/>
  <c r="L5" i="1" s="1"/>
  <c r="K6" i="1"/>
  <c r="L6" i="1" s="1"/>
  <c r="K7" i="1"/>
  <c r="L7" i="1" s="1"/>
  <c r="K8" i="1"/>
  <c r="M8" i="1" s="1"/>
  <c r="K9" i="1"/>
  <c r="M9" i="1" s="1"/>
  <c r="K10" i="1"/>
  <c r="M10" i="1" s="1"/>
  <c r="K11" i="1"/>
  <c r="M11" i="1" s="1"/>
  <c r="K12" i="1"/>
  <c r="L12" i="1" s="1"/>
  <c r="K13" i="1"/>
  <c r="L13" i="1" s="1"/>
  <c r="K14" i="1"/>
  <c r="L14" i="1" s="1"/>
  <c r="K15" i="1"/>
  <c r="M15" i="1" s="1"/>
  <c r="K16" i="1"/>
  <c r="L16" i="1" s="1"/>
  <c r="K17" i="1"/>
  <c r="L17" i="1" s="1"/>
  <c r="K18" i="1"/>
  <c r="M18" i="1" s="1"/>
  <c r="K19" i="1"/>
  <c r="L19" i="1" s="1"/>
  <c r="K2" i="1"/>
  <c r="M2" i="1" s="1"/>
  <c r="N2" i="1" s="1"/>
  <c r="F13" i="1"/>
  <c r="H13" i="1" s="1"/>
  <c r="H38" i="1" s="1"/>
  <c r="G38" i="1" s="1"/>
  <c r="F11" i="1"/>
  <c r="H11" i="1" s="1"/>
  <c r="H36" i="1" s="1"/>
  <c r="G36" i="1" s="1"/>
  <c r="F3" i="1"/>
  <c r="H3" i="1" s="1"/>
  <c r="H28" i="1" s="1"/>
  <c r="G28" i="1" s="1"/>
  <c r="F5" i="1"/>
  <c r="H5" i="1" s="1"/>
  <c r="H30" i="1" s="1"/>
  <c r="G30" i="1" s="1"/>
  <c r="H15" i="1"/>
  <c r="H40" i="1" s="1"/>
  <c r="G40" i="1" s="1"/>
  <c r="H16" i="1"/>
  <c r="H41" i="1" s="1"/>
  <c r="G41" i="1" s="1"/>
  <c r="H17" i="1"/>
  <c r="H42" i="1" s="1"/>
  <c r="G42" i="1" s="1"/>
  <c r="H18" i="1"/>
  <c r="H43" i="1" s="1"/>
  <c r="G43" i="1" s="1"/>
  <c r="H19" i="1"/>
  <c r="H44" i="1" s="1"/>
  <c r="G44" i="1" s="1"/>
  <c r="H2" i="1"/>
  <c r="I2" i="1" s="1"/>
  <c r="F12" i="1"/>
  <c r="H12" i="1" s="1"/>
  <c r="I12" i="1" s="1"/>
  <c r="F10" i="1"/>
  <c r="H10" i="1" s="1"/>
  <c r="I10" i="1" s="1"/>
  <c r="F9" i="1"/>
  <c r="H9" i="1" s="1"/>
  <c r="I9" i="1" s="1"/>
  <c r="F8" i="1"/>
  <c r="H8" i="1" s="1"/>
  <c r="H33" i="1" s="1"/>
  <c r="G33" i="1" s="1"/>
  <c r="F6" i="1"/>
  <c r="H6" i="1" s="1"/>
  <c r="H31" i="1" s="1"/>
  <c r="G31" i="1" s="1"/>
  <c r="F4" i="1"/>
  <c r="H4" i="1" s="1"/>
  <c r="I4" i="1" s="1"/>
  <c r="F14" i="1"/>
  <c r="H14" i="1" s="1"/>
  <c r="H39" i="1" s="1"/>
  <c r="G39" i="1" s="1"/>
  <c r="I17" i="1" l="1"/>
  <c r="I3" i="1"/>
  <c r="H34" i="1"/>
  <c r="G34" i="1" s="1"/>
  <c r="H37" i="1"/>
  <c r="G37" i="1" s="1"/>
  <c r="I18" i="1"/>
  <c r="H35" i="1"/>
  <c r="G35" i="1" s="1"/>
  <c r="H29" i="1"/>
  <c r="G29" i="1" s="1"/>
  <c r="I16" i="1"/>
  <c r="I8" i="1"/>
  <c r="G13" i="1"/>
  <c r="I15" i="1"/>
  <c r="I7" i="1"/>
  <c r="H27" i="1"/>
  <c r="G27" i="1" s="1"/>
  <c r="G11" i="1"/>
  <c r="I14" i="1"/>
  <c r="I6" i="1"/>
  <c r="I13" i="1"/>
  <c r="I5" i="1"/>
  <c r="I19" i="1"/>
  <c r="I11" i="1"/>
  <c r="G9" i="1"/>
  <c r="M19" i="1"/>
  <c r="N12" i="1" s="1"/>
  <c r="G8" i="1"/>
  <c r="M4" i="1"/>
  <c r="N4" i="1" s="1"/>
  <c r="G6" i="1"/>
  <c r="G14" i="1"/>
  <c r="G5" i="1"/>
  <c r="G4" i="1"/>
  <c r="G12" i="1"/>
  <c r="G3" i="1"/>
  <c r="G10" i="1"/>
  <c r="G7" i="1"/>
  <c r="M3" i="1"/>
  <c r="N3" i="1" s="1"/>
  <c r="L11" i="1"/>
  <c r="L2" i="1"/>
  <c r="M7" i="1"/>
  <c r="M6" i="1"/>
  <c r="M5" i="1"/>
  <c r="N5" i="1" s="1"/>
  <c r="L18" i="1"/>
  <c r="L10" i="1"/>
  <c r="L8" i="1"/>
  <c r="L15" i="1"/>
  <c r="O13" i="1"/>
  <c r="N8" i="1"/>
  <c r="O17" i="1"/>
  <c r="L9" i="1"/>
  <c r="M16" i="1"/>
  <c r="O12" i="1"/>
  <c r="N7" i="1"/>
  <c r="M17" i="1"/>
  <c r="N11" i="1" s="1"/>
  <c r="O7" i="1"/>
  <c r="O8" i="1"/>
  <c r="M12" i="1"/>
  <c r="O11" i="1"/>
  <c r="M14" i="1"/>
  <c r="N10" i="1" s="1"/>
  <c r="O14" i="1"/>
  <c r="M13" i="1"/>
  <c r="O9" i="1"/>
  <c r="O16" i="1"/>
  <c r="O10" i="1"/>
  <c r="I26" i="1" l="1"/>
  <c r="I27" i="1" s="1"/>
  <c r="G45" i="1"/>
  <c r="G46" i="1" s="1"/>
  <c r="N6" i="1"/>
  <c r="P11" i="1"/>
  <c r="N9" i="1"/>
  <c r="P7" i="1"/>
</calcChain>
</file>

<file path=xl/sharedStrings.xml><?xml version="1.0" encoding="utf-8"?>
<sst xmlns="http://schemas.openxmlformats.org/spreadsheetml/2006/main" count="67" uniqueCount="35">
  <si>
    <t>Dates</t>
  </si>
  <si>
    <t>DOC flux (g C hr-1)</t>
  </si>
  <si>
    <t>DOC export (g C m-2 hr-1)</t>
  </si>
  <si>
    <t>DOC export (g C m-2 d-1)</t>
  </si>
  <si>
    <t>discharge</t>
  </si>
  <si>
    <t>avg 10 day discharge</t>
  </si>
  <si>
    <t>DOC flux(g C d-1)</t>
  </si>
  <si>
    <t>DOC flux (x10^5 g C hr-1)</t>
  </si>
  <si>
    <t>DOC flux (x10^5 g C d-1)</t>
  </si>
  <si>
    <t>average hourly flux</t>
  </si>
  <si>
    <t>average daily flux</t>
  </si>
  <si>
    <t>yearly flux</t>
  </si>
  <si>
    <t>average hourly export</t>
  </si>
  <si>
    <t>average daily export</t>
  </si>
  <si>
    <t>yearly export</t>
  </si>
  <si>
    <t>DOC export (g C m-2 month-1)</t>
  </si>
  <si>
    <t>DOC export (g C m-2 y-1)</t>
  </si>
  <si>
    <t>average yearly export</t>
  </si>
  <si>
    <t>average monthly export</t>
  </si>
  <si>
    <t>DOC export (g C m-2 month-1) for only 11 months</t>
  </si>
  <si>
    <t xml:space="preserve"> yearly export</t>
  </si>
  <si>
    <t>Sat</t>
  </si>
  <si>
    <t>H</t>
  </si>
  <si>
    <t>L</t>
  </si>
  <si>
    <t>Wed</t>
  </si>
  <si>
    <t>Thu</t>
  </si>
  <si>
    <t>Mon</t>
  </si>
  <si>
    <t>yr</t>
  </si>
  <si>
    <t>mo</t>
  </si>
  <si>
    <t>dy</t>
  </si>
  <si>
    <t>dw</t>
  </si>
  <si>
    <t>hr</t>
  </si>
  <si>
    <t>mn</t>
  </si>
  <si>
    <t>t_cm</t>
  </si>
  <si>
    <t>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</si>
</sst>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5" fontId="0" fillId="0" borderId="0" xfId="0" applyNumberFormat="1"/>
    <xf numFmtId="9" fontId="0" fillId="0" borderId="0" xfId="0" applyNumberFormat="1"/>
    <xf numFmtId="0" fontId="0" fillId="0" borderId="0" xfId="0" applyNumberFormat="1"/>
    <xf numFmtId="2" fontId="0" fillId="0" borderId="0" xfId="0" applyNumberFormat="1"/>
    <xf numFmtId="0" fontId="1" fillId="0" borderId="0" xfId="0" applyFont="1"/>
    <xf numFmtId="0" fontId="1" fillId="0" borderId="0" xfId="0" applyNumberFormat="1" applyFont="1"/>
    <xf numFmtId="0" fontId="2" fillId="0" borderId="0" xfId="0" applyFont="1"/>
    <xf numFmtId="0" fontId="2" fillId="0" borderId="0" xfId="0" applyNumberFormat="1" applyFont="1"/>
    <xf numFmtId="1" fontId="0" fillId="0" borderId="0" xfId="0" applyNumberFormat="1"/>
    <xf numFmtId="21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1B6B9"/>
      <color rgb="FF253494"/>
      <color rgb="FF8DD3C7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rgbClr val="8DD3C7"/>
              </a:solidFill>
              <a:round/>
            </a:ln>
            <a:effectLst/>
          </c:spPr>
          <c:marker>
            <c:symbol val="diamond"/>
            <c:size val="11"/>
            <c:spPr>
              <a:solidFill>
                <a:srgbClr val="8DD3C7"/>
              </a:solidFill>
              <a:ln w="19050">
                <a:solidFill>
                  <a:schemeClr val="tx2"/>
                </a:solidFill>
              </a:ln>
              <a:effectLst/>
            </c:spPr>
          </c:marker>
          <c:xVal>
            <c:numRef>
              <c:f>DOC_export!$A$2:$A$19</c:f>
              <c:numCache>
                <c:formatCode>d\-mmm\-yy</c:formatCode>
                <c:ptCount val="18"/>
                <c:pt idx="0">
                  <c:v>44226</c:v>
                </c:pt>
                <c:pt idx="1">
                  <c:v>44251</c:v>
                </c:pt>
                <c:pt idx="2">
                  <c:v>44266</c:v>
                </c:pt>
                <c:pt idx="3">
                  <c:v>44291</c:v>
                </c:pt>
                <c:pt idx="4">
                  <c:v>44331</c:v>
                </c:pt>
                <c:pt idx="5">
                  <c:v>44336</c:v>
                </c:pt>
                <c:pt idx="6">
                  <c:v>44366</c:v>
                </c:pt>
                <c:pt idx="7">
                  <c:v>44371</c:v>
                </c:pt>
                <c:pt idx="8">
                  <c:v>44401</c:v>
                </c:pt>
                <c:pt idx="9">
                  <c:v>44406</c:v>
                </c:pt>
                <c:pt idx="10">
                  <c:v>44451</c:v>
                </c:pt>
                <c:pt idx="11">
                  <c:v>44466</c:v>
                </c:pt>
                <c:pt idx="12">
                  <c:v>44471</c:v>
                </c:pt>
                <c:pt idx="13">
                  <c:v>44486</c:v>
                </c:pt>
                <c:pt idx="14">
                  <c:v>44496</c:v>
                </c:pt>
                <c:pt idx="15">
                  <c:v>44501</c:v>
                </c:pt>
                <c:pt idx="16">
                  <c:v>44521</c:v>
                </c:pt>
                <c:pt idx="17">
                  <c:v>44531</c:v>
                </c:pt>
              </c:numCache>
            </c:numRef>
          </c:xVal>
          <c:yVal>
            <c:numRef>
              <c:f>DOC_export!$K$2:$K$19</c:f>
              <c:numCache>
                <c:formatCode>General</c:formatCode>
                <c:ptCount val="18"/>
                <c:pt idx="0">
                  <c:v>-11.9328</c:v>
                </c:pt>
                <c:pt idx="1">
                  <c:v>13.6128</c:v>
                </c:pt>
                <c:pt idx="2">
                  <c:v>4.4543999999999997</c:v>
                </c:pt>
                <c:pt idx="3">
                  <c:v>-10.845600000000001</c:v>
                </c:pt>
                <c:pt idx="4">
                  <c:v>-1.7616000000000001</c:v>
                </c:pt>
                <c:pt idx="5">
                  <c:v>-5.4336000000000002</c:v>
                </c:pt>
                <c:pt idx="6">
                  <c:v>5.6256000000000004</c:v>
                </c:pt>
                <c:pt idx="7">
                  <c:v>2.6711999999999998</c:v>
                </c:pt>
                <c:pt idx="8">
                  <c:v>-4.8407999999999998</c:v>
                </c:pt>
                <c:pt idx="9">
                  <c:v>7.7880000000000003</c:v>
                </c:pt>
                <c:pt idx="10">
                  <c:v>5.4527999999999999</c:v>
                </c:pt>
                <c:pt idx="11">
                  <c:v>5.6495999999999995</c:v>
                </c:pt>
                <c:pt idx="12">
                  <c:v>1.4712000000000001</c:v>
                </c:pt>
                <c:pt idx="13">
                  <c:v>-0.56879999999999997</c:v>
                </c:pt>
                <c:pt idx="14">
                  <c:v>5.0519999999999996</c:v>
                </c:pt>
                <c:pt idx="15">
                  <c:v>1.4088000000000001</c:v>
                </c:pt>
                <c:pt idx="16">
                  <c:v>-5.2248000000000001</c:v>
                </c:pt>
                <c:pt idx="17">
                  <c:v>-0.23760000000000003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09-43DD-9807-167C162BBFA6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DOC_export!$D$2:$D$19</c:f>
              <c:numCache>
                <c:formatCode>d\-mmm\-yy</c:formatCode>
                <c:ptCount val="18"/>
                <c:pt idx="0">
                  <c:v>44166</c:v>
                </c:pt>
                <c:pt idx="1">
                  <c:v>44197</c:v>
                </c:pt>
                <c:pt idx="2">
                  <c:v>44228</c:v>
                </c:pt>
                <c:pt idx="3">
                  <c:v>44256</c:v>
                </c:pt>
                <c:pt idx="4">
                  <c:v>44287</c:v>
                </c:pt>
                <c:pt idx="5">
                  <c:v>44317</c:v>
                </c:pt>
                <c:pt idx="6">
                  <c:v>44348</c:v>
                </c:pt>
                <c:pt idx="7">
                  <c:v>44378</c:v>
                </c:pt>
                <c:pt idx="8">
                  <c:v>44409</c:v>
                </c:pt>
                <c:pt idx="9">
                  <c:v>44440</c:v>
                </c:pt>
                <c:pt idx="10">
                  <c:v>44470</c:v>
                </c:pt>
                <c:pt idx="11">
                  <c:v>44501</c:v>
                </c:pt>
                <c:pt idx="12">
                  <c:v>44531</c:v>
                </c:pt>
                <c:pt idx="13">
                  <c:v>44562</c:v>
                </c:pt>
                <c:pt idx="14">
                  <c:v>44593</c:v>
                </c:pt>
                <c:pt idx="15">
                  <c:v>44621</c:v>
                </c:pt>
                <c:pt idx="16">
                  <c:v>44652</c:v>
                </c:pt>
                <c:pt idx="17">
                  <c:v>44682</c:v>
                </c:pt>
              </c:numCache>
            </c:numRef>
          </c:xVal>
          <c:yVal>
            <c:numRef>
              <c:f>DOC_export!$E$2:$E$19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0B-4197-B6A5-DF7A5A850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903264"/>
        <c:axId val="1624905344"/>
      </c:scatterChart>
      <c:scatterChart>
        <c:scatterStyle val="lineMarker"/>
        <c:varyColors val="0"/>
        <c:ser>
          <c:idx val="2"/>
          <c:order val="2"/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DOC_export!$A$2:$A$19</c:f>
              <c:numCache>
                <c:formatCode>d\-mmm\-yy</c:formatCode>
                <c:ptCount val="18"/>
                <c:pt idx="0">
                  <c:v>44226</c:v>
                </c:pt>
                <c:pt idx="1">
                  <c:v>44251</c:v>
                </c:pt>
                <c:pt idx="2">
                  <c:v>44266</c:v>
                </c:pt>
                <c:pt idx="3">
                  <c:v>44291</c:v>
                </c:pt>
                <c:pt idx="4">
                  <c:v>44331</c:v>
                </c:pt>
                <c:pt idx="5">
                  <c:v>44336</c:v>
                </c:pt>
                <c:pt idx="6">
                  <c:v>44366</c:v>
                </c:pt>
                <c:pt idx="7">
                  <c:v>44371</c:v>
                </c:pt>
                <c:pt idx="8">
                  <c:v>44401</c:v>
                </c:pt>
                <c:pt idx="9">
                  <c:v>44406</c:v>
                </c:pt>
                <c:pt idx="10">
                  <c:v>44451</c:v>
                </c:pt>
                <c:pt idx="11">
                  <c:v>44466</c:v>
                </c:pt>
                <c:pt idx="12">
                  <c:v>44471</c:v>
                </c:pt>
                <c:pt idx="13">
                  <c:v>44486</c:v>
                </c:pt>
                <c:pt idx="14">
                  <c:v>44496</c:v>
                </c:pt>
                <c:pt idx="15">
                  <c:v>44501</c:v>
                </c:pt>
                <c:pt idx="16">
                  <c:v>44521</c:v>
                </c:pt>
                <c:pt idx="17">
                  <c:v>44531</c:v>
                </c:pt>
              </c:numCache>
            </c:numRef>
          </c:xVal>
          <c:yVal>
            <c:numRef>
              <c:f>DOC_export!$C$2:$C$19</c:f>
              <c:numCache>
                <c:formatCode>0.00</c:formatCode>
                <c:ptCount val="18"/>
                <c:pt idx="0">
                  <c:v>236</c:v>
                </c:pt>
                <c:pt idx="1">
                  <c:v>729</c:v>
                </c:pt>
                <c:pt idx="2">
                  <c:v>530</c:v>
                </c:pt>
                <c:pt idx="3">
                  <c:v>363</c:v>
                </c:pt>
                <c:pt idx="4">
                  <c:v>77</c:v>
                </c:pt>
                <c:pt idx="5">
                  <c:v>71</c:v>
                </c:pt>
                <c:pt idx="6">
                  <c:v>116</c:v>
                </c:pt>
                <c:pt idx="7">
                  <c:v>100</c:v>
                </c:pt>
                <c:pt idx="8">
                  <c:v>137</c:v>
                </c:pt>
                <c:pt idx="9">
                  <c:v>130</c:v>
                </c:pt>
                <c:pt idx="10">
                  <c:v>34</c:v>
                </c:pt>
                <c:pt idx="11">
                  <c:v>114</c:v>
                </c:pt>
                <c:pt idx="12">
                  <c:v>129</c:v>
                </c:pt>
                <c:pt idx="13">
                  <c:v>84</c:v>
                </c:pt>
                <c:pt idx="14">
                  <c:v>31</c:v>
                </c:pt>
                <c:pt idx="15">
                  <c:v>32</c:v>
                </c:pt>
                <c:pt idx="16">
                  <c:v>30</c:v>
                </c:pt>
                <c:pt idx="17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18-461B-8D94-02E6B7C10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693951"/>
        <c:axId val="385698111"/>
      </c:scatterChart>
      <c:valAx>
        <c:axId val="1624903264"/>
        <c:scaling>
          <c:orientation val="minMax"/>
          <c:max val="44560"/>
          <c:min val="442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Month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m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4905344"/>
        <c:crossesAt val="-15"/>
        <c:crossBetween val="midCat"/>
        <c:majorUnit val="31"/>
      </c:valAx>
      <c:valAx>
        <c:axId val="1624905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DOC</a:t>
                </a:r>
                <a:r>
                  <a:rPr lang="en-US" baseline="0"/>
                  <a:t> export (g C m</a:t>
                </a:r>
                <a:r>
                  <a:rPr lang="en-US" baseline="30000"/>
                  <a:t>-2</a:t>
                </a:r>
                <a:r>
                  <a:rPr lang="en-US" baseline="0"/>
                  <a:t> d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4903264"/>
        <c:crossesAt val="44210"/>
        <c:crossBetween val="midCat"/>
      </c:valAx>
      <c:valAx>
        <c:axId val="38569811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River discharge (m</a:t>
                </a:r>
                <a:r>
                  <a:rPr lang="en-US" baseline="30000"/>
                  <a:t>3 </a:t>
                </a:r>
                <a:r>
                  <a:rPr lang="en-US"/>
                  <a:t>s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5693951"/>
        <c:crosses val="max"/>
        <c:crossBetween val="midCat"/>
      </c:valAx>
      <c:valAx>
        <c:axId val="385693951"/>
        <c:scaling>
          <c:orientation val="minMax"/>
        </c:scaling>
        <c:delete val="1"/>
        <c:axPos val="b"/>
        <c:numFmt formatCode="d\-mmm\-yy" sourceLinked="1"/>
        <c:majorTickMark val="out"/>
        <c:minorTickMark val="none"/>
        <c:tickLblPos val="nextTo"/>
        <c:crossAx val="385698111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41B6B9"/>
              </a:solidFill>
              <a:round/>
            </a:ln>
            <a:effectLst/>
          </c:spPr>
          <c:marker>
            <c:symbol val="diamond"/>
            <c:size val="11"/>
            <c:spPr>
              <a:solidFill>
                <a:srgbClr val="41B6B9"/>
              </a:solidFill>
              <a:ln w="25400">
                <a:solidFill>
                  <a:schemeClr val="tx2"/>
                </a:solidFill>
              </a:ln>
              <a:effectLst/>
            </c:spPr>
          </c:marker>
          <c:xVal>
            <c:numRef>
              <c:f>DOC_export!$A$2:$A$19</c:f>
              <c:numCache>
                <c:formatCode>d\-mmm\-yy</c:formatCode>
                <c:ptCount val="18"/>
                <c:pt idx="0">
                  <c:v>44226</c:v>
                </c:pt>
                <c:pt idx="1">
                  <c:v>44251</c:v>
                </c:pt>
                <c:pt idx="2">
                  <c:v>44266</c:v>
                </c:pt>
                <c:pt idx="3">
                  <c:v>44291</c:v>
                </c:pt>
                <c:pt idx="4">
                  <c:v>44331</c:v>
                </c:pt>
                <c:pt idx="5">
                  <c:v>44336</c:v>
                </c:pt>
                <c:pt idx="6">
                  <c:v>44366</c:v>
                </c:pt>
                <c:pt idx="7">
                  <c:v>44371</c:v>
                </c:pt>
                <c:pt idx="8">
                  <c:v>44401</c:v>
                </c:pt>
                <c:pt idx="9">
                  <c:v>44406</c:v>
                </c:pt>
                <c:pt idx="10">
                  <c:v>44451</c:v>
                </c:pt>
                <c:pt idx="11">
                  <c:v>44466</c:v>
                </c:pt>
                <c:pt idx="12">
                  <c:v>44471</c:v>
                </c:pt>
                <c:pt idx="13">
                  <c:v>44486</c:v>
                </c:pt>
                <c:pt idx="14">
                  <c:v>44496</c:v>
                </c:pt>
                <c:pt idx="15">
                  <c:v>44501</c:v>
                </c:pt>
                <c:pt idx="16">
                  <c:v>44521</c:v>
                </c:pt>
                <c:pt idx="17">
                  <c:v>44531</c:v>
                </c:pt>
              </c:numCache>
            </c:numRef>
          </c:xVal>
          <c:yVal>
            <c:numRef>
              <c:f>DOC_export!$G$2:$G$19</c:f>
              <c:numCache>
                <c:formatCode>General</c:formatCode>
                <c:ptCount val="18"/>
                <c:pt idx="0">
                  <c:v>-50.70552</c:v>
                </c:pt>
                <c:pt idx="1">
                  <c:v>578.47199999999998</c:v>
                </c:pt>
                <c:pt idx="2">
                  <c:v>189.22800000000001</c:v>
                </c:pt>
                <c:pt idx="3">
                  <c:v>-460.89600000000002</c:v>
                </c:pt>
                <c:pt idx="4">
                  <c:v>-74.815200000000004</c:v>
                </c:pt>
                <c:pt idx="5">
                  <c:v>-230.84159999999997</c:v>
                </c:pt>
                <c:pt idx="6">
                  <c:v>239.0472</c:v>
                </c:pt>
                <c:pt idx="7">
                  <c:v>113.4744</c:v>
                </c:pt>
                <c:pt idx="8">
                  <c:v>-205.68</c:v>
                </c:pt>
                <c:pt idx="9">
                  <c:v>330.88800000000003</c:v>
                </c:pt>
                <c:pt idx="10">
                  <c:v>231.73679999999999</c:v>
                </c:pt>
                <c:pt idx="11">
                  <c:v>240.048</c:v>
                </c:pt>
                <c:pt idx="12">
                  <c:v>62.524799999999999</c:v>
                </c:pt>
                <c:pt idx="13">
                  <c:v>-24.218400000000003</c:v>
                </c:pt>
                <c:pt idx="14">
                  <c:v>214.68719999999999</c:v>
                </c:pt>
                <c:pt idx="15">
                  <c:v>59.8992</c:v>
                </c:pt>
                <c:pt idx="16">
                  <c:v>-222.05520000000001</c:v>
                </c:pt>
                <c:pt idx="17">
                  <c:v>-10.13016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4A-4BAE-BE76-4A5B91CA6B48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DOC_export!$D$2:$D$19</c:f>
              <c:numCache>
                <c:formatCode>d\-mmm\-yy</c:formatCode>
                <c:ptCount val="18"/>
                <c:pt idx="0">
                  <c:v>44166</c:v>
                </c:pt>
                <c:pt idx="1">
                  <c:v>44197</c:v>
                </c:pt>
                <c:pt idx="2">
                  <c:v>44228</c:v>
                </c:pt>
                <c:pt idx="3">
                  <c:v>44256</c:v>
                </c:pt>
                <c:pt idx="4">
                  <c:v>44287</c:v>
                </c:pt>
                <c:pt idx="5">
                  <c:v>44317</c:v>
                </c:pt>
                <c:pt idx="6">
                  <c:v>44348</c:v>
                </c:pt>
                <c:pt idx="7">
                  <c:v>44378</c:v>
                </c:pt>
                <c:pt idx="8">
                  <c:v>44409</c:v>
                </c:pt>
                <c:pt idx="9">
                  <c:v>44440</c:v>
                </c:pt>
                <c:pt idx="10">
                  <c:v>44470</c:v>
                </c:pt>
                <c:pt idx="11">
                  <c:v>44501</c:v>
                </c:pt>
                <c:pt idx="12">
                  <c:v>44531</c:v>
                </c:pt>
                <c:pt idx="13">
                  <c:v>44562</c:v>
                </c:pt>
                <c:pt idx="14">
                  <c:v>44593</c:v>
                </c:pt>
                <c:pt idx="15">
                  <c:v>44621</c:v>
                </c:pt>
                <c:pt idx="16">
                  <c:v>44652</c:v>
                </c:pt>
                <c:pt idx="17">
                  <c:v>44682</c:v>
                </c:pt>
              </c:numCache>
            </c:numRef>
          </c:xVal>
          <c:yVal>
            <c:numRef>
              <c:f>DOC_export!$E$2:$E$19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4A-4BAE-BE76-4A5B91CA6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903264"/>
        <c:axId val="1624905344"/>
      </c:scatterChart>
      <c:scatterChart>
        <c:scatterStyle val="lineMarker"/>
        <c:varyColors val="0"/>
        <c:ser>
          <c:idx val="2"/>
          <c:order val="2"/>
          <c:tx>
            <c:v>discharge</c:v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DOC_export!$A$2:$A$19</c:f>
              <c:numCache>
                <c:formatCode>d\-mmm\-yy</c:formatCode>
                <c:ptCount val="18"/>
                <c:pt idx="0">
                  <c:v>44226</c:v>
                </c:pt>
                <c:pt idx="1">
                  <c:v>44251</c:v>
                </c:pt>
                <c:pt idx="2">
                  <c:v>44266</c:v>
                </c:pt>
                <c:pt idx="3">
                  <c:v>44291</c:v>
                </c:pt>
                <c:pt idx="4">
                  <c:v>44331</c:v>
                </c:pt>
                <c:pt idx="5">
                  <c:v>44336</c:v>
                </c:pt>
                <c:pt idx="6">
                  <c:v>44366</c:v>
                </c:pt>
                <c:pt idx="7">
                  <c:v>44371</c:v>
                </c:pt>
                <c:pt idx="8">
                  <c:v>44401</c:v>
                </c:pt>
                <c:pt idx="9">
                  <c:v>44406</c:v>
                </c:pt>
                <c:pt idx="10">
                  <c:v>44451</c:v>
                </c:pt>
                <c:pt idx="11">
                  <c:v>44466</c:v>
                </c:pt>
                <c:pt idx="12">
                  <c:v>44471</c:v>
                </c:pt>
                <c:pt idx="13">
                  <c:v>44486</c:v>
                </c:pt>
                <c:pt idx="14">
                  <c:v>44496</c:v>
                </c:pt>
                <c:pt idx="15">
                  <c:v>44501</c:v>
                </c:pt>
                <c:pt idx="16">
                  <c:v>44521</c:v>
                </c:pt>
                <c:pt idx="17">
                  <c:v>44531</c:v>
                </c:pt>
              </c:numCache>
            </c:numRef>
          </c:xVal>
          <c:yVal>
            <c:numRef>
              <c:f>DOC_export!$C$2:$C$19</c:f>
              <c:numCache>
                <c:formatCode>0.00</c:formatCode>
                <c:ptCount val="18"/>
                <c:pt idx="0">
                  <c:v>236</c:v>
                </c:pt>
                <c:pt idx="1">
                  <c:v>729</c:v>
                </c:pt>
                <c:pt idx="2">
                  <c:v>530</c:v>
                </c:pt>
                <c:pt idx="3">
                  <c:v>363</c:v>
                </c:pt>
                <c:pt idx="4">
                  <c:v>77</c:v>
                </c:pt>
                <c:pt idx="5">
                  <c:v>71</c:v>
                </c:pt>
                <c:pt idx="6">
                  <c:v>116</c:v>
                </c:pt>
                <c:pt idx="7">
                  <c:v>100</c:v>
                </c:pt>
                <c:pt idx="8">
                  <c:v>137</c:v>
                </c:pt>
                <c:pt idx="9">
                  <c:v>130</c:v>
                </c:pt>
                <c:pt idx="10">
                  <c:v>34</c:v>
                </c:pt>
                <c:pt idx="11">
                  <c:v>114</c:v>
                </c:pt>
                <c:pt idx="12">
                  <c:v>129</c:v>
                </c:pt>
                <c:pt idx="13">
                  <c:v>84</c:v>
                </c:pt>
                <c:pt idx="14">
                  <c:v>31</c:v>
                </c:pt>
                <c:pt idx="15">
                  <c:v>32</c:v>
                </c:pt>
                <c:pt idx="16">
                  <c:v>30</c:v>
                </c:pt>
                <c:pt idx="17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3D-4181-96C7-3C284F326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9439"/>
        <c:axId val="151603615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spPr>
                  <a:ln w="19050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DOC_export!$A$2:$A$19</c15:sqref>
                        </c15:formulaRef>
                      </c:ext>
                    </c:extLst>
                    <c:numCache>
                      <c:formatCode>d\-mmm\-yy</c:formatCode>
                      <c:ptCount val="18"/>
                      <c:pt idx="0">
                        <c:v>44226</c:v>
                      </c:pt>
                      <c:pt idx="1">
                        <c:v>44251</c:v>
                      </c:pt>
                      <c:pt idx="2">
                        <c:v>44266</c:v>
                      </c:pt>
                      <c:pt idx="3">
                        <c:v>44291</c:v>
                      </c:pt>
                      <c:pt idx="4">
                        <c:v>44331</c:v>
                      </c:pt>
                      <c:pt idx="5">
                        <c:v>44336</c:v>
                      </c:pt>
                      <c:pt idx="6">
                        <c:v>44366</c:v>
                      </c:pt>
                      <c:pt idx="7">
                        <c:v>44371</c:v>
                      </c:pt>
                      <c:pt idx="8">
                        <c:v>44401</c:v>
                      </c:pt>
                      <c:pt idx="9">
                        <c:v>44406</c:v>
                      </c:pt>
                      <c:pt idx="10">
                        <c:v>44451</c:v>
                      </c:pt>
                      <c:pt idx="11">
                        <c:v>44466</c:v>
                      </c:pt>
                      <c:pt idx="12">
                        <c:v>44471</c:v>
                      </c:pt>
                      <c:pt idx="13">
                        <c:v>44486</c:v>
                      </c:pt>
                      <c:pt idx="14">
                        <c:v>44496</c:v>
                      </c:pt>
                      <c:pt idx="15">
                        <c:v>44501</c:v>
                      </c:pt>
                      <c:pt idx="16">
                        <c:v>44521</c:v>
                      </c:pt>
                      <c:pt idx="17">
                        <c:v>44531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DOC_export!$B$2:$B$19</c15:sqref>
                        </c15:formulaRef>
                      </c:ext>
                    </c:extLst>
                    <c:numCache>
                      <c:formatCode>0.00</c:formatCode>
                      <c:ptCount val="18"/>
                      <c:pt idx="0">
                        <c:v>475.72224</c:v>
                      </c:pt>
                      <c:pt idx="1">
                        <c:v>665.44479999999999</c:v>
                      </c:pt>
                      <c:pt idx="2">
                        <c:v>455.90048000000002</c:v>
                      </c:pt>
                      <c:pt idx="3">
                        <c:v>288.83136000000002</c:v>
                      </c:pt>
                      <c:pt idx="4" formatCode="General">
                        <c:v>67.960319999999996</c:v>
                      </c:pt>
                      <c:pt idx="5">
                        <c:v>47.289056000000002</c:v>
                      </c:pt>
                      <c:pt idx="6">
                        <c:v>77.304863999999995</c:v>
                      </c:pt>
                      <c:pt idx="7">
                        <c:v>85.799903999999998</c:v>
                      </c:pt>
                      <c:pt idx="8">
                        <c:v>195.10275200000001</c:v>
                      </c:pt>
                      <c:pt idx="9">
                        <c:v>108.736512</c:v>
                      </c:pt>
                      <c:pt idx="10">
                        <c:v>49.837567999999997</c:v>
                      </c:pt>
                      <c:pt idx="11">
                        <c:v>193.97008</c:v>
                      </c:pt>
                      <c:pt idx="12">
                        <c:v>34.829664000000001</c:v>
                      </c:pt>
                      <c:pt idx="13">
                        <c:v>43.891039999999997</c:v>
                      </c:pt>
                      <c:pt idx="14">
                        <c:v>29.449472</c:v>
                      </c:pt>
                      <c:pt idx="15">
                        <c:v>35.679167999999997</c:v>
                      </c:pt>
                      <c:pt idx="16">
                        <c:v>30.298976</c:v>
                      </c:pt>
                      <c:pt idx="17">
                        <c:v>32.564320000000002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13D-4181-96C7-3C284F3267F3}"/>
                  </c:ext>
                </c:extLst>
              </c15:ser>
            </c15:filteredScatterSeries>
          </c:ext>
        </c:extLst>
      </c:scatterChart>
      <c:valAx>
        <c:axId val="1624903264"/>
        <c:scaling>
          <c:orientation val="minMax"/>
          <c:max val="44560"/>
          <c:min val="442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Month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m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4905344"/>
        <c:crossesAt val="-600"/>
        <c:crossBetween val="midCat"/>
        <c:majorUnit val="31"/>
      </c:valAx>
      <c:valAx>
        <c:axId val="1624905344"/>
        <c:scaling>
          <c:orientation val="minMax"/>
          <c:min val="-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DOC</a:t>
                </a:r>
                <a:r>
                  <a:rPr lang="en-US" baseline="0"/>
                  <a:t> flux (×10</a:t>
                </a:r>
                <a:r>
                  <a:rPr lang="en-US" baseline="30000"/>
                  <a:t>5</a:t>
                </a:r>
                <a:r>
                  <a:rPr lang="en-US" baseline="0"/>
                  <a:t> g C d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4903264"/>
        <c:crossesAt val="44210"/>
        <c:crossBetween val="midCat"/>
      </c:valAx>
      <c:valAx>
        <c:axId val="1516036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River discharge (m</a:t>
                </a:r>
                <a:r>
                  <a:rPr lang="en-US" sz="1800" b="0" i="0" baseline="30000">
                    <a:effectLst/>
                  </a:rPr>
                  <a:t>3 </a:t>
                </a:r>
                <a:r>
                  <a:rPr lang="en-US" sz="1800" b="0" i="0" baseline="0">
                    <a:effectLst/>
                  </a:rPr>
                  <a:t>s</a:t>
                </a:r>
                <a:r>
                  <a:rPr lang="en-US" sz="1800" b="0" i="0" baseline="30000">
                    <a:effectLst/>
                  </a:rPr>
                  <a:t>-1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609439"/>
        <c:crosses val="max"/>
        <c:crossBetween val="midCat"/>
      </c:valAx>
      <c:valAx>
        <c:axId val="151609439"/>
        <c:scaling>
          <c:orientation val="minMax"/>
        </c:scaling>
        <c:delete val="1"/>
        <c:axPos val="t"/>
        <c:numFmt formatCode="d\-mmm\-yy" sourceLinked="1"/>
        <c:majorTickMark val="out"/>
        <c:minorTickMark val="none"/>
        <c:tickLblPos val="nextTo"/>
        <c:crossAx val="151603615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Tides!$K$2:$K$5</c:f>
              <c:numCache>
                <c:formatCode>m/d/yyyy\ h:mm</c:formatCode>
                <c:ptCount val="4"/>
                <c:pt idx="0">
                  <c:v>44226.041666666664</c:v>
                </c:pt>
                <c:pt idx="1">
                  <c:v>44226.297222222223</c:v>
                </c:pt>
                <c:pt idx="2">
                  <c:v>44226.554166666669</c:v>
                </c:pt>
                <c:pt idx="3">
                  <c:v>44226.826388888891</c:v>
                </c:pt>
              </c:numCache>
            </c:numRef>
          </c:xVal>
          <c:yVal>
            <c:numRef>
              <c:f>Tides!$L$2:$L$5</c:f>
              <c:numCache>
                <c:formatCode>General</c:formatCode>
                <c:ptCount val="4"/>
                <c:pt idx="0">
                  <c:v>1.36</c:v>
                </c:pt>
                <c:pt idx="1">
                  <c:v>-7.0000000000000007E-2</c:v>
                </c:pt>
                <c:pt idx="2">
                  <c:v>1.54</c:v>
                </c:pt>
                <c:pt idx="3">
                  <c:v>0.03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C5-4D93-8EC3-669DDE08F93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Tides!$K$1</c:f>
              <c:numCache>
                <c:formatCode>m/d/yyyy\ h:mm</c:formatCode>
                <c:ptCount val="1"/>
                <c:pt idx="0">
                  <c:v>44226.680555555555</c:v>
                </c:pt>
              </c:numCache>
            </c:numRef>
          </c:xVal>
          <c:yVal>
            <c:numRef>
              <c:f>Tides!$L$1</c:f>
              <c:numCache>
                <c:formatCode>General</c:formatCode>
                <c:ptCount val="1"/>
                <c:pt idx="0">
                  <c:v>-0.49719999999999998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C5-4D93-8EC3-669DDE08F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343231"/>
        <c:axId val="872341151"/>
      </c:scatterChart>
      <c:valAx>
        <c:axId val="872343231"/>
        <c:scaling>
          <c:orientation val="minMax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341151"/>
        <c:crosses val="autoZero"/>
        <c:crossBetween val="midCat"/>
        <c:majorUnit val="0.5"/>
      </c:valAx>
      <c:valAx>
        <c:axId val="872341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3432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25</xdr:row>
      <xdr:rowOff>170046</xdr:rowOff>
    </xdr:from>
    <xdr:to>
      <xdr:col>11</xdr:col>
      <xdr:colOff>582706</xdr:colOff>
      <xdr:row>53</xdr:row>
      <xdr:rowOff>41459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A7F8B3-43B6-44AD-8639-024429C744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754157</xdr:colOff>
      <xdr:row>25</xdr:row>
      <xdr:rowOff>136151</xdr:rowOff>
    </xdr:from>
    <xdr:to>
      <xdr:col>7</xdr:col>
      <xdr:colOff>127188</xdr:colOff>
      <xdr:row>53</xdr:row>
      <xdr:rowOff>2802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5B6DDC-AE73-437A-9004-B7A41B7047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10</xdr:row>
      <xdr:rowOff>23812</xdr:rowOff>
    </xdr:from>
    <xdr:to>
      <xdr:col>8</xdr:col>
      <xdr:colOff>161925</xdr:colOff>
      <xdr:row>24</xdr:row>
      <xdr:rowOff>100012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C63A462B-4C01-408C-A957-337B2116B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11626-E97A-45C1-8735-1851FA82A861}">
  <dimension ref="A1:P46"/>
  <sheetViews>
    <sheetView tabSelected="1" topLeftCell="A7" zoomScale="85" zoomScaleNormal="85" workbookViewId="0">
      <pane xSplit="1" topLeftCell="G1" activePane="topRight" state="frozen"/>
      <selection pane="topRight" activeCell="K12" sqref="K12:K18"/>
    </sheetView>
  </sheetViews>
  <sheetFormatPr defaultRowHeight="15" x14ac:dyDescent="0.25"/>
  <cols>
    <col min="1" max="1" width="18.28515625" customWidth="1"/>
    <col min="2" max="3" width="18.28515625" style="4" customWidth="1"/>
    <col min="4" max="4" width="18.28515625" customWidth="1"/>
    <col min="5" max="5" width="18.28515625" style="3" customWidth="1"/>
    <col min="6" max="6" width="18.140625" customWidth="1"/>
    <col min="7" max="7" width="21.5703125" customWidth="1"/>
    <col min="8" max="8" width="23" customWidth="1"/>
    <col min="9" max="9" width="21" customWidth="1"/>
    <col min="10" max="10" width="24.7109375" customWidth="1"/>
    <col min="11" max="11" width="22.5703125" customWidth="1"/>
    <col min="12" max="12" width="21.85546875" customWidth="1"/>
    <col min="13" max="13" width="29.28515625" customWidth="1"/>
    <col min="14" max="14" width="31.42578125" customWidth="1"/>
    <col min="15" max="15" width="20.7109375" customWidth="1"/>
  </cols>
  <sheetData>
    <row r="1" spans="1:16" x14ac:dyDescent="0.25">
      <c r="A1" t="s">
        <v>0</v>
      </c>
      <c r="B1" s="4" t="s">
        <v>4</v>
      </c>
      <c r="C1" s="4" t="s">
        <v>5</v>
      </c>
      <c r="F1" t="s">
        <v>1</v>
      </c>
      <c r="G1" t="s">
        <v>6</v>
      </c>
      <c r="H1" t="s">
        <v>7</v>
      </c>
      <c r="I1" t="s">
        <v>8</v>
      </c>
      <c r="J1" t="s">
        <v>2</v>
      </c>
      <c r="K1" t="s">
        <v>3</v>
      </c>
      <c r="L1" t="s">
        <v>16</v>
      </c>
      <c r="M1" t="s">
        <v>15</v>
      </c>
      <c r="N1" t="s">
        <v>19</v>
      </c>
    </row>
    <row r="2" spans="1:16" x14ac:dyDescent="0.25">
      <c r="A2" s="1">
        <v>44226</v>
      </c>
      <c r="B2" s="4">
        <v>475.72224</v>
      </c>
      <c r="C2" s="4">
        <v>236</v>
      </c>
      <c r="D2" s="1">
        <v>44166</v>
      </c>
      <c r="E2" s="3">
        <v>0</v>
      </c>
      <c r="F2">
        <v>-2.11273</v>
      </c>
      <c r="G2">
        <f t="shared" ref="G2:G19" si="0">F2*24</f>
        <v>-50.70552</v>
      </c>
      <c r="H2">
        <f t="shared" ref="H2:H19" si="1">F2*10^5</f>
        <v>-211273</v>
      </c>
      <c r="I2">
        <f>H2*24</f>
        <v>-5070552</v>
      </c>
      <c r="J2">
        <v>-0.49719999999999998</v>
      </c>
      <c r="K2">
        <f>J2*24</f>
        <v>-11.9328</v>
      </c>
      <c r="L2">
        <f>K2*365</f>
        <v>-4355.4719999999998</v>
      </c>
      <c r="M2">
        <f>K2*31</f>
        <v>-369.91680000000002</v>
      </c>
      <c r="N2">
        <f>M2</f>
        <v>-369.91680000000002</v>
      </c>
    </row>
    <row r="3" spans="1:16" x14ac:dyDescent="0.25">
      <c r="A3" s="1">
        <v>44251</v>
      </c>
      <c r="B3" s="4">
        <v>665.44479999999999</v>
      </c>
      <c r="C3" s="4">
        <v>729</v>
      </c>
      <c r="D3" s="1">
        <v>44197</v>
      </c>
      <c r="E3" s="3">
        <v>0</v>
      </c>
      <c r="F3">
        <f>24.103</f>
        <v>24.103000000000002</v>
      </c>
      <c r="G3">
        <f t="shared" si="0"/>
        <v>578.47199999999998</v>
      </c>
      <c r="H3">
        <f t="shared" si="1"/>
        <v>2410300</v>
      </c>
      <c r="I3">
        <f t="shared" ref="I3:I19" si="2">H3*24</f>
        <v>57847200</v>
      </c>
      <c r="J3">
        <v>0.56720000000000004</v>
      </c>
      <c r="K3">
        <f t="shared" ref="K3:K19" si="3">J3*24</f>
        <v>13.6128</v>
      </c>
      <c r="L3">
        <f t="shared" ref="L3:L19" si="4">K3*365</f>
        <v>4968.6719999999996</v>
      </c>
      <c r="M3">
        <f>K3*28</f>
        <v>381.15840000000003</v>
      </c>
      <c r="N3">
        <f t="shared" ref="N3:N4" si="5">M3</f>
        <v>381.15840000000003</v>
      </c>
    </row>
    <row r="4" spans="1:16" x14ac:dyDescent="0.25">
      <c r="A4" s="1">
        <v>44266</v>
      </c>
      <c r="B4" s="4">
        <v>455.90048000000002</v>
      </c>
      <c r="C4" s="4">
        <v>530</v>
      </c>
      <c r="D4" s="1">
        <v>44228</v>
      </c>
      <c r="E4" s="3">
        <v>0</v>
      </c>
      <c r="F4">
        <f>7.8845</f>
        <v>7.8845000000000001</v>
      </c>
      <c r="G4">
        <f t="shared" si="0"/>
        <v>189.22800000000001</v>
      </c>
      <c r="H4">
        <f t="shared" si="1"/>
        <v>788450</v>
      </c>
      <c r="I4">
        <f t="shared" si="2"/>
        <v>18922800</v>
      </c>
      <c r="J4">
        <v>0.18559999999999999</v>
      </c>
      <c r="K4">
        <f t="shared" si="3"/>
        <v>4.4543999999999997</v>
      </c>
      <c r="L4">
        <f t="shared" si="4"/>
        <v>1625.856</v>
      </c>
      <c r="M4">
        <f>K4*31</f>
        <v>138.0864</v>
      </c>
      <c r="N4">
        <f t="shared" si="5"/>
        <v>138.0864</v>
      </c>
    </row>
    <row r="5" spans="1:16" x14ac:dyDescent="0.25">
      <c r="A5" s="1">
        <v>44291</v>
      </c>
      <c r="B5" s="4">
        <v>288.83136000000002</v>
      </c>
      <c r="C5" s="4">
        <v>363</v>
      </c>
      <c r="D5" s="1">
        <v>44256</v>
      </c>
      <c r="E5" s="3">
        <v>0</v>
      </c>
      <c r="F5">
        <f>-19.204</f>
        <v>-19.204000000000001</v>
      </c>
      <c r="G5">
        <f t="shared" si="0"/>
        <v>-460.89600000000002</v>
      </c>
      <c r="H5">
        <f t="shared" si="1"/>
        <v>-1920400</v>
      </c>
      <c r="I5">
        <f t="shared" si="2"/>
        <v>-46089600</v>
      </c>
      <c r="J5">
        <v>-0.45190000000000002</v>
      </c>
      <c r="K5">
        <f t="shared" si="3"/>
        <v>-10.845600000000001</v>
      </c>
      <c r="L5">
        <f t="shared" si="4"/>
        <v>-3958.6440000000002</v>
      </c>
      <c r="M5">
        <f>K5*30</f>
        <v>-325.36800000000005</v>
      </c>
      <c r="N5">
        <f>M5</f>
        <v>-325.36800000000005</v>
      </c>
    </row>
    <row r="6" spans="1:16" x14ac:dyDescent="0.25">
      <c r="A6" s="1">
        <v>44331</v>
      </c>
      <c r="B6">
        <v>67.960319999999996</v>
      </c>
      <c r="C6" s="4">
        <v>77</v>
      </c>
      <c r="D6" s="1">
        <v>44287</v>
      </c>
      <c r="E6" s="3">
        <v>0</v>
      </c>
      <c r="F6">
        <f>-3.1173</f>
        <v>-3.1173000000000002</v>
      </c>
      <c r="G6">
        <f t="shared" si="0"/>
        <v>-74.815200000000004</v>
      </c>
      <c r="H6">
        <f t="shared" si="1"/>
        <v>-311730</v>
      </c>
      <c r="I6">
        <f t="shared" si="2"/>
        <v>-7481520</v>
      </c>
      <c r="J6">
        <v>-7.3400000000000007E-2</v>
      </c>
      <c r="K6">
        <f t="shared" si="3"/>
        <v>-1.7616000000000001</v>
      </c>
      <c r="L6">
        <f t="shared" si="4"/>
        <v>-642.98400000000004</v>
      </c>
      <c r="M6">
        <f>K6*31</f>
        <v>-54.6096</v>
      </c>
      <c r="N6">
        <f>AVERAGE(M6:M7)</f>
        <v>-111.5256</v>
      </c>
    </row>
    <row r="7" spans="1:16" x14ac:dyDescent="0.25">
      <c r="A7" s="1">
        <v>44336</v>
      </c>
      <c r="B7" s="4">
        <v>47.289056000000002</v>
      </c>
      <c r="C7" s="4">
        <v>71</v>
      </c>
      <c r="D7" s="1">
        <v>44317</v>
      </c>
      <c r="E7" s="3">
        <v>0</v>
      </c>
      <c r="F7">
        <f>-9.6184</f>
        <v>-9.6183999999999994</v>
      </c>
      <c r="G7">
        <f t="shared" si="0"/>
        <v>-230.84159999999997</v>
      </c>
      <c r="H7">
        <f t="shared" si="1"/>
        <v>-961839.99999999988</v>
      </c>
      <c r="I7">
        <f t="shared" si="2"/>
        <v>-23084159.999999996</v>
      </c>
      <c r="J7">
        <v>-0.22639999999999999</v>
      </c>
      <c r="K7">
        <f t="shared" si="3"/>
        <v>-5.4336000000000002</v>
      </c>
      <c r="L7">
        <f t="shared" si="4"/>
        <v>-1983.2640000000001</v>
      </c>
      <c r="M7">
        <f>K7*31</f>
        <v>-168.44159999999999</v>
      </c>
      <c r="N7">
        <f>AVERAGE(M8:M9)</f>
        <v>124.452</v>
      </c>
      <c r="O7">
        <f>AVERAGE(K8:K9)</f>
        <v>4.1484000000000005</v>
      </c>
      <c r="P7">
        <f>(O7-O9)/O7</f>
        <v>0.64477870986404395</v>
      </c>
    </row>
    <row r="8" spans="1:16" x14ac:dyDescent="0.25">
      <c r="A8" s="1">
        <v>44366</v>
      </c>
      <c r="B8" s="4">
        <v>77.304863999999995</v>
      </c>
      <c r="C8" s="4">
        <v>116</v>
      </c>
      <c r="D8" s="1">
        <v>44348</v>
      </c>
      <c r="E8" s="3">
        <v>0</v>
      </c>
      <c r="F8">
        <f>9.9603</f>
        <v>9.9603000000000002</v>
      </c>
      <c r="G8">
        <f t="shared" si="0"/>
        <v>239.0472</v>
      </c>
      <c r="H8">
        <f t="shared" si="1"/>
        <v>996030</v>
      </c>
      <c r="I8">
        <f t="shared" si="2"/>
        <v>23904720</v>
      </c>
      <c r="J8">
        <v>0.2344</v>
      </c>
      <c r="K8">
        <f t="shared" si="3"/>
        <v>5.6256000000000004</v>
      </c>
      <c r="L8">
        <f t="shared" si="4"/>
        <v>2053.3440000000001</v>
      </c>
      <c r="M8">
        <f>K8*30</f>
        <v>168.768</v>
      </c>
      <c r="N8">
        <f>AVERAGE(M10:M11)</f>
        <v>45.681600000000003</v>
      </c>
      <c r="O8">
        <f>_xlfn.STDEV.S(K8:K9)</f>
        <v>2.0890762743375353</v>
      </c>
      <c r="P8" s="2">
        <v>0.64</v>
      </c>
    </row>
    <row r="9" spans="1:16" x14ac:dyDescent="0.25">
      <c r="A9" s="1">
        <v>44371</v>
      </c>
      <c r="B9" s="4">
        <v>85.799903999999998</v>
      </c>
      <c r="C9" s="4">
        <v>100</v>
      </c>
      <c r="D9" s="1">
        <v>44378</v>
      </c>
      <c r="E9" s="3">
        <v>0</v>
      </c>
      <c r="F9">
        <f>4.7281</f>
        <v>4.7281000000000004</v>
      </c>
      <c r="G9">
        <f t="shared" si="0"/>
        <v>113.4744</v>
      </c>
      <c r="H9">
        <f t="shared" si="1"/>
        <v>472810.00000000006</v>
      </c>
      <c r="I9">
        <f t="shared" si="2"/>
        <v>11347440.000000002</v>
      </c>
      <c r="J9">
        <v>0.1113</v>
      </c>
      <c r="K9">
        <f t="shared" si="3"/>
        <v>2.6711999999999998</v>
      </c>
      <c r="L9">
        <f t="shared" si="4"/>
        <v>974.98799999999994</v>
      </c>
      <c r="M9">
        <f>K9*30</f>
        <v>80.135999999999996</v>
      </c>
      <c r="N9">
        <f>AVERAGE(M12:M13)</f>
        <v>166.536</v>
      </c>
      <c r="O9">
        <f>AVERAGE(K10:K11)</f>
        <v>1.4736000000000002</v>
      </c>
    </row>
    <row r="10" spans="1:16" x14ac:dyDescent="0.25">
      <c r="A10" s="1">
        <v>44401</v>
      </c>
      <c r="B10" s="4">
        <v>195.10275200000001</v>
      </c>
      <c r="C10" s="4">
        <v>137</v>
      </c>
      <c r="D10" s="1">
        <v>44409</v>
      </c>
      <c r="E10" s="3">
        <v>0</v>
      </c>
      <c r="F10">
        <f>-8.57</f>
        <v>-8.57</v>
      </c>
      <c r="G10">
        <f t="shared" si="0"/>
        <v>-205.68</v>
      </c>
      <c r="H10">
        <f t="shared" si="1"/>
        <v>-857000</v>
      </c>
      <c r="I10">
        <f t="shared" si="2"/>
        <v>-20568000</v>
      </c>
      <c r="J10">
        <v>-0.20169999999999999</v>
      </c>
      <c r="K10">
        <f t="shared" si="3"/>
        <v>-4.8407999999999998</v>
      </c>
      <c r="L10">
        <f t="shared" si="4"/>
        <v>-1766.8919999999998</v>
      </c>
      <c r="M10">
        <f>K10*31</f>
        <v>-150.06479999999999</v>
      </c>
      <c r="N10">
        <f>AVERAGE(M14:M16)</f>
        <v>61.528799999999997</v>
      </c>
      <c r="O10">
        <f>_xlfn.STDEV.S(K10:K11)</f>
        <v>8.9299101182486726</v>
      </c>
    </row>
    <row r="11" spans="1:16" x14ac:dyDescent="0.25">
      <c r="A11" s="1">
        <v>44406</v>
      </c>
      <c r="B11" s="4">
        <v>108.736512</v>
      </c>
      <c r="C11" s="4">
        <v>130</v>
      </c>
      <c r="D11" s="1">
        <v>44440</v>
      </c>
      <c r="E11" s="3">
        <v>0</v>
      </c>
      <c r="F11">
        <f>13.787</f>
        <v>13.787000000000001</v>
      </c>
      <c r="G11">
        <f t="shared" si="0"/>
        <v>330.88800000000003</v>
      </c>
      <c r="H11">
        <f t="shared" si="1"/>
        <v>1378700</v>
      </c>
      <c r="I11">
        <f t="shared" si="2"/>
        <v>33088800</v>
      </c>
      <c r="J11">
        <v>0.32450000000000001</v>
      </c>
      <c r="K11">
        <f t="shared" si="3"/>
        <v>7.7880000000000003</v>
      </c>
      <c r="L11">
        <f t="shared" si="4"/>
        <v>2842.62</v>
      </c>
      <c r="M11">
        <f>K11*31</f>
        <v>241.428</v>
      </c>
      <c r="N11">
        <f>AVERAGE(M17:M18)</f>
        <v>-57.239999999999995</v>
      </c>
      <c r="O11">
        <f>AVERAGE(K12:K13)</f>
        <v>5.5511999999999997</v>
      </c>
      <c r="P11">
        <f>(O11-O13)/O11</f>
        <v>0.64245568525724173</v>
      </c>
    </row>
    <row r="12" spans="1:16" x14ac:dyDescent="0.25">
      <c r="A12" s="1">
        <v>44451</v>
      </c>
      <c r="B12" s="4">
        <v>49.837567999999997</v>
      </c>
      <c r="C12" s="4">
        <v>34</v>
      </c>
      <c r="D12" s="1">
        <v>44470</v>
      </c>
      <c r="E12" s="3">
        <v>0</v>
      </c>
      <c r="F12">
        <f>9.6557</f>
        <v>9.6556999999999995</v>
      </c>
      <c r="G12">
        <f t="shared" si="0"/>
        <v>231.73679999999999</v>
      </c>
      <c r="H12">
        <f t="shared" si="1"/>
        <v>965570</v>
      </c>
      <c r="I12">
        <f t="shared" si="2"/>
        <v>23173680</v>
      </c>
      <c r="J12">
        <v>0.22720000000000001</v>
      </c>
      <c r="K12">
        <f t="shared" si="3"/>
        <v>5.4527999999999999</v>
      </c>
      <c r="L12">
        <f t="shared" si="4"/>
        <v>1990.2719999999999</v>
      </c>
      <c r="M12">
        <f>K12*30</f>
        <v>163.584</v>
      </c>
      <c r="N12">
        <f>M19</f>
        <v>-7.3656000000000006</v>
      </c>
      <c r="O12">
        <f>_xlfn.STDEV.S(K12:K13)</f>
        <v>0.1391586145375123</v>
      </c>
    </row>
    <row r="13" spans="1:16" x14ac:dyDescent="0.25">
      <c r="A13" s="1">
        <v>44466</v>
      </c>
      <c r="B13" s="4">
        <v>193.97008</v>
      </c>
      <c r="C13" s="4">
        <v>114</v>
      </c>
      <c r="D13" s="1">
        <v>44501</v>
      </c>
      <c r="E13" s="3">
        <v>0</v>
      </c>
      <c r="F13">
        <f>10.002</f>
        <v>10.002000000000001</v>
      </c>
      <c r="G13">
        <f t="shared" si="0"/>
        <v>240.048</v>
      </c>
      <c r="H13">
        <f t="shared" si="1"/>
        <v>1000200.0000000001</v>
      </c>
      <c r="I13">
        <f t="shared" si="2"/>
        <v>24004800.000000004</v>
      </c>
      <c r="J13">
        <v>0.2354</v>
      </c>
      <c r="K13">
        <f t="shared" si="3"/>
        <v>5.6495999999999995</v>
      </c>
      <c r="L13">
        <f t="shared" si="4"/>
        <v>2062.1039999999998</v>
      </c>
      <c r="M13">
        <f>K13*30</f>
        <v>169.488</v>
      </c>
      <c r="O13">
        <f>AVERAGE(K14:K16)</f>
        <v>1.9847999999999999</v>
      </c>
    </row>
    <row r="14" spans="1:16" x14ac:dyDescent="0.25">
      <c r="A14" s="1">
        <v>44471</v>
      </c>
      <c r="B14" s="4">
        <v>34.829664000000001</v>
      </c>
      <c r="C14" s="4">
        <v>129</v>
      </c>
      <c r="D14" s="1">
        <v>44531</v>
      </c>
      <c r="E14" s="3">
        <v>0</v>
      </c>
      <c r="F14">
        <f>2.6052</f>
        <v>2.6052</v>
      </c>
      <c r="G14">
        <f t="shared" si="0"/>
        <v>62.524799999999999</v>
      </c>
      <c r="H14">
        <f t="shared" si="1"/>
        <v>260520</v>
      </c>
      <c r="I14">
        <f t="shared" si="2"/>
        <v>6252480</v>
      </c>
      <c r="J14">
        <v>6.13E-2</v>
      </c>
      <c r="K14">
        <f t="shared" si="3"/>
        <v>1.4712000000000001</v>
      </c>
      <c r="L14">
        <f t="shared" si="4"/>
        <v>536.98800000000006</v>
      </c>
      <c r="M14">
        <f>K14*31</f>
        <v>45.607199999999999</v>
      </c>
      <c r="O14">
        <f>_xlfn.STDEV.S(K14:K16)</f>
        <v>2.8453799183940269</v>
      </c>
    </row>
    <row r="15" spans="1:16" x14ac:dyDescent="0.25">
      <c r="A15" s="1">
        <v>44486</v>
      </c>
      <c r="B15" s="4">
        <v>43.891039999999997</v>
      </c>
      <c r="C15" s="4">
        <v>84</v>
      </c>
      <c r="D15" s="1">
        <v>44562</v>
      </c>
      <c r="E15" s="3">
        <v>0</v>
      </c>
      <c r="F15">
        <v>-1.0091000000000001</v>
      </c>
      <c r="G15">
        <f t="shared" si="0"/>
        <v>-24.218400000000003</v>
      </c>
      <c r="H15">
        <f t="shared" si="1"/>
        <v>-100910.00000000001</v>
      </c>
      <c r="I15">
        <f t="shared" si="2"/>
        <v>-2421840.0000000005</v>
      </c>
      <c r="J15">
        <v>-2.3699999999999999E-2</v>
      </c>
      <c r="K15">
        <f t="shared" si="3"/>
        <v>-0.56879999999999997</v>
      </c>
      <c r="L15">
        <f t="shared" si="4"/>
        <v>-207.61199999999999</v>
      </c>
      <c r="M15">
        <f>K15*31</f>
        <v>-17.6328</v>
      </c>
    </row>
    <row r="16" spans="1:16" x14ac:dyDescent="0.25">
      <c r="A16" s="1">
        <v>44496</v>
      </c>
      <c r="B16" s="4">
        <v>29.449472</v>
      </c>
      <c r="C16" s="4">
        <v>31</v>
      </c>
      <c r="D16" s="1">
        <v>44593</v>
      </c>
      <c r="E16" s="3">
        <v>0</v>
      </c>
      <c r="F16">
        <v>8.9452999999999996</v>
      </c>
      <c r="G16">
        <f t="shared" si="0"/>
        <v>214.68719999999999</v>
      </c>
      <c r="H16">
        <f t="shared" si="1"/>
        <v>894530</v>
      </c>
      <c r="I16">
        <f t="shared" si="2"/>
        <v>21468720</v>
      </c>
      <c r="J16">
        <v>0.21049999999999999</v>
      </c>
      <c r="K16">
        <f t="shared" si="3"/>
        <v>5.0519999999999996</v>
      </c>
      <c r="L16">
        <f t="shared" si="4"/>
        <v>1843.9799999999998</v>
      </c>
      <c r="M16">
        <f>K16*31</f>
        <v>156.61199999999999</v>
      </c>
      <c r="O16">
        <f>AVERAGE(K17:K18)</f>
        <v>-1.9079999999999999</v>
      </c>
    </row>
    <row r="17" spans="1:15" x14ac:dyDescent="0.25">
      <c r="A17" s="1">
        <v>44501</v>
      </c>
      <c r="B17" s="4">
        <v>35.679167999999997</v>
      </c>
      <c r="C17" s="4">
        <v>32</v>
      </c>
      <c r="D17" s="1">
        <v>44621</v>
      </c>
      <c r="E17" s="3">
        <v>0</v>
      </c>
      <c r="F17">
        <v>2.4958</v>
      </c>
      <c r="G17">
        <f t="shared" si="0"/>
        <v>59.8992</v>
      </c>
      <c r="H17">
        <f t="shared" si="1"/>
        <v>249580</v>
      </c>
      <c r="I17">
        <f t="shared" si="2"/>
        <v>5989920</v>
      </c>
      <c r="J17">
        <v>5.8700000000000002E-2</v>
      </c>
      <c r="K17">
        <f t="shared" si="3"/>
        <v>1.4088000000000001</v>
      </c>
      <c r="L17">
        <f t="shared" si="4"/>
        <v>514.21199999999999</v>
      </c>
      <c r="M17">
        <f>K17*30</f>
        <v>42.264000000000003</v>
      </c>
      <c r="O17">
        <f>_xlfn.STDEV.S(K17:K18)</f>
        <v>4.690663543679082</v>
      </c>
    </row>
    <row r="18" spans="1:15" x14ac:dyDescent="0.25">
      <c r="A18" s="1">
        <v>44521</v>
      </c>
      <c r="B18" s="4">
        <v>30.298976</v>
      </c>
      <c r="C18" s="4">
        <v>30</v>
      </c>
      <c r="D18" s="1">
        <v>44652</v>
      </c>
      <c r="E18" s="3">
        <v>0</v>
      </c>
      <c r="F18">
        <v>-9.2523</v>
      </c>
      <c r="G18">
        <f t="shared" si="0"/>
        <v>-222.05520000000001</v>
      </c>
      <c r="H18">
        <f t="shared" si="1"/>
        <v>-925230</v>
      </c>
      <c r="I18">
        <f t="shared" si="2"/>
        <v>-22205520</v>
      </c>
      <c r="J18">
        <v>-0.2177</v>
      </c>
      <c r="K18">
        <f t="shared" si="3"/>
        <v>-5.2248000000000001</v>
      </c>
      <c r="L18">
        <f t="shared" si="4"/>
        <v>-1907.0520000000001</v>
      </c>
      <c r="M18">
        <f>K18*30</f>
        <v>-156.744</v>
      </c>
    </row>
    <row r="19" spans="1:15" x14ac:dyDescent="0.25">
      <c r="A19" s="1">
        <v>44531</v>
      </c>
      <c r="B19" s="4">
        <v>32.564320000000002</v>
      </c>
      <c r="C19" s="4">
        <v>34</v>
      </c>
      <c r="D19" s="1">
        <v>44682</v>
      </c>
      <c r="F19">
        <v>-0.42209000000000002</v>
      </c>
      <c r="G19">
        <f t="shared" si="0"/>
        <v>-10.13016</v>
      </c>
      <c r="H19">
        <f t="shared" si="1"/>
        <v>-42209</v>
      </c>
      <c r="I19">
        <f t="shared" si="2"/>
        <v>-1013016</v>
      </c>
      <c r="J19">
        <v>-9.9000000000000008E-3</v>
      </c>
      <c r="K19">
        <f t="shared" si="3"/>
        <v>-0.23760000000000003</v>
      </c>
      <c r="L19">
        <f t="shared" si="4"/>
        <v>-86.724000000000018</v>
      </c>
      <c r="M19">
        <f>K19*31</f>
        <v>-7.3656000000000006</v>
      </c>
    </row>
    <row r="20" spans="1:15" x14ac:dyDescent="0.25">
      <c r="A20" s="1"/>
      <c r="D20" s="1"/>
      <c r="H20" s="7" t="s">
        <v>9</v>
      </c>
      <c r="I20" s="8" t="s">
        <v>10</v>
      </c>
      <c r="J20" s="7" t="s">
        <v>12</v>
      </c>
      <c r="K20" s="8" t="s">
        <v>13</v>
      </c>
      <c r="L20" s="8" t="s">
        <v>17</v>
      </c>
      <c r="M20" s="8" t="s">
        <v>18</v>
      </c>
      <c r="N20" s="8" t="s">
        <v>18</v>
      </c>
    </row>
    <row r="21" spans="1:15" x14ac:dyDescent="0.25">
      <c r="A21" s="1"/>
      <c r="D21" s="1"/>
      <c r="G21" s="3"/>
      <c r="H21" s="5">
        <f>AVERAGE(H2:H19)</f>
        <v>227005.44444444444</v>
      </c>
      <c r="I21" s="5">
        <f>AVERAGE(I2:I19)</f>
        <v>5448130.6666666679</v>
      </c>
      <c r="J21" s="5">
        <f t="shared" ref="J21:K21" si="6">AVERAGE(J2:J19)</f>
        <v>2.8566666666666667E-2</v>
      </c>
      <c r="K21" s="5">
        <f t="shared" si="6"/>
        <v>0.68559999999999977</v>
      </c>
      <c r="L21" s="6">
        <f>AVERAGE(L2:L19)</f>
        <v>250.24399999999989</v>
      </c>
      <c r="M21" s="6">
        <f>AVERAGE(M2:M19)</f>
        <v>18.721599999999999</v>
      </c>
      <c r="N21" s="6">
        <f>AVERAGE(N2:N12)</f>
        <v>4.1842909090909073</v>
      </c>
    </row>
    <row r="22" spans="1:15" x14ac:dyDescent="0.25">
      <c r="A22" s="1"/>
      <c r="D22" s="1"/>
      <c r="H22" s="7"/>
      <c r="I22" s="7" t="s">
        <v>11</v>
      </c>
      <c r="J22" s="7"/>
      <c r="K22" s="7" t="s">
        <v>14</v>
      </c>
      <c r="M22" s="8" t="s">
        <v>20</v>
      </c>
      <c r="N22" s="8" t="s">
        <v>20</v>
      </c>
    </row>
    <row r="23" spans="1:15" x14ac:dyDescent="0.25">
      <c r="A23" s="1"/>
      <c r="D23" s="1"/>
      <c r="H23" s="5"/>
      <c r="I23" s="5">
        <f>I21*365</f>
        <v>1988567693.3333337</v>
      </c>
      <c r="J23" s="5">
        <f>J21*24*365</f>
        <v>250.244</v>
      </c>
      <c r="K23" s="5">
        <f>K21*365</f>
        <v>250.24399999999991</v>
      </c>
      <c r="M23" s="5">
        <f>M21*12</f>
        <v>224.6592</v>
      </c>
      <c r="N23" s="5">
        <f>N21*12</f>
        <v>50.211490909090884</v>
      </c>
    </row>
    <row r="24" spans="1:15" x14ac:dyDescent="0.25">
      <c r="A24" s="1"/>
      <c r="D24" s="1"/>
      <c r="N24" s="8" t="s">
        <v>18</v>
      </c>
    </row>
    <row r="25" spans="1:15" x14ac:dyDescent="0.25">
      <c r="K25">
        <f>_xlfn.STDEV.S(K8:K11)</f>
        <v>5.5154960320899518</v>
      </c>
      <c r="L25">
        <f>_xlfn.STDEV.S(K12:K18)</f>
        <v>3.9559951697211591</v>
      </c>
      <c r="N25" s="6">
        <f>SUM(N2:N12)/12</f>
        <v>3.8355999999999981</v>
      </c>
    </row>
    <row r="26" spans="1:15" x14ac:dyDescent="0.25">
      <c r="I26">
        <f>I25*365</f>
        <v>0</v>
      </c>
      <c r="N26" s="8" t="s">
        <v>20</v>
      </c>
    </row>
    <row r="27" spans="1:15" x14ac:dyDescent="0.25">
      <c r="G27">
        <f>H27*24</f>
        <v>-0.78043551872533512</v>
      </c>
      <c r="H27">
        <f>H2/6497080</f>
        <v>-3.2518146613555628E-2</v>
      </c>
      <c r="I27">
        <f>I26/1000000000</f>
        <v>0</v>
      </c>
      <c r="N27" s="5">
        <f>N25*12</f>
        <v>46.027199999999979</v>
      </c>
    </row>
    <row r="28" spans="1:15" x14ac:dyDescent="0.25">
      <c r="G28">
        <f t="shared" ref="G28:G44" si="7">H28*24</f>
        <v>8.9035689879145714</v>
      </c>
      <c r="H28">
        <f t="shared" ref="H28:H44" si="8">H3/6497080</f>
        <v>0.37098204116310712</v>
      </c>
      <c r="N28" s="8" t="s">
        <v>18</v>
      </c>
    </row>
    <row r="29" spans="1:15" x14ac:dyDescent="0.25">
      <c r="G29">
        <f t="shared" si="7"/>
        <v>2.9125083883837046</v>
      </c>
      <c r="H29">
        <f t="shared" si="8"/>
        <v>0.12135451618265436</v>
      </c>
      <c r="N29" s="6">
        <f>SUM(M2:M19)/12</f>
        <v>28.082399999999996</v>
      </c>
    </row>
    <row r="30" spans="1:15" x14ac:dyDescent="0.25">
      <c r="G30">
        <f t="shared" si="7"/>
        <v>-7.0938944879853718</v>
      </c>
      <c r="H30">
        <f t="shared" si="8"/>
        <v>-0.29557893699939047</v>
      </c>
      <c r="N30" s="8" t="s">
        <v>14</v>
      </c>
    </row>
    <row r="31" spans="1:15" x14ac:dyDescent="0.25">
      <c r="G31">
        <f t="shared" si="7"/>
        <v>-1.1515203753070611</v>
      </c>
      <c r="H31">
        <f t="shared" si="8"/>
        <v>-4.7980015637794207E-2</v>
      </c>
      <c r="N31" s="5">
        <f>N29*12</f>
        <v>336.98879999999997</v>
      </c>
    </row>
    <row r="32" spans="1:15" x14ac:dyDescent="0.25">
      <c r="G32">
        <f t="shared" si="7"/>
        <v>-3.5530053500957348</v>
      </c>
      <c r="H32">
        <f t="shared" si="8"/>
        <v>-0.14804188958732228</v>
      </c>
    </row>
    <row r="33" spans="7:8" x14ac:dyDescent="0.25">
      <c r="G33">
        <f t="shared" si="7"/>
        <v>3.6793020864757704</v>
      </c>
      <c r="H33">
        <f t="shared" si="8"/>
        <v>0.15330425360315711</v>
      </c>
    </row>
    <row r="34" spans="7:8" x14ac:dyDescent="0.25">
      <c r="G34">
        <f t="shared" si="7"/>
        <v>1.7465446015748616</v>
      </c>
      <c r="H34">
        <f t="shared" si="8"/>
        <v>7.2772691732285899E-2</v>
      </c>
    </row>
    <row r="35" spans="7:8" x14ac:dyDescent="0.25">
      <c r="G35">
        <f t="shared" si="7"/>
        <v>-3.1657298355568964</v>
      </c>
      <c r="H35">
        <f t="shared" si="8"/>
        <v>-0.13190540981487067</v>
      </c>
    </row>
    <row r="36" spans="7:8" x14ac:dyDescent="0.25">
      <c r="G36">
        <f t="shared" si="7"/>
        <v>5.0928724904110769</v>
      </c>
      <c r="H36">
        <f t="shared" si="8"/>
        <v>0.21220302043379488</v>
      </c>
    </row>
    <row r="37" spans="7:8" x14ac:dyDescent="0.25">
      <c r="G37">
        <f t="shared" si="7"/>
        <v>3.5667838475130367</v>
      </c>
      <c r="H37">
        <f t="shared" si="8"/>
        <v>0.14861599364637654</v>
      </c>
    </row>
    <row r="38" spans="7:8" x14ac:dyDescent="0.25">
      <c r="G38">
        <f t="shared" si="7"/>
        <v>3.6947059294329145</v>
      </c>
      <c r="H38">
        <f t="shared" si="8"/>
        <v>0.15394608039303811</v>
      </c>
    </row>
    <row r="39" spans="7:8" x14ac:dyDescent="0.25">
      <c r="G39">
        <f t="shared" si="7"/>
        <v>0.96235231827220846</v>
      </c>
      <c r="H39">
        <f t="shared" si="8"/>
        <v>4.0098013261342019E-2</v>
      </c>
    </row>
    <row r="40" spans="7:8" x14ac:dyDescent="0.25">
      <c r="G40">
        <f t="shared" si="7"/>
        <v>-0.37275822369433659</v>
      </c>
      <c r="H40">
        <f t="shared" si="8"/>
        <v>-1.5531592653930691E-2</v>
      </c>
    </row>
    <row r="41" spans="7:8" x14ac:dyDescent="0.25">
      <c r="G41">
        <f t="shared" si="7"/>
        <v>3.304364422171191</v>
      </c>
      <c r="H41">
        <f>H16/6497080</f>
        <v>0.13768185092379961</v>
      </c>
    </row>
    <row r="42" spans="7:8" x14ac:dyDescent="0.25">
      <c r="G42">
        <f t="shared" si="7"/>
        <v>0.92194031780430585</v>
      </c>
      <c r="H42">
        <f t="shared" si="8"/>
        <v>3.8414179908512744E-2</v>
      </c>
    </row>
    <row r="43" spans="7:8" x14ac:dyDescent="0.25">
      <c r="G43">
        <f t="shared" si="7"/>
        <v>-3.417769213246566</v>
      </c>
      <c r="H43">
        <f t="shared" si="8"/>
        <v>-0.14240705055194025</v>
      </c>
    </row>
    <row r="44" spans="7:8" x14ac:dyDescent="0.25">
      <c r="G44">
        <f t="shared" si="7"/>
        <v>-0.15591865884366515</v>
      </c>
      <c r="H44">
        <f t="shared" si="8"/>
        <v>-6.4966107851527144E-3</v>
      </c>
    </row>
    <row r="45" spans="7:8" x14ac:dyDescent="0.25">
      <c r="G45">
        <f>AVERAGE(G27:G44)</f>
        <v>0.83855065147214847</v>
      </c>
    </row>
    <row r="46" spans="7:8" x14ac:dyDescent="0.25">
      <c r="G46">
        <f>G45*365</f>
        <v>306.07098778733422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5B9C6-A900-4D4C-BAE7-8CF2BD015A91}">
  <dimension ref="A1:L17"/>
  <sheetViews>
    <sheetView workbookViewId="0">
      <selection activeCell="J21" sqref="J21"/>
    </sheetView>
  </sheetViews>
  <sheetFormatPr defaultRowHeight="15" x14ac:dyDescent="0.25"/>
  <cols>
    <col min="11" max="11" width="14.85546875" bestFit="1" customWidth="1"/>
  </cols>
  <sheetData>
    <row r="1" spans="1:12" x14ac:dyDescent="0.25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K1" s="11">
        <v>44226.680555555555</v>
      </c>
      <c r="L1">
        <v>-0.49719999999999998</v>
      </c>
    </row>
    <row r="2" spans="1:12" x14ac:dyDescent="0.25">
      <c r="A2">
        <v>2021</v>
      </c>
      <c r="B2" s="9">
        <v>1</v>
      </c>
      <c r="C2">
        <v>30</v>
      </c>
      <c r="D2" t="s">
        <v>21</v>
      </c>
      <c r="E2">
        <v>1</v>
      </c>
      <c r="F2">
        <v>0</v>
      </c>
      <c r="G2">
        <v>136</v>
      </c>
      <c r="H2" t="s">
        <v>22</v>
      </c>
      <c r="I2">
        <f>G2/100</f>
        <v>1.36</v>
      </c>
      <c r="K2" s="11">
        <v>44226.041666666664</v>
      </c>
      <c r="L2">
        <v>1.36</v>
      </c>
    </row>
    <row r="3" spans="1:12" x14ac:dyDescent="0.25">
      <c r="A3">
        <v>2021</v>
      </c>
      <c r="B3" s="9">
        <v>1</v>
      </c>
      <c r="C3">
        <v>30</v>
      </c>
      <c r="D3" t="s">
        <v>21</v>
      </c>
      <c r="E3">
        <v>7</v>
      </c>
      <c r="F3">
        <v>8</v>
      </c>
      <c r="G3">
        <v>-7.0000000000000009</v>
      </c>
      <c r="H3" t="s">
        <v>23</v>
      </c>
      <c r="I3">
        <f t="shared" ref="I3:I17" si="0">G3/100</f>
        <v>-7.0000000000000007E-2</v>
      </c>
      <c r="K3" s="11">
        <v>44226.297222222223</v>
      </c>
      <c r="L3">
        <v>-7.0000000000000007E-2</v>
      </c>
    </row>
    <row r="4" spans="1:12" x14ac:dyDescent="0.25">
      <c r="A4">
        <v>2021</v>
      </c>
      <c r="B4" s="9">
        <v>1</v>
      </c>
      <c r="C4">
        <v>30</v>
      </c>
      <c r="D4" t="s">
        <v>21</v>
      </c>
      <c r="E4">
        <v>13</v>
      </c>
      <c r="F4">
        <v>18</v>
      </c>
      <c r="G4">
        <v>154</v>
      </c>
      <c r="H4" t="s">
        <v>22</v>
      </c>
      <c r="I4">
        <f t="shared" si="0"/>
        <v>1.54</v>
      </c>
      <c r="K4" s="11">
        <v>44226.554166666669</v>
      </c>
      <c r="L4">
        <v>1.54</v>
      </c>
    </row>
    <row r="5" spans="1:12" x14ac:dyDescent="0.25">
      <c r="A5">
        <v>2021</v>
      </c>
      <c r="B5" s="9">
        <v>1</v>
      </c>
      <c r="C5">
        <v>30</v>
      </c>
      <c r="D5" t="s">
        <v>21</v>
      </c>
      <c r="E5">
        <v>19</v>
      </c>
      <c r="F5">
        <v>50</v>
      </c>
      <c r="G5">
        <v>3</v>
      </c>
      <c r="H5" t="s">
        <v>23</v>
      </c>
      <c r="I5">
        <f t="shared" si="0"/>
        <v>0.03</v>
      </c>
      <c r="K5" s="11">
        <v>44226.826388888891</v>
      </c>
      <c r="L5">
        <v>0.03</v>
      </c>
    </row>
    <row r="6" spans="1:12" x14ac:dyDescent="0.25">
      <c r="A6">
        <v>2021</v>
      </c>
      <c r="B6" s="9">
        <v>2</v>
      </c>
      <c r="C6">
        <v>24</v>
      </c>
      <c r="D6" t="s">
        <v>24</v>
      </c>
      <c r="E6">
        <v>3</v>
      </c>
      <c r="F6">
        <v>28</v>
      </c>
      <c r="G6">
        <v>10.299999999999999</v>
      </c>
      <c r="H6" t="s">
        <v>23</v>
      </c>
      <c r="I6">
        <f t="shared" si="0"/>
        <v>0.10299999999999999</v>
      </c>
    </row>
    <row r="7" spans="1:12" x14ac:dyDescent="0.25">
      <c r="A7">
        <v>2021</v>
      </c>
      <c r="B7" s="9">
        <v>2</v>
      </c>
      <c r="C7">
        <v>24</v>
      </c>
      <c r="D7" t="s">
        <v>24</v>
      </c>
      <c r="E7">
        <v>10</v>
      </c>
      <c r="F7">
        <v>9</v>
      </c>
      <c r="G7">
        <v>143.70000000000002</v>
      </c>
      <c r="H7" t="s">
        <v>22</v>
      </c>
      <c r="I7">
        <f t="shared" si="0"/>
        <v>1.4370000000000003</v>
      </c>
    </row>
    <row r="8" spans="1:12" x14ac:dyDescent="0.25">
      <c r="A8">
        <v>2021</v>
      </c>
      <c r="B8" s="9">
        <v>2</v>
      </c>
      <c r="C8">
        <v>24</v>
      </c>
      <c r="D8" t="s">
        <v>24</v>
      </c>
      <c r="E8">
        <v>16</v>
      </c>
      <c r="F8">
        <v>22</v>
      </c>
      <c r="G8">
        <v>16.600000000000001</v>
      </c>
      <c r="H8" t="s">
        <v>23</v>
      </c>
      <c r="I8">
        <f t="shared" si="0"/>
        <v>0.16600000000000001</v>
      </c>
    </row>
    <row r="9" spans="1:12" x14ac:dyDescent="0.25">
      <c r="A9">
        <v>2021</v>
      </c>
      <c r="B9" s="9">
        <v>2</v>
      </c>
      <c r="C9">
        <v>24</v>
      </c>
      <c r="D9" t="s">
        <v>24</v>
      </c>
      <c r="E9">
        <v>22</v>
      </c>
      <c r="F9">
        <v>31</v>
      </c>
      <c r="G9">
        <v>133.80000000000001</v>
      </c>
      <c r="H9" t="s">
        <v>22</v>
      </c>
      <c r="I9">
        <f t="shared" si="0"/>
        <v>1.3380000000000001</v>
      </c>
    </row>
    <row r="10" spans="1:12" x14ac:dyDescent="0.25">
      <c r="A10">
        <v>2021</v>
      </c>
      <c r="B10" s="9">
        <v>3</v>
      </c>
      <c r="C10">
        <v>11</v>
      </c>
      <c r="D10" t="s">
        <v>25</v>
      </c>
      <c r="E10">
        <v>4</v>
      </c>
      <c r="F10">
        <v>35</v>
      </c>
      <c r="G10">
        <v>2</v>
      </c>
      <c r="H10" t="s">
        <v>23</v>
      </c>
      <c r="I10">
        <f t="shared" si="0"/>
        <v>0.02</v>
      </c>
    </row>
    <row r="11" spans="1:12" x14ac:dyDescent="0.25">
      <c r="A11">
        <v>2021</v>
      </c>
      <c r="B11" s="9">
        <v>3</v>
      </c>
      <c r="C11">
        <v>11</v>
      </c>
      <c r="D11" t="s">
        <v>25</v>
      </c>
      <c r="E11">
        <v>11</v>
      </c>
      <c r="F11">
        <v>7</v>
      </c>
      <c r="G11">
        <v>155</v>
      </c>
      <c r="H11" t="s">
        <v>22</v>
      </c>
      <c r="I11">
        <f t="shared" si="0"/>
        <v>1.55</v>
      </c>
    </row>
    <row r="12" spans="1:12" x14ac:dyDescent="0.25">
      <c r="A12">
        <v>2021</v>
      </c>
      <c r="B12" s="9">
        <v>3</v>
      </c>
      <c r="C12">
        <v>11</v>
      </c>
      <c r="D12" t="s">
        <v>25</v>
      </c>
      <c r="E12">
        <v>17</v>
      </c>
      <c r="F12">
        <v>8</v>
      </c>
      <c r="G12">
        <v>4</v>
      </c>
      <c r="H12" t="s">
        <v>23</v>
      </c>
      <c r="I12">
        <f t="shared" si="0"/>
        <v>0.04</v>
      </c>
    </row>
    <row r="13" spans="1:12" x14ac:dyDescent="0.25">
      <c r="A13">
        <v>2021</v>
      </c>
      <c r="B13" s="9">
        <v>3</v>
      </c>
      <c r="C13">
        <v>11</v>
      </c>
      <c r="D13" t="s">
        <v>25</v>
      </c>
      <c r="E13">
        <v>23</v>
      </c>
      <c r="F13">
        <v>23</v>
      </c>
      <c r="G13">
        <v>148</v>
      </c>
      <c r="H13" t="s">
        <v>22</v>
      </c>
      <c r="I13">
        <f t="shared" si="0"/>
        <v>1.48</v>
      </c>
    </row>
    <row r="14" spans="1:12" x14ac:dyDescent="0.25">
      <c r="A14" s="9">
        <v>2021</v>
      </c>
      <c r="B14">
        <v>4</v>
      </c>
      <c r="C14">
        <v>5</v>
      </c>
      <c r="D14" s="10" t="s">
        <v>26</v>
      </c>
      <c r="E14">
        <v>0</v>
      </c>
      <c r="F14">
        <v>22</v>
      </c>
      <c r="G14">
        <v>18</v>
      </c>
      <c r="H14" t="s">
        <v>23</v>
      </c>
      <c r="I14">
        <f t="shared" si="0"/>
        <v>0.18</v>
      </c>
    </row>
    <row r="15" spans="1:12" x14ac:dyDescent="0.25">
      <c r="A15" s="9">
        <v>2021</v>
      </c>
      <c r="B15">
        <v>4</v>
      </c>
      <c r="C15">
        <v>5</v>
      </c>
      <c r="D15" s="10" t="s">
        <v>26</v>
      </c>
      <c r="E15">
        <v>7</v>
      </c>
      <c r="F15">
        <v>0</v>
      </c>
      <c r="G15">
        <v>151</v>
      </c>
      <c r="H15" t="s">
        <v>22</v>
      </c>
      <c r="I15">
        <f t="shared" si="0"/>
        <v>1.51</v>
      </c>
    </row>
    <row r="16" spans="1:12" x14ac:dyDescent="0.25">
      <c r="A16" s="9">
        <v>2021</v>
      </c>
      <c r="B16">
        <v>4</v>
      </c>
      <c r="C16">
        <v>5</v>
      </c>
      <c r="D16" s="10" t="s">
        <v>26</v>
      </c>
      <c r="E16">
        <v>13</v>
      </c>
      <c r="F16">
        <v>12</v>
      </c>
      <c r="G16">
        <v>15</v>
      </c>
      <c r="H16" t="s">
        <v>23</v>
      </c>
      <c r="I16">
        <f t="shared" si="0"/>
        <v>0.15</v>
      </c>
    </row>
    <row r="17" spans="1:9" x14ac:dyDescent="0.25">
      <c r="A17" s="9">
        <v>2021</v>
      </c>
      <c r="B17">
        <v>4</v>
      </c>
      <c r="C17">
        <v>5</v>
      </c>
      <c r="D17" s="10" t="s">
        <v>26</v>
      </c>
      <c r="E17">
        <v>19</v>
      </c>
      <c r="F17">
        <v>25</v>
      </c>
      <c r="G17">
        <v>135</v>
      </c>
      <c r="H17" t="s">
        <v>22</v>
      </c>
      <c r="I17">
        <f t="shared" si="0"/>
        <v>1.35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308DEB024702438361091DA98335EB" ma:contentTypeVersion="4" ma:contentTypeDescription="Create a new document." ma:contentTypeScope="" ma:versionID="f826886e913eaa12579b81d12738ade3">
  <xsd:schema xmlns:xsd="http://www.w3.org/2001/XMLSchema" xmlns:xs="http://www.w3.org/2001/XMLSchema" xmlns:p="http://schemas.microsoft.com/office/2006/metadata/properties" xmlns:ns3="bf08c51c-a1a9-4042-98c3-d3cc5b103345" targetNamespace="http://schemas.microsoft.com/office/2006/metadata/properties" ma:root="true" ma:fieldsID="ed81af0b37c3181cf880ce10c526e7b7" ns3:_="">
    <xsd:import namespace="bf08c51c-a1a9-4042-98c3-d3cc5b103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8c51c-a1a9-4042-98c3-d3cc5b1033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E29C0A-BEDD-4286-B205-63E41D5CF4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D6E672-A8FF-4A16-8274-164F31B07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08c51c-a1a9-4042-98c3-d3cc5b103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5C5AFF-C486-4797-B330-67B4EDCFF841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bf08c51c-a1a9-4042-98c3-d3cc5b10334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DOC_export</vt:lpstr>
      <vt:lpstr>Tides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Meyepa</dc:creator>
  <cp:lastModifiedBy>David Meyepa</cp:lastModifiedBy>
  <dcterms:created xsi:type="dcterms:W3CDTF">2022-01-06T22:09:47Z</dcterms:created>
  <dcterms:modified xsi:type="dcterms:W3CDTF">2022-03-22T20:03:14Z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0x0101009A308DEB024702438361091DA98335EB</vt:lpwstr>
  </property>
</Properties>
</file>