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10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1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barth_ed_epa_gov/Documents/Profile/Desktop/MICP datasets/"/>
    </mc:Choice>
  </mc:AlternateContent>
  <xr:revisionPtr revIDLastSave="0" documentId="8_{F3631583-31BF-4D9D-AF01-2CBCE7A501E5}" xr6:coauthVersionLast="47" xr6:coauthVersionMax="47" xr10:uidLastSave="{00000000-0000-0000-0000-000000000000}"/>
  <bookViews>
    <workbookView xWindow="-110" yWindow="-110" windowWidth="19420" windowHeight="10420" tabRatio="828" activeTab="1" xr2:uid="{ECB8514B-DE58-4DBC-A0B6-722ED4B0A54B}"/>
  </bookViews>
  <sheets>
    <sheet name="Leachate Weight" sheetId="1" r:id="rId1"/>
    <sheet name="pH" sheetId="3" r:id="rId2"/>
    <sheet name="SC" sheetId="4" r:id="rId3"/>
    <sheet name="Alk" sheetId="5" r:id="rId4"/>
    <sheet name="Sulfate" sheetId="6" r:id="rId5"/>
    <sheet name="Ammonium" sheetId="7" r:id="rId6"/>
    <sheet name="MBMG Anions Only Day 7" sheetId="8" r:id="rId7"/>
    <sheet name="Arsenic, As" sheetId="9" r:id="rId8"/>
    <sheet name="Cadmium, Cd" sheetId="10" r:id="rId9"/>
    <sheet name="Copper, Cu" sheetId="11" r:id="rId10"/>
    <sheet name="Lead, Pb" sheetId="12" r:id="rId11"/>
    <sheet name="Zinc, Zn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5" l="1"/>
  <c r="I12" i="5"/>
  <c r="G12" i="5"/>
  <c r="E12" i="5"/>
  <c r="C12" i="5"/>
  <c r="J11" i="5"/>
  <c r="I11" i="5"/>
  <c r="H11" i="5"/>
  <c r="G11" i="5"/>
  <c r="F11" i="5"/>
  <c r="D11" i="5"/>
  <c r="I10" i="5"/>
  <c r="G10" i="5"/>
  <c r="E10" i="5"/>
  <c r="C10" i="5"/>
  <c r="K9" i="5"/>
  <c r="I9" i="5"/>
  <c r="G9" i="5"/>
  <c r="E9" i="5"/>
  <c r="C9" i="5"/>
  <c r="K8" i="5"/>
  <c r="I8" i="5"/>
  <c r="G8" i="5"/>
  <c r="E8" i="5"/>
  <c r="C8" i="5"/>
  <c r="K7" i="5"/>
  <c r="J7" i="5"/>
  <c r="I7" i="5"/>
  <c r="H7" i="5"/>
  <c r="G7" i="5"/>
  <c r="E7" i="5"/>
  <c r="D7" i="5"/>
  <c r="C7" i="5"/>
  <c r="B7" i="5"/>
  <c r="K6" i="5"/>
  <c r="I6" i="5"/>
  <c r="G6" i="5"/>
  <c r="E6" i="5"/>
  <c r="C6" i="5"/>
  <c r="J10" i="13" l="1"/>
  <c r="H10" i="13"/>
  <c r="F10" i="13"/>
  <c r="B10" i="13"/>
  <c r="J10" i="12"/>
  <c r="H10" i="12"/>
  <c r="F10" i="12"/>
  <c r="B10" i="12"/>
  <c r="J10" i="11"/>
  <c r="H10" i="11"/>
  <c r="F10" i="11"/>
  <c r="B10" i="11"/>
  <c r="J10" i="10"/>
  <c r="H10" i="10"/>
  <c r="F10" i="10"/>
  <c r="B10" i="10"/>
  <c r="J9" i="13"/>
  <c r="H9" i="13"/>
  <c r="F9" i="13"/>
  <c r="J9" i="12"/>
  <c r="H9" i="12"/>
  <c r="F9" i="12"/>
  <c r="J9" i="11"/>
  <c r="H9" i="11"/>
  <c r="F9" i="11"/>
  <c r="J9" i="10"/>
  <c r="H9" i="10"/>
  <c r="F9" i="10"/>
  <c r="J11" i="1" l="1"/>
  <c r="J7" i="1"/>
  <c r="K12" i="1"/>
  <c r="K10" i="1"/>
  <c r="K9" i="1"/>
  <c r="K8" i="1"/>
  <c r="K7" i="1"/>
  <c r="K6" i="1"/>
  <c r="H11" i="1"/>
  <c r="H7" i="1"/>
  <c r="I12" i="1"/>
  <c r="I11" i="1"/>
  <c r="I10" i="1"/>
  <c r="I9" i="1"/>
  <c r="I8" i="1"/>
  <c r="I7" i="1"/>
  <c r="I6" i="1"/>
  <c r="F11" i="1"/>
  <c r="F7" i="1"/>
  <c r="G12" i="1"/>
  <c r="G11" i="1"/>
  <c r="G10" i="1"/>
  <c r="G9" i="1"/>
  <c r="G8" i="1"/>
  <c r="G7" i="1"/>
  <c r="G6" i="1"/>
  <c r="D11" i="1"/>
  <c r="D7" i="1"/>
  <c r="E12" i="1"/>
  <c r="E11" i="1"/>
  <c r="E10" i="1"/>
  <c r="E9" i="1"/>
  <c r="E8" i="1"/>
  <c r="E7" i="1"/>
  <c r="E6" i="1"/>
  <c r="B11" i="1"/>
  <c r="B7" i="1"/>
  <c r="C12" i="1"/>
  <c r="C11" i="1"/>
  <c r="C10" i="1"/>
  <c r="C9" i="1"/>
  <c r="C8" i="1"/>
  <c r="C7" i="1"/>
  <c r="C6" i="1"/>
  <c r="J12" i="1"/>
  <c r="J10" i="1"/>
  <c r="J9" i="1"/>
  <c r="J8" i="1"/>
  <c r="J6" i="1"/>
  <c r="H12" i="1"/>
  <c r="H10" i="1"/>
  <c r="H9" i="1"/>
  <c r="H8" i="1"/>
  <c r="H6" i="1"/>
  <c r="D12" i="1"/>
  <c r="D10" i="1"/>
  <c r="D9" i="1"/>
  <c r="D8" i="1"/>
  <c r="D6" i="1"/>
</calcChain>
</file>

<file path=xl/sharedStrings.xml><?xml version="1.0" encoding="utf-8"?>
<sst xmlns="http://schemas.openxmlformats.org/spreadsheetml/2006/main" count="904" uniqueCount="76">
  <si>
    <t>Treatment</t>
  </si>
  <si>
    <t>Post</t>
  </si>
  <si>
    <t>Pre</t>
  </si>
  <si>
    <t>Sample</t>
  </si>
  <si>
    <t>S1A</t>
  </si>
  <si>
    <t>S1B</t>
  </si>
  <si>
    <t>S2</t>
  </si>
  <si>
    <t>S3</t>
  </si>
  <si>
    <t>S4A</t>
  </si>
  <si>
    <t>S4B</t>
  </si>
  <si>
    <t>S5</t>
  </si>
  <si>
    <t>Coatings Humidity Cell Experiment - Leachate Mass (g)</t>
  </si>
  <si>
    <t>Notes:</t>
  </si>
  <si>
    <t xml:space="preserve">Notes: </t>
  </si>
  <si>
    <t>NM = no measurement</t>
  </si>
  <si>
    <t>NM</t>
  </si>
  <si>
    <t>Coatings Humidity Cell Experiment - pH (s.u.)</t>
  </si>
  <si>
    <r>
      <t>Coatings Humidity Cell Experiment - Specific Conductance, SC (</t>
    </r>
    <r>
      <rPr>
        <b/>
        <u/>
        <sz val="14"/>
        <color theme="1"/>
        <rFont val="Calibri"/>
        <family val="2"/>
      </rPr>
      <t>μS/cm)</t>
    </r>
  </si>
  <si>
    <t>Alkalinity was not determined for samples with pH &lt; 4.5, and assumed to be 0</t>
  </si>
  <si>
    <t>Fluoride</t>
  </si>
  <si>
    <t>Chloride</t>
  </si>
  <si>
    <t>Nitrite</t>
  </si>
  <si>
    <t>Bromide</t>
  </si>
  <si>
    <t>Nitrate</t>
  </si>
  <si>
    <t>Phosphate</t>
  </si>
  <si>
    <t>Sulfate</t>
  </si>
  <si>
    <t>&lt; 0.01</t>
  </si>
  <si>
    <t>&lt; 0.02</t>
  </si>
  <si>
    <t>&lt; 0.05</t>
  </si>
  <si>
    <t>&lt; 0.1</t>
  </si>
  <si>
    <t>&lt; 0.015</t>
  </si>
  <si>
    <t>Coatings Modified Humidity Cells Experiment - MBMG Anions (mg / L)</t>
  </si>
  <si>
    <t>&lt; 0.0002</t>
  </si>
  <si>
    <t>&lt; 0.002</t>
  </si>
  <si>
    <t>&lt; 0.001</t>
  </si>
  <si>
    <t>&lt; 0.0005</t>
  </si>
  <si>
    <t>&lt; 0.0025</t>
  </si>
  <si>
    <t>&lt; 0.008</t>
  </si>
  <si>
    <t>&lt; 0.004</t>
  </si>
  <si>
    <t>All of the following pre-treatment sample analysis were obtained by ICP-OES: S1A, S2, S3, S4A, S5</t>
  </si>
  <si>
    <t>Nitrite and nitrate are reported as N</t>
  </si>
  <si>
    <t>Phosphate is reported as P</t>
  </si>
  <si>
    <t>Coatings Modified Humidity Cell Experiment - Cadmium, Cd (mg / L)</t>
  </si>
  <si>
    <t>Coatings Modified Humidity Cell Experiment - Arsenic, As (mg / L)</t>
  </si>
  <si>
    <t>Coatings Modified Humidity Cell Experiment - Copper, Cu (mg / L)</t>
  </si>
  <si>
    <t>Coatings Modified Humidity Cell Experiment - Lead, Pb (mg / L)</t>
  </si>
  <si>
    <t>Coatings Modified Humidity Cell Experiment - Zinc, Zn (mg / L)</t>
  </si>
  <si>
    <t>All other analysis were obtained by ICP-MS</t>
  </si>
  <si>
    <t>Post-treatment</t>
  </si>
  <si>
    <t>Pre-treatment</t>
  </si>
  <si>
    <t xml:space="preserve">Pre-S1A </t>
  </si>
  <si>
    <t>Pre-S1B</t>
  </si>
  <si>
    <t>Pre-S2</t>
  </si>
  <si>
    <t>Pre-S3</t>
  </si>
  <si>
    <t>Pre-S4A</t>
  </si>
  <si>
    <t>Pre-S4B</t>
  </si>
  <si>
    <t>Pre-S5</t>
  </si>
  <si>
    <t>Post-S1A</t>
  </si>
  <si>
    <t>Post-S1B</t>
  </si>
  <si>
    <t>Post-S2</t>
  </si>
  <si>
    <t>Post-S3</t>
  </si>
  <si>
    <t>Post-S4A</t>
  </si>
  <si>
    <t>Post-S4B</t>
  </si>
  <si>
    <t>Post-S5</t>
  </si>
  <si>
    <r>
      <t>Coatings Humidity Cell Experiment - Alkalinity (mg CaCO</t>
    </r>
    <r>
      <rPr>
        <b/>
        <u/>
        <vertAlign val="subscript"/>
        <sz val="14"/>
        <color theme="1"/>
        <rFont val="Calibri"/>
        <family val="2"/>
        <scheme val="minor"/>
      </rPr>
      <t>3</t>
    </r>
    <r>
      <rPr>
        <b/>
        <u/>
        <sz val="14"/>
        <color theme="1"/>
        <rFont val="Calibri"/>
        <family val="2"/>
        <scheme val="minor"/>
      </rPr>
      <t xml:space="preserve"> / L)</t>
    </r>
  </si>
  <si>
    <r>
      <t>Coatings Humidity Cell Experiment - Sulfate (mg SO</t>
    </r>
    <r>
      <rPr>
        <b/>
        <u/>
        <vertAlign val="subscript"/>
        <sz val="14"/>
        <color theme="1"/>
        <rFont val="Calibri"/>
        <family val="2"/>
        <scheme val="minor"/>
      </rPr>
      <t>4</t>
    </r>
    <r>
      <rPr>
        <b/>
        <u/>
        <vertAlign val="superscript"/>
        <sz val="14"/>
        <color theme="1"/>
        <rFont val="Calibri"/>
        <family val="2"/>
        <scheme val="minor"/>
      </rPr>
      <t>2-</t>
    </r>
    <r>
      <rPr>
        <b/>
        <u/>
        <sz val="14"/>
        <color theme="1"/>
        <rFont val="Calibri"/>
        <family val="2"/>
        <scheme val="minor"/>
      </rPr>
      <t xml:space="preserve"> / L)</t>
    </r>
  </si>
  <si>
    <r>
      <t>Coatings Humidity Cell Experiment - Total Ammonium (mg NH</t>
    </r>
    <r>
      <rPr>
        <b/>
        <u/>
        <vertAlign val="subscript"/>
        <sz val="14"/>
        <color theme="1"/>
        <rFont val="Calibri"/>
        <family val="2"/>
        <scheme val="minor"/>
      </rPr>
      <t>4</t>
    </r>
    <r>
      <rPr>
        <b/>
        <u/>
        <vertAlign val="superscript"/>
        <sz val="14"/>
        <color theme="1"/>
        <rFont val="Calibri"/>
        <family val="2"/>
        <scheme val="minor"/>
      </rPr>
      <t>+</t>
    </r>
    <r>
      <rPr>
        <b/>
        <u/>
        <sz val="14"/>
        <color theme="1"/>
        <rFont val="Calibri"/>
        <family val="2"/>
        <scheme val="minor"/>
      </rPr>
      <t xml:space="preserve"> /  L)</t>
    </r>
  </si>
  <si>
    <t>S1A, S1B, S3, S4A, S4B, S5 for Day 1 Post-treatment have possible interference or are underestimated</t>
  </si>
  <si>
    <t>Day</t>
  </si>
  <si>
    <t>Analyte</t>
  </si>
  <si>
    <t>All samples were collected from Day 7 of the modified humidity cells experiment and analyzed by the MBMG lab</t>
  </si>
  <si>
    <t xml:space="preserve">For post-treatment leaching, 250mL was used for each week. </t>
  </si>
  <si>
    <t xml:space="preserve">For pre-treatment leaching, 500mL was used for each week. </t>
  </si>
  <si>
    <t>GRAPHING DATA:</t>
  </si>
  <si>
    <t>MDL</t>
  </si>
  <si>
    <t>NOTE: MDLs vary due to different dilution requriements and highest limit is chosen between pre- and post-treatment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</si>
</sst>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#,##0.0"/>
    <numFmt numFmtId="166" formatCode="#,##0.000"/>
    <numFmt numFmtId="167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b/>
      <u/>
      <vertAlign val="subscript"/>
      <sz val="14"/>
      <color theme="1"/>
      <name val="Calibri"/>
      <family val="2"/>
      <scheme val="minor"/>
    </font>
    <font>
      <b/>
      <u/>
      <vertAlign val="superscript"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7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26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164" fontId="0" fillId="0" borderId="3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2" fontId="0" fillId="0" borderId="5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3" fontId="0" fillId="0" borderId="1" xfId="1" applyNumberFormat="1" applyFont="1" applyBorder="1" applyAlignment="1">
      <alignment horizontal="right"/>
    </xf>
    <xf numFmtId="3" fontId="0" fillId="0" borderId="2" xfId="1" applyNumberFormat="1" applyFont="1" applyBorder="1" applyAlignment="1">
      <alignment horizontal="right"/>
    </xf>
    <xf numFmtId="3" fontId="0" fillId="0" borderId="3" xfId="1" applyNumberFormat="1" applyFont="1" applyBorder="1" applyAlignment="1">
      <alignment horizontal="right"/>
    </xf>
    <xf numFmtId="3" fontId="0" fillId="0" borderId="4" xfId="1" applyNumberFormat="1" applyFont="1" applyBorder="1" applyAlignment="1">
      <alignment horizontal="right"/>
    </xf>
    <xf numFmtId="3" fontId="0" fillId="0" borderId="5" xfId="1" applyNumberFormat="1" applyFont="1" applyBorder="1" applyAlignment="1">
      <alignment horizontal="right"/>
    </xf>
    <xf numFmtId="3" fontId="0" fillId="0" borderId="6" xfId="1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" fontId="0" fillId="0" borderId="12" xfId="0" applyNumberFormat="1" applyBorder="1" applyAlignment="1">
      <alignment horizontal="right"/>
    </xf>
    <xf numFmtId="4" fontId="0" fillId="0" borderId="13" xfId="0" applyNumberFormat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166" fontId="0" fillId="0" borderId="4" xfId="0" applyNumberFormat="1" applyBorder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6" xfId="0" applyNumberFormat="1" applyBorder="1" applyAlignment="1">
      <alignment horizontal="right"/>
    </xf>
    <xf numFmtId="164" fontId="0" fillId="0" borderId="26" xfId="0" applyNumberFormat="1" applyFill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28" xfId="0" applyNumberFormat="1" applyBorder="1" applyAlignment="1">
      <alignment horizontal="right"/>
    </xf>
    <xf numFmtId="0" fontId="0" fillId="2" borderId="7" xfId="0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0" borderId="31" xfId="0" applyNumberFormat="1" applyBorder="1" applyAlignment="1">
      <alignment horizontal="right"/>
    </xf>
    <xf numFmtId="164" fontId="0" fillId="0" borderId="32" xfId="0" applyNumberFormat="1" applyBorder="1" applyAlignment="1">
      <alignment horizontal="right"/>
    </xf>
    <xf numFmtId="0" fontId="0" fillId="2" borderId="3" xfId="0" applyFill="1" applyBorder="1" applyAlignment="1"/>
    <xf numFmtId="0" fontId="0" fillId="2" borderId="4" xfId="0" applyFill="1" applyBorder="1" applyAlignment="1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6" xfId="0" applyFill="1" applyBorder="1" applyAlignment="1">
      <alignment horizontal="center"/>
    </xf>
    <xf numFmtId="167" fontId="0" fillId="0" borderId="0" xfId="0" applyNumberFormat="1"/>
    <xf numFmtId="167" fontId="0" fillId="0" borderId="0" xfId="0" applyNumberForma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S1A Leachate Mass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'Leachate Weight'!$W$3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'Leachate Weight'!$X$3:$AB$3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'Leachate Weight'!$X$4:$AB$4</c:f>
              <c:numCache>
                <c:formatCode>General</c:formatCode>
                <c:ptCount val="5"/>
                <c:pt idx="0">
                  <c:v>343.05</c:v>
                </c:pt>
                <c:pt idx="1">
                  <c:v>502.31</c:v>
                </c:pt>
                <c:pt idx="3">
                  <c:v>487.64</c:v>
                </c:pt>
                <c:pt idx="4">
                  <c:v>491.21999999999997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AF-4EA7-B791-E525717807BD}"/>
            </c:ext>
          </c:extLst>
        </c:ser>
        <c:ser>
          <c:idx val="1"/>
          <c:order val="1"/>
          <c:tx>
            <c:strRef>
              <c:f>'Leachate Weight'!$W$12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'Leachate Weight'!$X$12:$AB$12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'Leachate Weight'!$X$13:$AB$13</c:f>
              <c:numCache>
                <c:formatCode>General</c:formatCode>
                <c:ptCount val="5"/>
                <c:pt idx="0">
                  <c:v>223.32999999999993</c:v>
                </c:pt>
                <c:pt idx="1">
                  <c:v>246.98999999999995</c:v>
                </c:pt>
                <c:pt idx="2">
                  <c:v>245.54000000000002</c:v>
                </c:pt>
                <c:pt idx="3">
                  <c:v>246.61</c:v>
                </c:pt>
                <c:pt idx="4">
                  <c:v>241.56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AF-4EA7-B791-E52571780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Leachate Mass (g)</a:t>
                </a:r>
                <a:r>
                  <a:rPr lang="en-US" sz="1400" baseline="0"/>
                  <a:t> </a:t>
                </a:r>
                <a:endParaRPr 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S2 pH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pH!$W$3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pH!$X$3:$AB$3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pH!$X$6:$AB$6</c:f>
              <c:numCache>
                <c:formatCode>General</c:formatCode>
                <c:ptCount val="5"/>
                <c:pt idx="0">
                  <c:v>5.7</c:v>
                </c:pt>
                <c:pt idx="1">
                  <c:v>5.7</c:v>
                </c:pt>
                <c:pt idx="2">
                  <c:v>6.2</c:v>
                </c:pt>
                <c:pt idx="3">
                  <c:v>6.1</c:v>
                </c:pt>
                <c:pt idx="4">
                  <c:v>5.91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7D-454D-BF1A-F19932A39B03}"/>
            </c:ext>
          </c:extLst>
        </c:ser>
        <c:ser>
          <c:idx val="1"/>
          <c:order val="1"/>
          <c:tx>
            <c:strRef>
              <c:f>pH!$W$13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pH!$X$13:$AB$13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pH!$X$16:$AB$16</c:f>
              <c:numCache>
                <c:formatCode>General</c:formatCode>
                <c:ptCount val="5"/>
                <c:pt idx="0">
                  <c:v>9.24</c:v>
                </c:pt>
                <c:pt idx="1">
                  <c:v>9.0500000000000007</c:v>
                </c:pt>
                <c:pt idx="2">
                  <c:v>9.0500000000000007</c:v>
                </c:pt>
                <c:pt idx="3">
                  <c:v>8.66</c:v>
                </c:pt>
                <c:pt idx="4">
                  <c:v>8.75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7D-454D-BF1A-F19932A39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pH (s.u.)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S3 pH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pH!$W$3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pH!$X$3:$AB$3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pH!$X$7:$AB$7</c:f>
              <c:numCache>
                <c:formatCode>General</c:formatCode>
                <c:ptCount val="5"/>
                <c:pt idx="1">
                  <c:v>2.8</c:v>
                </c:pt>
                <c:pt idx="2">
                  <c:v>2.9</c:v>
                </c:pt>
                <c:pt idx="3">
                  <c:v>2.7</c:v>
                </c:pt>
                <c:pt idx="4">
                  <c:v>2.19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54-4E15-9EE6-70F055EA7B96}"/>
            </c:ext>
          </c:extLst>
        </c:ser>
        <c:ser>
          <c:idx val="1"/>
          <c:order val="1"/>
          <c:tx>
            <c:strRef>
              <c:f>pH!$W$13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pH!$X$13:$AB$13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pH!$X$17:$AB$17</c:f>
              <c:numCache>
                <c:formatCode>General</c:formatCode>
                <c:ptCount val="5"/>
                <c:pt idx="0">
                  <c:v>8.4700000000000006</c:v>
                </c:pt>
                <c:pt idx="1">
                  <c:v>8.6300000000000008</c:v>
                </c:pt>
                <c:pt idx="2">
                  <c:v>8.84</c:v>
                </c:pt>
                <c:pt idx="3">
                  <c:v>8.58</c:v>
                </c:pt>
                <c:pt idx="4">
                  <c:v>8.82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54-4E15-9EE6-70F055EA7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pH (s.u.)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S4A pH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pH!$W$3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pH!$X$3:$AB$3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pH!$X$8:$AB$8</c:f>
              <c:numCache>
                <c:formatCode>General</c:formatCode>
                <c:ptCount val="5"/>
                <c:pt idx="0">
                  <c:v>3</c:v>
                </c:pt>
                <c:pt idx="1">
                  <c:v>3.6</c:v>
                </c:pt>
                <c:pt idx="2">
                  <c:v>3.7</c:v>
                </c:pt>
                <c:pt idx="3">
                  <c:v>3.5</c:v>
                </c:pt>
                <c:pt idx="4">
                  <c:v>2.77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41-46CF-A945-801AFB4DD02A}"/>
            </c:ext>
          </c:extLst>
        </c:ser>
        <c:ser>
          <c:idx val="1"/>
          <c:order val="1"/>
          <c:tx>
            <c:strRef>
              <c:f>pH!$W$13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pH!$X$13:$AB$13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pH!$X$18:$AB$18</c:f>
              <c:numCache>
                <c:formatCode>General</c:formatCode>
                <c:ptCount val="5"/>
                <c:pt idx="0">
                  <c:v>8.51</c:v>
                </c:pt>
                <c:pt idx="1">
                  <c:v>8.39</c:v>
                </c:pt>
                <c:pt idx="2">
                  <c:v>8.61</c:v>
                </c:pt>
                <c:pt idx="3">
                  <c:v>8.42</c:v>
                </c:pt>
                <c:pt idx="4">
                  <c:v>8.51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41-46CF-A945-801AFB4DD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pH (s.u.)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S4B pH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pH!$W$3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pH!$X$3:$AB$3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pH!$X$9:$AB$9</c:f>
              <c:numCache>
                <c:formatCode>General</c:formatCode>
                <c:ptCount val="5"/>
                <c:pt idx="1">
                  <c:v>2.5</c:v>
                </c:pt>
                <c:pt idx="2">
                  <c:v>2.62</c:v>
                </c:pt>
                <c:pt idx="3">
                  <c:v>2.4300000000000002</c:v>
                </c:pt>
                <c:pt idx="4">
                  <c:v>2.48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76-4BB5-9E0A-E92194C3907C}"/>
            </c:ext>
          </c:extLst>
        </c:ser>
        <c:ser>
          <c:idx val="1"/>
          <c:order val="1"/>
          <c:tx>
            <c:strRef>
              <c:f>pH!$W$13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pH!$X$13:$AB$13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pH!$X$19:$AB$19</c:f>
              <c:numCache>
                <c:formatCode>General</c:formatCode>
                <c:ptCount val="5"/>
                <c:pt idx="0">
                  <c:v>9.1300000000000008</c:v>
                </c:pt>
                <c:pt idx="1">
                  <c:v>8.9499999999999993</c:v>
                </c:pt>
                <c:pt idx="2">
                  <c:v>8.9600000000000009</c:v>
                </c:pt>
                <c:pt idx="3">
                  <c:v>8.61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76-4BB5-9E0A-E92194C39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pH (s.u.)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S5 pH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pH!$W$3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pH!$X$3:$AB$3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pH!$X$10:$AB$10</c:f>
              <c:numCache>
                <c:formatCode>General</c:formatCode>
                <c:ptCount val="5"/>
                <c:pt idx="0">
                  <c:v>5.7</c:v>
                </c:pt>
                <c:pt idx="1">
                  <c:v>6.2</c:v>
                </c:pt>
                <c:pt idx="2">
                  <c:v>6.6</c:v>
                </c:pt>
                <c:pt idx="3">
                  <c:v>6.8</c:v>
                </c:pt>
                <c:pt idx="4">
                  <c:v>5.78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F8-49C2-BCBE-CB8010E156B0}"/>
            </c:ext>
          </c:extLst>
        </c:ser>
        <c:ser>
          <c:idx val="1"/>
          <c:order val="1"/>
          <c:tx>
            <c:strRef>
              <c:f>pH!$W$13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pH!$X$13:$AB$13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pH!$X$20:$AB$20</c:f>
              <c:numCache>
                <c:formatCode>General</c:formatCode>
                <c:ptCount val="5"/>
                <c:pt idx="0">
                  <c:v>9.2200000000000006</c:v>
                </c:pt>
                <c:pt idx="1">
                  <c:v>9.1999999999999993</c:v>
                </c:pt>
                <c:pt idx="2">
                  <c:v>9.1300000000000008</c:v>
                </c:pt>
                <c:pt idx="3">
                  <c:v>8.76</c:v>
                </c:pt>
                <c:pt idx="4">
                  <c:v>8.73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F8-49C2-BCBE-CB8010E15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pH (s.u.)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S1A SC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SC!$W$4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SC!$X$4:$AB$4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SC!$X$5:$AB$5</c:f>
              <c:numCache>
                <c:formatCode>General</c:formatCode>
                <c:ptCount val="5"/>
                <c:pt idx="0">
                  <c:v>113</c:v>
                </c:pt>
                <c:pt idx="1">
                  <c:v>80.400000000000006</c:v>
                </c:pt>
                <c:pt idx="2">
                  <c:v>67.2</c:v>
                </c:pt>
                <c:pt idx="3">
                  <c:v>80.099999999999994</c:v>
                </c:pt>
                <c:pt idx="4">
                  <c:v>66.5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CFB-40D0-B96C-C5031FADFF66}"/>
            </c:ext>
          </c:extLst>
        </c:ser>
        <c:ser>
          <c:idx val="1"/>
          <c:order val="1"/>
          <c:tx>
            <c:strRef>
              <c:f>SC!$W$14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SC!$X$14:$AB$14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SC!$X$15:$AB$15</c:f>
              <c:numCache>
                <c:formatCode>General</c:formatCode>
                <c:ptCount val="5"/>
                <c:pt idx="0">
                  <c:v>10200</c:v>
                </c:pt>
                <c:pt idx="1">
                  <c:v>4241</c:v>
                </c:pt>
                <c:pt idx="2">
                  <c:v>2052</c:v>
                </c:pt>
                <c:pt idx="3">
                  <c:v>1253</c:v>
                </c:pt>
                <c:pt idx="4">
                  <c:v>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CFB-40D0-B96C-C5031FADF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logBase val="10"/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Specific Conductance </a:t>
                </a:r>
                <a:r>
                  <a:rPr lang="el-GR" sz="1400"/>
                  <a:t>(μ</a:t>
                </a:r>
                <a:r>
                  <a:rPr lang="en-US" sz="1400"/>
                  <a:t>S/cm)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S1B SC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SC!$W$4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SC!$X$4:$AB$4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SC!$X$6:$AB$6</c:f>
              <c:numCache>
                <c:formatCode>General</c:formatCode>
                <c:ptCount val="5"/>
                <c:pt idx="0">
                  <c:v>261.60000000000002</c:v>
                </c:pt>
                <c:pt idx="1">
                  <c:v>207</c:v>
                </c:pt>
                <c:pt idx="2">
                  <c:v>151.9</c:v>
                </c:pt>
                <c:pt idx="3">
                  <c:v>131.69999999999999</c:v>
                </c:pt>
                <c:pt idx="4">
                  <c:v>130.19999999999999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29-4267-A0A4-FE68A7F0A910}"/>
            </c:ext>
          </c:extLst>
        </c:ser>
        <c:ser>
          <c:idx val="1"/>
          <c:order val="1"/>
          <c:tx>
            <c:strRef>
              <c:f>SC!$W$14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SC!$X$14:$AB$14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SC!$X$16:$AB$16</c:f>
              <c:numCache>
                <c:formatCode>General</c:formatCode>
                <c:ptCount val="5"/>
                <c:pt idx="0">
                  <c:v>10130</c:v>
                </c:pt>
                <c:pt idx="1">
                  <c:v>4095</c:v>
                </c:pt>
                <c:pt idx="2">
                  <c:v>2252</c:v>
                </c:pt>
                <c:pt idx="3">
                  <c:v>1494</c:v>
                </c:pt>
                <c:pt idx="4">
                  <c:v>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29-4267-A0A4-FE68A7F0A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logBase val="10"/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Specific Conductance </a:t>
                </a:r>
                <a:r>
                  <a:rPr lang="el-GR" sz="1400"/>
                  <a:t>(μ</a:t>
                </a:r>
                <a:r>
                  <a:rPr lang="en-US" sz="1400"/>
                  <a:t>S/cm)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S2 SC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SC!$W$4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SC!$X$4:$AB$4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SC!$X$7:$AB$7</c:f>
              <c:numCache>
                <c:formatCode>General</c:formatCode>
                <c:ptCount val="5"/>
                <c:pt idx="0">
                  <c:v>67.2</c:v>
                </c:pt>
                <c:pt idx="1">
                  <c:v>42.2</c:v>
                </c:pt>
                <c:pt idx="2">
                  <c:v>40.700000000000003</c:v>
                </c:pt>
                <c:pt idx="3">
                  <c:v>40.200000000000003</c:v>
                </c:pt>
                <c:pt idx="4">
                  <c:v>34.799999999999997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B3-4A86-807D-422680CCF8B0}"/>
            </c:ext>
          </c:extLst>
        </c:ser>
        <c:ser>
          <c:idx val="1"/>
          <c:order val="1"/>
          <c:tx>
            <c:strRef>
              <c:f>SC!$W$14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SC!$X$14:$AB$14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SC!$X$17:$AB$17</c:f>
              <c:numCache>
                <c:formatCode>General</c:formatCode>
                <c:ptCount val="5"/>
                <c:pt idx="0">
                  <c:v>9100</c:v>
                </c:pt>
                <c:pt idx="1">
                  <c:v>2706</c:v>
                </c:pt>
                <c:pt idx="2">
                  <c:v>1507</c:v>
                </c:pt>
                <c:pt idx="3">
                  <c:v>965</c:v>
                </c:pt>
                <c:pt idx="4">
                  <c:v>650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B3-4A86-807D-422680CCF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logBase val="10"/>
          <c:orientation val="minMax"/>
          <c:max val="1000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Specific Conductance </a:t>
                </a:r>
                <a:r>
                  <a:rPr lang="el-GR" sz="1400"/>
                  <a:t>(μ</a:t>
                </a:r>
                <a:r>
                  <a:rPr lang="en-US" sz="1400"/>
                  <a:t>S/cm)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S3 SC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SC!$W$4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SC!$X$4:$AB$4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SC!$X$8:$AB$8</c:f>
              <c:numCache>
                <c:formatCode>General</c:formatCode>
                <c:ptCount val="5"/>
                <c:pt idx="1">
                  <c:v>603</c:v>
                </c:pt>
                <c:pt idx="2">
                  <c:v>570</c:v>
                </c:pt>
                <c:pt idx="3">
                  <c:v>614</c:v>
                </c:pt>
                <c:pt idx="4">
                  <c:v>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64-4B7A-978E-123CBFE6513A}"/>
            </c:ext>
          </c:extLst>
        </c:ser>
        <c:ser>
          <c:idx val="1"/>
          <c:order val="1"/>
          <c:tx>
            <c:strRef>
              <c:f>SC!$W$14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SC!$X$14:$AB$14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SC!$X$18:$AB$18</c:f>
              <c:numCache>
                <c:formatCode>General</c:formatCode>
                <c:ptCount val="5"/>
                <c:pt idx="0">
                  <c:v>28950</c:v>
                </c:pt>
                <c:pt idx="1">
                  <c:v>12160</c:v>
                </c:pt>
                <c:pt idx="2">
                  <c:v>6440</c:v>
                </c:pt>
                <c:pt idx="3">
                  <c:v>4120</c:v>
                </c:pt>
                <c:pt idx="4">
                  <c:v>2384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64-4B7A-978E-123CBFE65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logBase val="10"/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Specific Conductance </a:t>
                </a:r>
                <a:r>
                  <a:rPr lang="el-GR" sz="1400"/>
                  <a:t>(μ</a:t>
                </a:r>
                <a:r>
                  <a:rPr lang="en-US" sz="1400"/>
                  <a:t>S/cm)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S4A SC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SC!$W$4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SC!$X$4:$AB$4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SC!$X$9:$AB$9</c:f>
              <c:numCache>
                <c:formatCode>General</c:formatCode>
                <c:ptCount val="5"/>
                <c:pt idx="0">
                  <c:v>415.1</c:v>
                </c:pt>
                <c:pt idx="1">
                  <c:v>163.6</c:v>
                </c:pt>
                <c:pt idx="2">
                  <c:v>139.5</c:v>
                </c:pt>
                <c:pt idx="3">
                  <c:v>166.8</c:v>
                </c:pt>
                <c:pt idx="4">
                  <c:v>132.69999999999999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3A-4E9A-A604-2303C12FC93C}"/>
            </c:ext>
          </c:extLst>
        </c:ser>
        <c:ser>
          <c:idx val="1"/>
          <c:order val="1"/>
          <c:tx>
            <c:strRef>
              <c:f>SC!$W$14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SC!$X$14:$AB$14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SC!$X$19:$AB$19</c:f>
              <c:numCache>
                <c:formatCode>General</c:formatCode>
                <c:ptCount val="5"/>
                <c:pt idx="0">
                  <c:v>34190</c:v>
                </c:pt>
                <c:pt idx="1">
                  <c:v>16890</c:v>
                </c:pt>
                <c:pt idx="2">
                  <c:v>6420</c:v>
                </c:pt>
                <c:pt idx="3">
                  <c:v>3206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3A-4E9A-A604-2303C12FC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logBase val="10"/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Specific Conductance </a:t>
                </a:r>
                <a:r>
                  <a:rPr lang="el-GR" sz="1400"/>
                  <a:t>(μ</a:t>
                </a:r>
                <a:r>
                  <a:rPr lang="en-US" sz="1400"/>
                  <a:t>S/cm)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Humidity</a:t>
            </a:r>
            <a:r>
              <a:rPr lang="en-US" sz="1600" b="1" baseline="0"/>
              <a:t> Cells Experiment - </a:t>
            </a:r>
            <a:r>
              <a:rPr lang="en-US" sz="1600" b="1" i="0" u="none" strike="noStrike" baseline="0">
                <a:effectLst/>
              </a:rPr>
              <a:t>S1B</a:t>
            </a:r>
            <a:r>
              <a:rPr lang="en-US" sz="1600" b="1" baseline="0"/>
              <a:t> Leachate Mass Data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'Leachate Weight'!$W$3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'Leachate Weight'!$X$3:$AB$3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'Leachate Weight'!$X$5:$AB$5</c:f>
              <c:numCache>
                <c:formatCode>General</c:formatCode>
                <c:ptCount val="5"/>
                <c:pt idx="0">
                  <c:v>295.05000000000007</c:v>
                </c:pt>
                <c:pt idx="1">
                  <c:v>495.21000000000004</c:v>
                </c:pt>
                <c:pt idx="2">
                  <c:v>495.44</c:v>
                </c:pt>
                <c:pt idx="3">
                  <c:v>494.28000000000003</c:v>
                </c:pt>
                <c:pt idx="4">
                  <c:v>492.15000000000003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CB-4F77-83FC-7C52EB43ED07}"/>
            </c:ext>
          </c:extLst>
        </c:ser>
        <c:ser>
          <c:idx val="1"/>
          <c:order val="1"/>
          <c:tx>
            <c:strRef>
              <c:f>'Leachate Weight'!$W$12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'Leachate Weight'!$X$12:$AB$12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'Leachate Weight'!$X$14:$AB$14</c:f>
              <c:numCache>
                <c:formatCode>General</c:formatCode>
                <c:ptCount val="5"/>
                <c:pt idx="0">
                  <c:v>227.17999999999995</c:v>
                </c:pt>
                <c:pt idx="1">
                  <c:v>231.90000000000003</c:v>
                </c:pt>
                <c:pt idx="2">
                  <c:v>231.97999999999996</c:v>
                </c:pt>
                <c:pt idx="3">
                  <c:v>236.7</c:v>
                </c:pt>
                <c:pt idx="4">
                  <c:v>229.43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CB-4F77-83FC-7C52EB43E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Leachate Mass (g)</a:t>
                </a:r>
                <a:r>
                  <a:rPr lang="en-US" sz="1400" baseline="0"/>
                  <a:t> </a:t>
                </a:r>
                <a:endParaRPr 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S4B SC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SC!$W$4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SC!$X$4:$AB$4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SC!$X$10:$AB$10</c:f>
              <c:numCache>
                <c:formatCode>General</c:formatCode>
                <c:ptCount val="5"/>
                <c:pt idx="1">
                  <c:v>685</c:v>
                </c:pt>
                <c:pt idx="2">
                  <c:v>600</c:v>
                </c:pt>
                <c:pt idx="3">
                  <c:v>554</c:v>
                </c:pt>
                <c:pt idx="4">
                  <c:v>519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F7-4729-A8A8-CC770ED45DC4}"/>
            </c:ext>
          </c:extLst>
        </c:ser>
        <c:ser>
          <c:idx val="1"/>
          <c:order val="1"/>
          <c:tx>
            <c:strRef>
              <c:f>SC!$W$14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SC!$X$14:$AB$14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SC!$X$20:$AB$20</c:f>
              <c:numCache>
                <c:formatCode>General</c:formatCode>
                <c:ptCount val="5"/>
                <c:pt idx="0">
                  <c:v>35060</c:v>
                </c:pt>
                <c:pt idx="2">
                  <c:v>3908</c:v>
                </c:pt>
                <c:pt idx="3">
                  <c:v>2061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F7-4729-A8A8-CC770ED45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logBase val="10"/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Specific Conductance </a:t>
                </a:r>
                <a:r>
                  <a:rPr lang="el-GR" sz="1400"/>
                  <a:t>(μ</a:t>
                </a:r>
                <a:r>
                  <a:rPr lang="en-US" sz="1400"/>
                  <a:t>S/cm)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S5 SC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SC!$W$4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SC!$X$4:$AB$4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SC!$X$11:$AB$11</c:f>
              <c:numCache>
                <c:formatCode>General</c:formatCode>
                <c:ptCount val="5"/>
                <c:pt idx="0">
                  <c:v>1584</c:v>
                </c:pt>
                <c:pt idx="1">
                  <c:v>997</c:v>
                </c:pt>
                <c:pt idx="2">
                  <c:v>819</c:v>
                </c:pt>
                <c:pt idx="3">
                  <c:v>627</c:v>
                </c:pt>
                <c:pt idx="4">
                  <c:v>461.3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1C-4378-8675-4B237E3FE5B0}"/>
            </c:ext>
          </c:extLst>
        </c:ser>
        <c:ser>
          <c:idx val="1"/>
          <c:order val="1"/>
          <c:tx>
            <c:strRef>
              <c:f>SC!$W$14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SC!$X$14:$AB$14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SC!$X$21:$AB$21</c:f>
              <c:numCache>
                <c:formatCode>General</c:formatCode>
                <c:ptCount val="5"/>
                <c:pt idx="0">
                  <c:v>13880</c:v>
                </c:pt>
                <c:pt idx="1">
                  <c:v>8560</c:v>
                </c:pt>
                <c:pt idx="2">
                  <c:v>5370</c:v>
                </c:pt>
                <c:pt idx="3">
                  <c:v>3247</c:v>
                </c:pt>
                <c:pt idx="4">
                  <c:v>2049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1C-4378-8675-4B237E3FE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logBase val="10"/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Specific Conductance </a:t>
                </a:r>
                <a:r>
                  <a:rPr lang="el-GR" sz="1400"/>
                  <a:t>(μ</a:t>
                </a:r>
                <a:r>
                  <a:rPr lang="en-US" sz="1400"/>
                  <a:t>S/cm)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S1A Alkalinity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Alk!$U$3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Alk!$V$3:$Z$3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Alk!$V$4:$Z$4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25-4F9E-B306-FCE4E5BACAAA}"/>
            </c:ext>
          </c:extLst>
        </c:ser>
        <c:ser>
          <c:idx val="1"/>
          <c:order val="1"/>
          <c:tx>
            <c:strRef>
              <c:f>Alk!$U$13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Alk!$V$13:$Z$13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Alk!$V$14:$Z$14</c:f>
              <c:numCache>
                <c:formatCode>General</c:formatCode>
                <c:ptCount val="5"/>
                <c:pt idx="0">
                  <c:v>3500</c:v>
                </c:pt>
                <c:pt idx="1">
                  <c:v>2199.9999999999959</c:v>
                </c:pt>
                <c:pt idx="2">
                  <c:v>1200.0000000000002</c:v>
                </c:pt>
                <c:pt idx="3">
                  <c:v>800.00000000000023</c:v>
                </c:pt>
                <c:pt idx="4">
                  <c:v>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725-4F9E-B306-FCE4E5BAC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Alkalinity (mg CaCO</a:t>
                </a:r>
                <a:r>
                  <a:rPr lang="en-US" sz="1400" baseline="-25000"/>
                  <a:t>3</a:t>
                </a:r>
                <a:r>
                  <a:rPr lang="en-US" sz="1400"/>
                  <a:t>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S1B Alkalinity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Alk!$U$3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Alk!$V$3:$Z$3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Alk!$V$5:$Z$5</c:f>
              <c:numCache>
                <c:formatCode>General</c:formatCode>
                <c:ptCount val="5"/>
                <c:pt idx="0">
                  <c:v>42</c:v>
                </c:pt>
                <c:pt idx="1">
                  <c:v>71.999999999999957</c:v>
                </c:pt>
                <c:pt idx="2">
                  <c:v>0</c:v>
                </c:pt>
                <c:pt idx="3">
                  <c:v>77.999999999999972</c:v>
                </c:pt>
                <c:pt idx="4">
                  <c:v>61.999999999999993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A3-470B-A59F-1DA4406314CB}"/>
            </c:ext>
          </c:extLst>
        </c:ser>
        <c:ser>
          <c:idx val="1"/>
          <c:order val="1"/>
          <c:tx>
            <c:strRef>
              <c:f>Alk!$U$13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Alk!$V$13:$Z$13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Alk!$V$15:$Z$15</c:f>
              <c:numCache>
                <c:formatCode>General</c:formatCode>
                <c:ptCount val="5"/>
                <c:pt idx="0">
                  <c:v>3200.0000000000009</c:v>
                </c:pt>
                <c:pt idx="1">
                  <c:v>1799.9999999999973</c:v>
                </c:pt>
                <c:pt idx="2">
                  <c:v>1300</c:v>
                </c:pt>
                <c:pt idx="3">
                  <c:v>1200.0000000000002</c:v>
                </c:pt>
                <c:pt idx="4">
                  <c:v>693.00000000000011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A3-470B-A59F-1DA440631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Alkalinity (mg CaCO</a:t>
                </a:r>
                <a:r>
                  <a:rPr lang="en-US" sz="1400" baseline="-25000"/>
                  <a:t>3</a:t>
                </a:r>
                <a:r>
                  <a:rPr lang="en-US" sz="1400"/>
                  <a:t>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S2 Alkalinity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Alk!$U$3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Alk!$V$3:$Z$3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Alk!$V$6:$Z$6</c:f>
              <c:numCache>
                <c:formatCode>General</c:formatCode>
                <c:ptCount val="5"/>
                <c:pt idx="0">
                  <c:v>0</c:v>
                </c:pt>
                <c:pt idx="1">
                  <c:v>22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57-4C12-9313-836589A3C02E}"/>
            </c:ext>
          </c:extLst>
        </c:ser>
        <c:ser>
          <c:idx val="1"/>
          <c:order val="1"/>
          <c:tx>
            <c:strRef>
              <c:f>Alk!$U$13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Alk!$V$13:$Z$13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Alk!$V$16:$Z$16</c:f>
              <c:numCache>
                <c:formatCode>General</c:formatCode>
                <c:ptCount val="5"/>
                <c:pt idx="0">
                  <c:v>2900.0000000000005</c:v>
                </c:pt>
                <c:pt idx="1">
                  <c:v>1399.9999999999986</c:v>
                </c:pt>
                <c:pt idx="2">
                  <c:v>1100</c:v>
                </c:pt>
                <c:pt idx="3">
                  <c:v>799.99999999999977</c:v>
                </c:pt>
                <c:pt idx="4">
                  <c:v>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57-4C12-9313-836589A3C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Alkalinity (mg CaCO</a:t>
                </a:r>
                <a:r>
                  <a:rPr lang="en-US" sz="1400" baseline="-25000"/>
                  <a:t>3</a:t>
                </a:r>
                <a:r>
                  <a:rPr lang="en-US" sz="1400"/>
                  <a:t>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S3 Alkalinity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Alk!$U$3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Alk!$V$3:$Z$3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Alk!$V$7:$Z$7</c:f>
              <c:numCache>
                <c:formatCode>General</c:formatCode>
                <c:ptCount val="5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04-41A7-AACA-5665FBF09573}"/>
            </c:ext>
          </c:extLst>
        </c:ser>
        <c:ser>
          <c:idx val="1"/>
          <c:order val="1"/>
          <c:tx>
            <c:strRef>
              <c:f>Alk!$U$13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Alk!$V$13:$Z$13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Alk!$V$17:$Z$17</c:f>
              <c:numCache>
                <c:formatCode>General</c:formatCode>
                <c:ptCount val="5"/>
                <c:pt idx="0">
                  <c:v>3999.9999999999982</c:v>
                </c:pt>
                <c:pt idx="1">
                  <c:v>2899.9999999999986</c:v>
                </c:pt>
                <c:pt idx="2">
                  <c:v>2399.9999999999995</c:v>
                </c:pt>
                <c:pt idx="3">
                  <c:v>2399.9999999999995</c:v>
                </c:pt>
                <c:pt idx="4">
                  <c:v>1881.0000000000002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04-41A7-AACA-5665FBF09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Alkalinity (mg CaCO</a:t>
                </a:r>
                <a:r>
                  <a:rPr lang="en-US" sz="1400" baseline="-25000"/>
                  <a:t>3</a:t>
                </a:r>
                <a:r>
                  <a:rPr lang="en-US" sz="1400"/>
                  <a:t>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S4A Alkalinity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Alk!$U$3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Alk!$V$3:$Z$3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Alk!$V$8:$Z$8</c:f>
              <c:numCache>
                <c:formatCode>General</c:formatCode>
                <c:ptCount val="5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64-4223-BA99-DF8737C178D3}"/>
            </c:ext>
          </c:extLst>
        </c:ser>
        <c:ser>
          <c:idx val="1"/>
          <c:order val="1"/>
          <c:tx>
            <c:strRef>
              <c:f>Alk!$U$13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Alk!$V$13:$Z$13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Alk!$V$18:$Z$18</c:f>
              <c:numCache>
                <c:formatCode>General</c:formatCode>
                <c:ptCount val="5"/>
                <c:pt idx="0">
                  <c:v>6099.9999999999982</c:v>
                </c:pt>
                <c:pt idx="1">
                  <c:v>3699.9999999999991</c:v>
                </c:pt>
                <c:pt idx="2">
                  <c:v>2499.9999999999991</c:v>
                </c:pt>
                <c:pt idx="3">
                  <c:v>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64-4223-BA99-DF8737C17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Alkalinity (mg CaCO</a:t>
                </a:r>
                <a:r>
                  <a:rPr lang="en-US" sz="1400" baseline="-25000"/>
                  <a:t>3</a:t>
                </a:r>
                <a:r>
                  <a:rPr lang="en-US" sz="1400"/>
                  <a:t>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S4B Alkalinity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Alk!$U$3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Alk!$V$3:$Z$3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Alk!$V$9:$Z$9</c:f>
              <c:numCache>
                <c:formatCode>General</c:formatCode>
                <c:ptCount val="5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95-4E7C-9D88-C9F79DBF0A1C}"/>
            </c:ext>
          </c:extLst>
        </c:ser>
        <c:ser>
          <c:idx val="1"/>
          <c:order val="1"/>
          <c:tx>
            <c:strRef>
              <c:f>Alk!$U$13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Alk!$V$13:$Z$13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Alk!$V$19:$Z$19</c:f>
              <c:numCache>
                <c:formatCode>General</c:formatCode>
                <c:ptCount val="5"/>
                <c:pt idx="2">
                  <c:v>3199.9999999999991</c:v>
                </c:pt>
                <c:pt idx="3">
                  <c:v>2100.0000000000014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95-4E7C-9D88-C9F79DBF0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Alkalinity (mg CaCO</a:t>
                </a:r>
                <a:r>
                  <a:rPr lang="en-US" sz="1400" baseline="-25000"/>
                  <a:t>3</a:t>
                </a:r>
                <a:r>
                  <a:rPr lang="en-US" sz="1400"/>
                  <a:t>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S5 Alkalinity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Alk!$U$3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Alk!$V$3:$Z$3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Alk!$V$10:$Z$10</c:f>
              <c:numCache>
                <c:formatCode>General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16</c:v>
                </c:pt>
                <c:pt idx="3">
                  <c:v>32</c:v>
                </c:pt>
                <c:pt idx="4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D6-4A0E-9C9D-26A23D3BF9B2}"/>
            </c:ext>
          </c:extLst>
        </c:ser>
        <c:ser>
          <c:idx val="1"/>
          <c:order val="1"/>
          <c:tx>
            <c:strRef>
              <c:f>Alk!$U$13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Alk!$V$13:$Z$13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Alk!$V$20:$Z$20</c:f>
              <c:numCache>
                <c:formatCode>General</c:formatCode>
                <c:ptCount val="5"/>
                <c:pt idx="0">
                  <c:v>6099.9999999999982</c:v>
                </c:pt>
                <c:pt idx="1">
                  <c:v>4100.0000000000018</c:v>
                </c:pt>
                <c:pt idx="2">
                  <c:v>2500</c:v>
                </c:pt>
                <c:pt idx="3">
                  <c:v>1599.9999999999995</c:v>
                </c:pt>
                <c:pt idx="4">
                  <c:v>1088.9999999999998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D6-4A0E-9C9D-26A23D3BF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Alkalinity (mg CaCO</a:t>
                </a:r>
                <a:r>
                  <a:rPr lang="en-US" sz="1400" baseline="-25000"/>
                  <a:t>3</a:t>
                </a:r>
                <a:r>
                  <a:rPr lang="en-US" sz="1400"/>
                  <a:t>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S1A Sulfate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Sulfate!$U$3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Sulfate!$V$3:$Z$3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Sulfate!$V$4:$Z$4</c:f>
              <c:numCache>
                <c:formatCode>General</c:formatCode>
                <c:ptCount val="5"/>
                <c:pt idx="1">
                  <c:v>17</c:v>
                </c:pt>
                <c:pt idx="2">
                  <c:v>17</c:v>
                </c:pt>
                <c:pt idx="3">
                  <c:v>18</c:v>
                </c:pt>
                <c:pt idx="4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CE-405B-B235-92E0E59E2B5E}"/>
            </c:ext>
          </c:extLst>
        </c:ser>
        <c:ser>
          <c:idx val="1"/>
          <c:order val="1"/>
          <c:tx>
            <c:strRef>
              <c:f>Sulfate!$U$13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Sulfate!$V$13:$Z$13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Sulfate!$V$14:$Z$14</c:f>
              <c:numCache>
                <c:formatCode>General</c:formatCode>
                <c:ptCount val="5"/>
                <c:pt idx="0">
                  <c:v>37</c:v>
                </c:pt>
                <c:pt idx="1">
                  <c:v>84</c:v>
                </c:pt>
                <c:pt idx="2">
                  <c:v>54</c:v>
                </c:pt>
                <c:pt idx="3">
                  <c:v>40</c:v>
                </c:pt>
                <c:pt idx="4">
                  <c:v>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CE-405B-B235-92E0E59E2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Sulfate </a:t>
                </a:r>
                <a:r>
                  <a:rPr lang="en-US" sz="1400" baseline="0"/>
                  <a:t> (mg SO</a:t>
                </a:r>
                <a:r>
                  <a:rPr lang="en-US" sz="1400" baseline="-25000"/>
                  <a:t>4</a:t>
                </a:r>
                <a:r>
                  <a:rPr lang="en-US" sz="1400" baseline="30000"/>
                  <a:t>2-</a:t>
                </a:r>
                <a:r>
                  <a:rPr lang="en-US" sz="1400" baseline="0"/>
                  <a:t>/L)</a:t>
                </a:r>
                <a:endParaRPr 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Humidity</a:t>
            </a:r>
            <a:r>
              <a:rPr lang="en-US" sz="1600" b="1" baseline="0"/>
              <a:t> Cells Experiment - </a:t>
            </a:r>
            <a:r>
              <a:rPr lang="en-US" sz="1600" b="1" i="0" u="none" strike="noStrike" baseline="0">
                <a:effectLst/>
              </a:rPr>
              <a:t>S2 </a:t>
            </a:r>
            <a:r>
              <a:rPr lang="en-US" sz="1600" b="1" baseline="0"/>
              <a:t>Leachate Mass Data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'Leachate Weight'!$W$3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'Leachate Weight'!$X$3:$AB$3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'Leachate Weight'!$X$6:$AB$6</c:f>
              <c:numCache>
                <c:formatCode>General</c:formatCode>
                <c:ptCount val="5"/>
                <c:pt idx="0">
                  <c:v>337.09</c:v>
                </c:pt>
                <c:pt idx="1">
                  <c:v>488.29</c:v>
                </c:pt>
                <c:pt idx="3">
                  <c:v>487.50999999999993</c:v>
                </c:pt>
                <c:pt idx="4">
                  <c:v>493.93999999999994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46-49ED-B2E4-125541E746BE}"/>
            </c:ext>
          </c:extLst>
        </c:ser>
        <c:ser>
          <c:idx val="1"/>
          <c:order val="1"/>
          <c:tx>
            <c:strRef>
              <c:f>'Leachate Weight'!$W$12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'Leachate Weight'!$X$12:$AB$12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'Leachate Weight'!$X$15:$AB$15</c:f>
              <c:numCache>
                <c:formatCode>General</c:formatCode>
                <c:ptCount val="5"/>
                <c:pt idx="0">
                  <c:v>229.31999999999994</c:v>
                </c:pt>
                <c:pt idx="1">
                  <c:v>235.09999999999997</c:v>
                </c:pt>
                <c:pt idx="2">
                  <c:v>242.24000000000007</c:v>
                </c:pt>
                <c:pt idx="3">
                  <c:v>239.84999999999997</c:v>
                </c:pt>
                <c:pt idx="4">
                  <c:v>235.46999999999997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46-49ED-B2E4-125541E74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Leachate Mass (g)</a:t>
                </a:r>
                <a:r>
                  <a:rPr lang="en-US" sz="1400" baseline="0"/>
                  <a:t> </a:t>
                </a:r>
                <a:endParaRPr 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S1B Sulfate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Sulfate!$U$3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Sulfate!$V$3:$Z$3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Sulfate!$V$5:$Z$5</c:f>
              <c:numCache>
                <c:formatCode>General</c:formatCode>
                <c:ptCount val="5"/>
                <c:pt idx="0">
                  <c:v>69</c:v>
                </c:pt>
                <c:pt idx="1">
                  <c:v>46</c:v>
                </c:pt>
                <c:pt idx="2">
                  <c:v>32</c:v>
                </c:pt>
                <c:pt idx="3">
                  <c:v>16</c:v>
                </c:pt>
                <c:pt idx="4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34-4563-89B9-7380371C3E85}"/>
            </c:ext>
          </c:extLst>
        </c:ser>
        <c:ser>
          <c:idx val="1"/>
          <c:order val="1"/>
          <c:tx>
            <c:strRef>
              <c:f>Sulfate!$U$13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Sulfate!$V$13:$Z$13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Sulfate!$V$15:$Z$15</c:f>
              <c:numCache>
                <c:formatCode>General</c:formatCode>
                <c:ptCount val="5"/>
                <c:pt idx="0">
                  <c:v>11</c:v>
                </c:pt>
                <c:pt idx="1">
                  <c:v>48</c:v>
                </c:pt>
                <c:pt idx="2">
                  <c:v>38</c:v>
                </c:pt>
                <c:pt idx="3">
                  <c:v>9</c:v>
                </c:pt>
                <c:pt idx="4">
                  <c:v>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34-4563-89B9-7380371C3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kern="1200" baseline="0">
                    <a:solidFill>
                      <a:srgbClr val="595959"/>
                    </a:solidFill>
                    <a:effectLst/>
                  </a:rPr>
                  <a:t>Sulfate  (mg SO</a:t>
                </a:r>
                <a:r>
                  <a:rPr lang="en-US" sz="1400" b="0" i="0" kern="1200" baseline="-25000">
                    <a:solidFill>
                      <a:srgbClr val="595959"/>
                    </a:solidFill>
                    <a:effectLst/>
                  </a:rPr>
                  <a:t>4</a:t>
                </a:r>
                <a:r>
                  <a:rPr lang="en-US" sz="1400" b="0" i="0" kern="1200" baseline="30000">
                    <a:solidFill>
                      <a:srgbClr val="595959"/>
                    </a:solidFill>
                    <a:effectLst/>
                  </a:rPr>
                  <a:t>2-</a:t>
                </a:r>
                <a:r>
                  <a:rPr lang="en-US" sz="1400" b="0" i="0" kern="1200" baseline="0">
                    <a:solidFill>
                      <a:srgbClr val="595959"/>
                    </a:solidFill>
                    <a:effectLst/>
                  </a:rPr>
                  <a:t>/L)</a:t>
                </a:r>
                <a:endParaRPr lang="en-US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S2 Sulfate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Sulfate!$U$3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Sulfate!$V$3:$Z$3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Sulfate!$V$6:$Z$6</c:f>
              <c:numCache>
                <c:formatCode>General</c:formatCode>
                <c:ptCount val="5"/>
                <c:pt idx="0">
                  <c:v>14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C6-4E1E-A309-05B29145D0FD}"/>
            </c:ext>
          </c:extLst>
        </c:ser>
        <c:ser>
          <c:idx val="1"/>
          <c:order val="1"/>
          <c:tx>
            <c:strRef>
              <c:f>Sulfate!$U$13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Sulfate!$V$13:$Z$13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Sulfate!$V$16:$Z$16</c:f>
              <c:numCache>
                <c:formatCode>General</c:formatCode>
                <c:ptCount val="5"/>
                <c:pt idx="0">
                  <c:v>18</c:v>
                </c:pt>
                <c:pt idx="1">
                  <c:v>22</c:v>
                </c:pt>
                <c:pt idx="2">
                  <c:v>20</c:v>
                </c:pt>
                <c:pt idx="3">
                  <c:v>11</c:v>
                </c:pt>
                <c:pt idx="4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C6-4E1E-A309-05B29145D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kern="1200" baseline="0">
                    <a:solidFill>
                      <a:srgbClr val="595959"/>
                    </a:solidFill>
                    <a:effectLst/>
                  </a:rPr>
                  <a:t>Sulfate  (mg SO</a:t>
                </a:r>
                <a:r>
                  <a:rPr lang="en-US" sz="1400" b="0" i="0" kern="1200" baseline="-25000">
                    <a:solidFill>
                      <a:srgbClr val="595959"/>
                    </a:solidFill>
                    <a:effectLst/>
                  </a:rPr>
                  <a:t>4</a:t>
                </a:r>
                <a:r>
                  <a:rPr lang="en-US" sz="1400" b="0" i="0" kern="1200" baseline="30000">
                    <a:solidFill>
                      <a:srgbClr val="595959"/>
                    </a:solidFill>
                    <a:effectLst/>
                  </a:rPr>
                  <a:t>2-</a:t>
                </a:r>
                <a:r>
                  <a:rPr lang="en-US" sz="1400" b="0" i="0" kern="1200" baseline="0">
                    <a:solidFill>
                      <a:srgbClr val="595959"/>
                    </a:solidFill>
                    <a:effectLst/>
                  </a:rPr>
                  <a:t>/L)</a:t>
                </a:r>
                <a:endParaRPr lang="en-US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S3 Sulfate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Sulfate!$U$3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Sulfate!$V$3:$Z$3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Sulfate!$V$7:$Z$7</c:f>
              <c:numCache>
                <c:formatCode>General</c:formatCode>
                <c:ptCount val="5"/>
                <c:pt idx="1">
                  <c:v>160</c:v>
                </c:pt>
                <c:pt idx="2">
                  <c:v>150</c:v>
                </c:pt>
                <c:pt idx="3">
                  <c:v>165</c:v>
                </c:pt>
                <c:pt idx="4">
                  <c:v>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C2-4F8E-B47E-C7EBAD378CA7}"/>
            </c:ext>
          </c:extLst>
        </c:ser>
        <c:ser>
          <c:idx val="1"/>
          <c:order val="1"/>
          <c:tx>
            <c:strRef>
              <c:f>Sulfate!$U$13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Sulfate!$V$13:$Z$13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Sulfate!$V$17:$Z$17</c:f>
              <c:numCache>
                <c:formatCode>General</c:formatCode>
                <c:ptCount val="5"/>
                <c:pt idx="0">
                  <c:v>1440</c:v>
                </c:pt>
                <c:pt idx="1">
                  <c:v>800</c:v>
                </c:pt>
                <c:pt idx="2">
                  <c:v>180</c:v>
                </c:pt>
                <c:pt idx="3">
                  <c:v>35</c:v>
                </c:pt>
                <c:pt idx="4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C2-4F8E-B47E-C7EBAD378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kern="1200" baseline="0">
                    <a:solidFill>
                      <a:srgbClr val="595959"/>
                    </a:solidFill>
                    <a:effectLst/>
                  </a:rPr>
                  <a:t>Sulfate  (mg SO</a:t>
                </a:r>
                <a:r>
                  <a:rPr lang="en-US" sz="1400" b="0" i="0" kern="1200" baseline="-25000">
                    <a:solidFill>
                      <a:srgbClr val="595959"/>
                    </a:solidFill>
                    <a:effectLst/>
                  </a:rPr>
                  <a:t>4</a:t>
                </a:r>
                <a:r>
                  <a:rPr lang="en-US" sz="1400" b="0" i="0" kern="1200" baseline="30000">
                    <a:solidFill>
                      <a:srgbClr val="595959"/>
                    </a:solidFill>
                    <a:effectLst/>
                  </a:rPr>
                  <a:t>2-</a:t>
                </a:r>
                <a:r>
                  <a:rPr lang="en-US" sz="1400" b="0" i="0" kern="1200" baseline="0">
                    <a:solidFill>
                      <a:srgbClr val="595959"/>
                    </a:solidFill>
                    <a:effectLst/>
                  </a:rPr>
                  <a:t>/L)</a:t>
                </a:r>
                <a:endParaRPr lang="en-US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S4A Sulfate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Sulfate!$U$3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Sulfate!$V$3:$Z$3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Sulfate!$V$8:$Z$8</c:f>
              <c:numCache>
                <c:formatCode>General</c:formatCode>
                <c:ptCount val="5"/>
                <c:pt idx="0">
                  <c:v>42</c:v>
                </c:pt>
                <c:pt idx="1">
                  <c:v>50.5</c:v>
                </c:pt>
                <c:pt idx="2">
                  <c:v>50</c:v>
                </c:pt>
                <c:pt idx="3">
                  <c:v>60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62-4284-AD07-7E81AC6EB29D}"/>
            </c:ext>
          </c:extLst>
        </c:ser>
        <c:ser>
          <c:idx val="1"/>
          <c:order val="1"/>
          <c:tx>
            <c:strRef>
              <c:f>Sulfate!$U$13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Sulfate!$V$13:$Z$13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Sulfate!$V$18:$Z$18</c:f>
              <c:numCache>
                <c:formatCode>General</c:formatCode>
                <c:ptCount val="5"/>
                <c:pt idx="0">
                  <c:v>3400</c:v>
                </c:pt>
                <c:pt idx="1">
                  <c:v>2100</c:v>
                </c:pt>
                <c:pt idx="2">
                  <c:v>720</c:v>
                </c:pt>
                <c:pt idx="3">
                  <c:v>280</c:v>
                </c:pt>
                <c:pt idx="4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62-4284-AD07-7E81AC6EB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kern="1200" baseline="0">
                    <a:solidFill>
                      <a:srgbClr val="595959"/>
                    </a:solidFill>
                    <a:effectLst/>
                  </a:rPr>
                  <a:t>Sulfate  (mg SO</a:t>
                </a:r>
                <a:r>
                  <a:rPr lang="en-US" sz="1400" b="0" i="0" kern="1200" baseline="-25000">
                    <a:solidFill>
                      <a:srgbClr val="595959"/>
                    </a:solidFill>
                    <a:effectLst/>
                  </a:rPr>
                  <a:t>4</a:t>
                </a:r>
                <a:r>
                  <a:rPr lang="en-US" sz="1400" b="0" i="0" kern="1200" baseline="30000">
                    <a:solidFill>
                      <a:srgbClr val="595959"/>
                    </a:solidFill>
                    <a:effectLst/>
                  </a:rPr>
                  <a:t>2-</a:t>
                </a:r>
                <a:r>
                  <a:rPr lang="en-US" sz="1400" b="0" i="0" kern="1200" baseline="0">
                    <a:solidFill>
                      <a:srgbClr val="595959"/>
                    </a:solidFill>
                    <a:effectLst/>
                  </a:rPr>
                  <a:t>/L)</a:t>
                </a:r>
                <a:endParaRPr lang="en-US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S4B Sulfate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Sulfate!$U$3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Sulfate!$V$3:$Z$3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Sulfate!$V$9:$Z$9</c:f>
              <c:numCache>
                <c:formatCode>General</c:formatCode>
                <c:ptCount val="5"/>
                <c:pt idx="0">
                  <c:v>146</c:v>
                </c:pt>
                <c:pt idx="1">
                  <c:v>136</c:v>
                </c:pt>
                <c:pt idx="2">
                  <c:v>105</c:v>
                </c:pt>
                <c:pt idx="3">
                  <c:v>108</c:v>
                </c:pt>
                <c:pt idx="4">
                  <c:v>104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9A-4009-9E87-B63F858AF017}"/>
            </c:ext>
          </c:extLst>
        </c:ser>
        <c:ser>
          <c:idx val="1"/>
          <c:order val="1"/>
          <c:tx>
            <c:strRef>
              <c:f>Sulfate!$U$13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Sulfate!$V$13:$Z$13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Sulfate!$V$19:$Z$19</c:f>
              <c:numCache>
                <c:formatCode>General</c:formatCode>
                <c:ptCount val="5"/>
                <c:pt idx="0">
                  <c:v>1450</c:v>
                </c:pt>
                <c:pt idx="1">
                  <c:v>225</c:v>
                </c:pt>
                <c:pt idx="2">
                  <c:v>65</c:v>
                </c:pt>
                <c:pt idx="3">
                  <c:v>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9A-4009-9E87-B63F858AF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kern="1200" baseline="0">
                    <a:solidFill>
                      <a:srgbClr val="595959"/>
                    </a:solidFill>
                    <a:effectLst/>
                  </a:rPr>
                  <a:t>Sulfate  (mg SO</a:t>
                </a:r>
                <a:r>
                  <a:rPr lang="en-US" sz="1400" b="0" i="0" kern="1200" baseline="-25000">
                    <a:solidFill>
                      <a:srgbClr val="595959"/>
                    </a:solidFill>
                    <a:effectLst/>
                  </a:rPr>
                  <a:t>4</a:t>
                </a:r>
                <a:r>
                  <a:rPr lang="en-US" sz="1400" b="0" i="0" kern="1200" baseline="30000">
                    <a:solidFill>
                      <a:srgbClr val="595959"/>
                    </a:solidFill>
                    <a:effectLst/>
                  </a:rPr>
                  <a:t>2-</a:t>
                </a:r>
                <a:r>
                  <a:rPr lang="en-US" sz="1400" b="0" i="0" kern="1200" baseline="0">
                    <a:solidFill>
                      <a:srgbClr val="595959"/>
                    </a:solidFill>
                    <a:effectLst/>
                  </a:rPr>
                  <a:t>/L)</a:t>
                </a:r>
                <a:endParaRPr lang="en-US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S5 Sulfate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Sulfate!$U$3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Sulfate!$V$3:$Z$3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Sulfate!$V$10:$Z$10</c:f>
              <c:numCache>
                <c:formatCode>General</c:formatCode>
                <c:ptCount val="5"/>
                <c:pt idx="0">
                  <c:v>1025</c:v>
                </c:pt>
                <c:pt idx="1">
                  <c:v>525</c:v>
                </c:pt>
                <c:pt idx="2">
                  <c:v>440</c:v>
                </c:pt>
                <c:pt idx="3">
                  <c:v>330</c:v>
                </c:pt>
                <c:pt idx="4">
                  <c:v>235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B7-4E34-8083-26EF67B9CCAC}"/>
            </c:ext>
          </c:extLst>
        </c:ser>
        <c:ser>
          <c:idx val="1"/>
          <c:order val="1"/>
          <c:tx>
            <c:strRef>
              <c:f>Sulfate!$U$13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Sulfate!$V$13:$Z$13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Sulfate!$V$20:$Z$20</c:f>
              <c:numCache>
                <c:formatCode>General</c:formatCode>
                <c:ptCount val="5"/>
                <c:pt idx="0">
                  <c:v>70</c:v>
                </c:pt>
                <c:pt idx="1">
                  <c:v>95</c:v>
                </c:pt>
                <c:pt idx="2">
                  <c:v>90</c:v>
                </c:pt>
                <c:pt idx="3">
                  <c:v>78</c:v>
                </c:pt>
                <c:pt idx="4">
                  <c:v>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B7-4E34-8083-26EF67B9C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kern="1200" baseline="0">
                    <a:solidFill>
                      <a:srgbClr val="595959"/>
                    </a:solidFill>
                    <a:effectLst/>
                  </a:rPr>
                  <a:t>Sulfate  (mg SO</a:t>
                </a:r>
                <a:r>
                  <a:rPr lang="en-US" sz="1400" b="0" i="0" kern="1200" baseline="-25000">
                    <a:solidFill>
                      <a:srgbClr val="595959"/>
                    </a:solidFill>
                    <a:effectLst/>
                  </a:rPr>
                  <a:t>4</a:t>
                </a:r>
                <a:r>
                  <a:rPr lang="en-US" sz="1400" b="0" i="0" kern="1200" baseline="30000">
                    <a:solidFill>
                      <a:srgbClr val="595959"/>
                    </a:solidFill>
                    <a:effectLst/>
                  </a:rPr>
                  <a:t>2-</a:t>
                </a:r>
                <a:r>
                  <a:rPr lang="en-US" sz="1400" b="0" i="0" kern="1200" baseline="0">
                    <a:solidFill>
                      <a:srgbClr val="595959"/>
                    </a:solidFill>
                    <a:effectLst/>
                  </a:rPr>
                  <a:t>/L)</a:t>
                </a:r>
                <a:endParaRPr lang="en-US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S1A Ammonium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Ammonium!$V$3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Ammonium!$W$3:$AA$3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Ammonium!$W$4:$AA$4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F98-47E0-9298-926B4458D586}"/>
            </c:ext>
          </c:extLst>
        </c:ser>
        <c:ser>
          <c:idx val="1"/>
          <c:order val="1"/>
          <c:tx>
            <c:strRef>
              <c:f>Ammonium!$V$14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Ammonium!$W$14:$AA$14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Ammonium!$W$15:$AA$15</c:f>
              <c:numCache>
                <c:formatCode>General</c:formatCode>
                <c:ptCount val="5"/>
                <c:pt idx="0">
                  <c:v>34.5</c:v>
                </c:pt>
                <c:pt idx="1">
                  <c:v>762</c:v>
                </c:pt>
                <c:pt idx="2">
                  <c:v>293.5</c:v>
                </c:pt>
                <c:pt idx="3">
                  <c:v>185</c:v>
                </c:pt>
                <c:pt idx="4">
                  <c:v>130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F98-47E0-9298-926B4458D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Ammonium (mg NH</a:t>
                </a:r>
                <a:r>
                  <a:rPr lang="en-US" sz="1400" baseline="-25000"/>
                  <a:t>4</a:t>
                </a:r>
                <a:r>
                  <a:rPr lang="en-US" sz="1400" baseline="30000"/>
                  <a:t>+</a:t>
                </a:r>
                <a:r>
                  <a:rPr lang="en-US" sz="1400"/>
                  <a:t>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S1B Ammonium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Ammonium!$V$3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Ammonium!$W$3:$AA$3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Ammonium!$W$5:$AA$5</c:f>
              <c:numCache>
                <c:formatCode>#,##0.00</c:formatCode>
                <c:ptCount val="5"/>
                <c:pt idx="0">
                  <c:v>1.1499999999999999</c:v>
                </c:pt>
                <c:pt idx="1">
                  <c:v>4.4999999999999998E-2</c:v>
                </c:pt>
                <c:pt idx="2">
                  <c:v>0.10199999999999999</c:v>
                </c:pt>
                <c:pt idx="3">
                  <c:v>0.14399999999999999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CE-4FCE-9827-3D14E57183F5}"/>
            </c:ext>
          </c:extLst>
        </c:ser>
        <c:ser>
          <c:idx val="1"/>
          <c:order val="1"/>
          <c:tx>
            <c:strRef>
              <c:f>Ammonium!$V$14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Ammonium!$W$14:$AA$14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Ammonium!$W$16:$AA$16</c:f>
              <c:numCache>
                <c:formatCode>General</c:formatCode>
                <c:ptCount val="5"/>
                <c:pt idx="0">
                  <c:v>50.4</c:v>
                </c:pt>
                <c:pt idx="1">
                  <c:v>717.5</c:v>
                </c:pt>
                <c:pt idx="2">
                  <c:v>364</c:v>
                </c:pt>
                <c:pt idx="3">
                  <c:v>269.10000000000002</c:v>
                </c:pt>
                <c:pt idx="4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CE-4FCE-9827-3D14E57183F5}"/>
            </c:ext>
          </c:extLst>
        </c:ser>
        <c:ser>
          <c:idx val="2"/>
          <c:order val="2"/>
          <c:tx>
            <c:strRef>
              <c:f>Ammonium!$V$11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Ammonium!$W$3:$AA$3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Ammonium!$W$11:$AA$11</c:f>
              <c:numCache>
                <c:formatCode>General</c:formatCode>
                <c:ptCount val="5"/>
                <c:pt idx="0">
                  <c:v>1.4999999999999999E-2</c:v>
                </c:pt>
                <c:pt idx="1">
                  <c:v>1.4999999999999999E-2</c:v>
                </c:pt>
                <c:pt idx="2">
                  <c:v>1.4999999999999999E-2</c:v>
                </c:pt>
                <c:pt idx="3">
                  <c:v>1.4999999999999999E-2</c:v>
                </c:pt>
                <c:pt idx="4">
                  <c:v>1.4999999999999999E-2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B1-49A6-B5DB-206989F81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Ammonium (mg NH</a:t>
                </a:r>
                <a:r>
                  <a:rPr lang="en-US" sz="1400" baseline="-25000"/>
                  <a:t>4</a:t>
                </a:r>
                <a:r>
                  <a:rPr lang="en-US" sz="1400" baseline="30000"/>
                  <a:t>+</a:t>
                </a:r>
                <a:r>
                  <a:rPr lang="en-US" sz="1400"/>
                  <a:t>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S2 Ammonium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Ammonium!$V$3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Ammonium!$W$3:$AA$3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Ammonium!$W$6:$AA$6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81-4763-AF77-2A20E69043B1}"/>
            </c:ext>
          </c:extLst>
        </c:ser>
        <c:ser>
          <c:idx val="1"/>
          <c:order val="1"/>
          <c:tx>
            <c:strRef>
              <c:f>Ammonium!$V$14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Ammonium!$W$14:$AA$14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Ammonium!$W$17:$AA$17</c:f>
              <c:numCache>
                <c:formatCode>General</c:formatCode>
                <c:ptCount val="5"/>
                <c:pt idx="0">
                  <c:v>1340</c:v>
                </c:pt>
                <c:pt idx="1">
                  <c:v>437.5</c:v>
                </c:pt>
                <c:pt idx="2">
                  <c:v>238.8</c:v>
                </c:pt>
                <c:pt idx="3">
                  <c:v>178.5</c:v>
                </c:pt>
                <c:pt idx="4">
                  <c:v>110.5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81-4763-AF77-2A20E6904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Ammonium (mg NH</a:t>
                </a:r>
                <a:r>
                  <a:rPr lang="en-US" sz="1400" baseline="-25000"/>
                  <a:t>4</a:t>
                </a:r>
                <a:r>
                  <a:rPr lang="en-US" sz="1400" baseline="30000"/>
                  <a:t>+</a:t>
                </a:r>
                <a:r>
                  <a:rPr lang="en-US" sz="1400"/>
                  <a:t>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S3 Ammonium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Ammonium!$V$3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Ammonium!$W$3:$AA$3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Ammonium!$W$7:$AA$7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C9-45B0-83AF-B49DDE76E99B}"/>
            </c:ext>
          </c:extLst>
        </c:ser>
        <c:ser>
          <c:idx val="1"/>
          <c:order val="1"/>
          <c:tx>
            <c:strRef>
              <c:f>Ammonium!$V$14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Ammonium!$W$14:$AA$14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Ammonium!$W$18:$AA$18</c:f>
              <c:numCache>
                <c:formatCode>General</c:formatCode>
                <c:ptCount val="5"/>
                <c:pt idx="0">
                  <c:v>14.1</c:v>
                </c:pt>
                <c:pt idx="1">
                  <c:v>1836</c:v>
                </c:pt>
                <c:pt idx="2">
                  <c:v>939</c:v>
                </c:pt>
                <c:pt idx="3">
                  <c:v>636</c:v>
                </c:pt>
                <c:pt idx="4">
                  <c:v>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C9-45B0-83AF-B49DDE76E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Ammonium (mg NH</a:t>
                </a:r>
                <a:r>
                  <a:rPr lang="en-US" sz="1400" baseline="-25000"/>
                  <a:t>4</a:t>
                </a:r>
                <a:r>
                  <a:rPr lang="en-US" sz="1400" baseline="30000"/>
                  <a:t>+</a:t>
                </a:r>
                <a:r>
                  <a:rPr lang="en-US" sz="1400"/>
                  <a:t>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Humidity</a:t>
            </a:r>
            <a:r>
              <a:rPr lang="en-US" sz="1600" b="1" baseline="0"/>
              <a:t> Cells Experiment - </a:t>
            </a:r>
            <a:r>
              <a:rPr lang="en-US" sz="1600" b="1" i="0" u="none" strike="noStrike" baseline="0">
                <a:effectLst/>
              </a:rPr>
              <a:t>S3 </a:t>
            </a:r>
            <a:r>
              <a:rPr lang="en-US" sz="1600" b="1" baseline="0"/>
              <a:t>Leachate Mass Data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'Leachate Weight'!$W$3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'Leachate Weight'!$X$3:$AB$3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'Leachate Weight'!$X$7:$AB$7</c:f>
              <c:numCache>
                <c:formatCode>General</c:formatCode>
                <c:ptCount val="5"/>
                <c:pt idx="0">
                  <c:v>0</c:v>
                </c:pt>
                <c:pt idx="1">
                  <c:v>352.64000000000004</c:v>
                </c:pt>
                <c:pt idx="3">
                  <c:v>487.78</c:v>
                </c:pt>
                <c:pt idx="4">
                  <c:v>481.81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BA-4B06-AC71-424F2E12BC50}"/>
            </c:ext>
          </c:extLst>
        </c:ser>
        <c:ser>
          <c:idx val="1"/>
          <c:order val="1"/>
          <c:tx>
            <c:strRef>
              <c:f>'Leachate Weight'!$W$12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'Leachate Weight'!$X$12:$AB$12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'Leachate Weight'!$X$16:$AB$16</c:f>
              <c:numCache>
                <c:formatCode>General</c:formatCode>
                <c:ptCount val="5"/>
                <c:pt idx="0">
                  <c:v>240.01</c:v>
                </c:pt>
                <c:pt idx="1">
                  <c:v>241.38</c:v>
                </c:pt>
                <c:pt idx="2">
                  <c:v>237.60999999999999</c:v>
                </c:pt>
                <c:pt idx="3">
                  <c:v>245.59000000000003</c:v>
                </c:pt>
                <c:pt idx="4">
                  <c:v>236.43999999999997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BA-4B06-AC71-424F2E12B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Leachate Mass (g)</a:t>
                </a:r>
                <a:r>
                  <a:rPr lang="en-US" sz="1400" baseline="0"/>
                  <a:t> </a:t>
                </a:r>
                <a:endParaRPr 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S4A Ammonium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Ammonium!$V$3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Ammonium!$W$3:$AA$3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Ammonium!$W$8:$AA$8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60-4FC5-A48E-2344D8F7CD8A}"/>
            </c:ext>
          </c:extLst>
        </c:ser>
        <c:ser>
          <c:idx val="1"/>
          <c:order val="1"/>
          <c:tx>
            <c:strRef>
              <c:f>Ammonium!$V$14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Ammonium!$W$14:$AA$14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Ammonium!$W$19:$AA$19</c:f>
              <c:numCache>
                <c:formatCode>General</c:formatCode>
                <c:ptCount val="5"/>
                <c:pt idx="0">
                  <c:v>10.4</c:v>
                </c:pt>
                <c:pt idx="1">
                  <c:v>2502.5</c:v>
                </c:pt>
                <c:pt idx="2">
                  <c:v>1170</c:v>
                </c:pt>
                <c:pt idx="3">
                  <c:v>747</c:v>
                </c:pt>
                <c:pt idx="4">
                  <c:v>759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60-4FC5-A48E-2344D8F7C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Ammonium (mg NH</a:t>
                </a:r>
                <a:r>
                  <a:rPr lang="en-US" sz="1400" baseline="-25000"/>
                  <a:t>4</a:t>
                </a:r>
                <a:r>
                  <a:rPr lang="en-US" sz="1400" baseline="30000"/>
                  <a:t>+</a:t>
                </a:r>
                <a:r>
                  <a:rPr lang="en-US" sz="1400"/>
                  <a:t>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S4B Ammonium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Ammonium!$V$3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Ammonium!$W$3:$AA$3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Ammonium!$W$9:$AA$9</c:f>
              <c:numCache>
                <c:formatCode>#,##0.00</c:formatCode>
                <c:ptCount val="5"/>
                <c:pt idx="0">
                  <c:v>0</c:v>
                </c:pt>
                <c:pt idx="1">
                  <c:v>0.49099999999999999</c:v>
                </c:pt>
                <c:pt idx="2">
                  <c:v>0.35499999999999998</c:v>
                </c:pt>
                <c:pt idx="3">
                  <c:v>0.36299999999999999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50-436D-BC62-D2CFF7FA8234}"/>
            </c:ext>
          </c:extLst>
        </c:ser>
        <c:ser>
          <c:idx val="1"/>
          <c:order val="1"/>
          <c:tx>
            <c:strRef>
              <c:f>Ammonium!$V$14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Ammonium!$W$14:$AA$14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Ammonium!$W$20:$AA$20</c:f>
              <c:numCache>
                <c:formatCode>General</c:formatCode>
                <c:ptCount val="5"/>
                <c:pt idx="0">
                  <c:v>38</c:v>
                </c:pt>
                <c:pt idx="1">
                  <c:v>3195</c:v>
                </c:pt>
                <c:pt idx="2">
                  <c:v>1130</c:v>
                </c:pt>
                <c:pt idx="3">
                  <c:v>585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50-436D-BC62-D2CFF7FA8234}"/>
            </c:ext>
          </c:extLst>
        </c:ser>
        <c:ser>
          <c:idx val="2"/>
          <c:order val="2"/>
          <c:tx>
            <c:strRef>
              <c:f>Ammonium!$V$11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Ammonium!$W$3:$AA$3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Ammonium!$W$11:$AA$11</c:f>
              <c:numCache>
                <c:formatCode>General</c:formatCode>
                <c:ptCount val="5"/>
                <c:pt idx="0">
                  <c:v>1.4999999999999999E-2</c:v>
                </c:pt>
                <c:pt idx="1">
                  <c:v>1.4999999999999999E-2</c:v>
                </c:pt>
                <c:pt idx="2">
                  <c:v>1.4999999999999999E-2</c:v>
                </c:pt>
                <c:pt idx="3">
                  <c:v>1.4999999999999999E-2</c:v>
                </c:pt>
                <c:pt idx="4">
                  <c:v>1.4999999999999999E-2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A4-4F20-9B98-29F1C7A82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Ammonium (mg NH</a:t>
                </a:r>
                <a:r>
                  <a:rPr lang="en-US" sz="1400" baseline="-25000"/>
                  <a:t>4</a:t>
                </a:r>
                <a:r>
                  <a:rPr lang="en-US" sz="1400" baseline="30000"/>
                  <a:t>+</a:t>
                </a:r>
                <a:r>
                  <a:rPr lang="en-US" sz="1400"/>
                  <a:t>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S5 Ammonium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Ammonium!$V$3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Ammonium!$W$3:$AA$3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Ammonium!$W$10:$AA$10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1C-4187-B05B-7DD3F0F2F08B}"/>
            </c:ext>
          </c:extLst>
        </c:ser>
        <c:ser>
          <c:idx val="1"/>
          <c:order val="1"/>
          <c:tx>
            <c:strRef>
              <c:f>Ammonium!$V$14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Ammonium!$W$14:$AA$14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Ammonium!$W$21:$AA$21</c:f>
              <c:numCache>
                <c:formatCode>General</c:formatCode>
                <c:ptCount val="5"/>
                <c:pt idx="0">
                  <c:v>25.2</c:v>
                </c:pt>
                <c:pt idx="1">
                  <c:v>1545</c:v>
                </c:pt>
                <c:pt idx="2">
                  <c:v>1029</c:v>
                </c:pt>
                <c:pt idx="3">
                  <c:v>492</c:v>
                </c:pt>
                <c:pt idx="4">
                  <c:v>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1C-4187-B05B-7DD3F0F2F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Ammonium (mg NH</a:t>
                </a:r>
                <a:r>
                  <a:rPr lang="en-US" sz="1400" baseline="-25000"/>
                  <a:t>4</a:t>
                </a:r>
                <a:r>
                  <a:rPr lang="en-US" sz="1400" baseline="30000"/>
                  <a:t>+</a:t>
                </a:r>
                <a:r>
                  <a:rPr lang="en-US" sz="1400"/>
                  <a:t>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Humidity Cells </a:t>
            </a:r>
            <a:r>
              <a:rPr lang="en-US" sz="1600" b="1" baseline="0"/>
              <a:t>Experiment - Fluoride Data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'MBMG Anions Only Day 7'!$U$5</c:f>
              <c:strCache>
                <c:ptCount val="1"/>
                <c:pt idx="0">
                  <c:v>Pre-treatment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'MBMG Anions Only Day 7'!$T$6:$T$12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7'!$U$6:$U$12</c:f>
              <c:numCache>
                <c:formatCode>General</c:formatCode>
                <c:ptCount val="7"/>
                <c:pt idx="0">
                  <c:v>0.127</c:v>
                </c:pt>
                <c:pt idx="1">
                  <c:v>0.20200000000000001</c:v>
                </c:pt>
                <c:pt idx="2">
                  <c:v>0.193</c:v>
                </c:pt>
                <c:pt idx="3">
                  <c:v>0.64300000000000002</c:v>
                </c:pt>
                <c:pt idx="4">
                  <c:v>0.20799999999999999</c:v>
                </c:pt>
                <c:pt idx="5">
                  <c:v>0.53800000000000003</c:v>
                </c:pt>
                <c:pt idx="6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0-4D59-BDCD-DCC5442E750F}"/>
            </c:ext>
          </c:extLst>
        </c:ser>
        <c:ser>
          <c:idx val="1"/>
          <c:order val="1"/>
          <c:tx>
            <c:strRef>
              <c:f>'MBMG Anions Only Day 7'!$V$5</c:f>
              <c:strCache>
                <c:ptCount val="1"/>
                <c:pt idx="0">
                  <c:v>Post-treatment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'MBMG Anions Only Day 7'!$T$6:$T$12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7'!$V$6:$V$12</c:f>
              <c:numCache>
                <c:formatCode>General</c:formatCode>
                <c:ptCount val="7"/>
                <c:pt idx="0">
                  <c:v>1.1599999999999999</c:v>
                </c:pt>
                <c:pt idx="1">
                  <c:v>0.1</c:v>
                </c:pt>
                <c:pt idx="2">
                  <c:v>0.47599999999999998</c:v>
                </c:pt>
                <c:pt idx="3">
                  <c:v>3.33</c:v>
                </c:pt>
                <c:pt idx="4">
                  <c:v>2.2999999999999998</c:v>
                </c:pt>
                <c:pt idx="5">
                  <c:v>3.42</c:v>
                </c:pt>
                <c:pt idx="6">
                  <c:v>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0-4D59-BDCD-DCC5442E7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693738568"/>
        <c:axId val="693740208"/>
      </c:barChart>
      <c:catAx>
        <c:axId val="693738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Sample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0"/>
        <c:auto val="1"/>
        <c:lblAlgn val="ctr"/>
        <c:lblOffset val="100"/>
        <c:noMultiLvlLbl val="0"/>
      </c:catAx>
      <c:valAx>
        <c:axId val="693740208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F </a:t>
                </a:r>
                <a:r>
                  <a:rPr lang="en-US" sz="1400" baseline="30000"/>
                  <a:t>-</a:t>
                </a:r>
                <a:r>
                  <a:rPr lang="en-US" sz="1400"/>
                  <a:t>  (mg/L)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Humidity Cells </a:t>
            </a:r>
            <a:r>
              <a:rPr lang="en-US" sz="1600" b="1" baseline="0"/>
              <a:t>Experiment - Chloride Data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'MBMG Anions Only Day 7'!$U$15</c:f>
              <c:strCache>
                <c:ptCount val="1"/>
                <c:pt idx="0">
                  <c:v>Pre-treatment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'MBMG Anions Only Day 7'!$T$16:$T$22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7'!$U$16:$U$22</c:f>
              <c:numCache>
                <c:formatCode>General</c:formatCode>
                <c:ptCount val="7"/>
                <c:pt idx="0">
                  <c:v>1.27</c:v>
                </c:pt>
                <c:pt idx="1">
                  <c:v>0.63600000000000001</c:v>
                </c:pt>
                <c:pt idx="2">
                  <c:v>0.71699999999999997</c:v>
                </c:pt>
                <c:pt idx="3">
                  <c:v>3.66</c:v>
                </c:pt>
                <c:pt idx="4">
                  <c:v>1.17</c:v>
                </c:pt>
                <c:pt idx="5">
                  <c:v>1.89</c:v>
                </c:pt>
                <c:pt idx="6">
                  <c:v>0.91600000000000004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2-4455-BD88-7B9C571A1608}"/>
            </c:ext>
          </c:extLst>
        </c:ser>
        <c:ser>
          <c:idx val="1"/>
          <c:order val="1"/>
          <c:tx>
            <c:strRef>
              <c:f>'MBMG Anions Only Day 7'!$V$15</c:f>
              <c:strCache>
                <c:ptCount val="1"/>
                <c:pt idx="0">
                  <c:v>Post-treatment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'MBMG Anions Only Day 7'!$T$16:$T$22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7'!$V$16:$V$22</c:f>
              <c:numCache>
                <c:formatCode>General</c:formatCode>
                <c:ptCount val="7"/>
                <c:pt idx="0">
                  <c:v>859</c:v>
                </c:pt>
                <c:pt idx="1">
                  <c:v>913</c:v>
                </c:pt>
                <c:pt idx="2">
                  <c:v>587</c:v>
                </c:pt>
                <c:pt idx="3">
                  <c:v>2800</c:v>
                </c:pt>
                <c:pt idx="4">
                  <c:v>3141</c:v>
                </c:pt>
                <c:pt idx="5">
                  <c:v>2684</c:v>
                </c:pt>
                <c:pt idx="6">
                  <c:v>1.879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2-4455-BD88-7B9C571A1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693738568"/>
        <c:axId val="693740208"/>
      </c:barChart>
      <c:catAx>
        <c:axId val="693738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Sample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0"/>
        <c:auto val="1"/>
        <c:lblAlgn val="ctr"/>
        <c:lblOffset val="100"/>
        <c:noMultiLvlLbl val="0"/>
      </c:catAx>
      <c:valAx>
        <c:axId val="693740208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Cl </a:t>
                </a:r>
                <a:r>
                  <a:rPr lang="en-US" sz="1400" baseline="30000"/>
                  <a:t>-</a:t>
                </a:r>
                <a:r>
                  <a:rPr lang="en-US" sz="1400"/>
                  <a:t>  (mg/L)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Humidity Cells </a:t>
            </a:r>
            <a:r>
              <a:rPr lang="en-US" sz="1600" b="1" baseline="0"/>
              <a:t>Experiment - Nitrite Data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'MBMG Anions Only Day 7'!$U$26</c:f>
              <c:strCache>
                <c:ptCount val="1"/>
                <c:pt idx="0">
                  <c:v>Pre-treatment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'MBMG Anions Only Day 7'!$T$27:$T$33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7'!$U$27:$U$33</c:f>
              <c:numCache>
                <c:formatCode>General</c:formatCode>
                <c:ptCount val="7"/>
                <c:pt idx="0">
                  <c:v>5.8000000000000003E-2</c:v>
                </c:pt>
                <c:pt idx="1">
                  <c:v>5.0999999999999997E-2</c:v>
                </c:pt>
                <c:pt idx="2">
                  <c:v>3.6999999999999998E-2</c:v>
                </c:pt>
                <c:pt idx="3">
                  <c:v>0</c:v>
                </c:pt>
                <c:pt idx="4">
                  <c:v>0</c:v>
                </c:pt>
                <c:pt idx="5">
                  <c:v>0.10299999999999999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7-4150-B897-0931819026B3}"/>
            </c:ext>
          </c:extLst>
        </c:ser>
        <c:ser>
          <c:idx val="1"/>
          <c:order val="1"/>
          <c:tx>
            <c:strRef>
              <c:f>'MBMG Anions Only Day 7'!$V$26</c:f>
              <c:strCache>
                <c:ptCount val="1"/>
                <c:pt idx="0">
                  <c:v>Post-treatment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'MBMG Anions Only Day 7'!$T$27:$T$33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7'!$V$27:$V$33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7-4150-B897-093181902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693738568"/>
        <c:axId val="693740208"/>
      </c:barChart>
      <c:lineChart>
        <c:grouping val="standard"/>
        <c:varyColors val="0"/>
        <c:ser>
          <c:idx val="2"/>
          <c:order val="2"/>
          <c:tx>
            <c:strRef>
              <c:f>'MBMG Anions Only Day 7'!$W$26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'MBMG Anions Only Day 7'!$T$27:$T$33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7'!$W$27:$W$33</c:f>
              <c:numCache>
                <c:formatCode>General</c:formatCode>
                <c:ptCount val="7"/>
                <c:pt idx="0">
                  <c:v>0.05</c:v>
                </c:pt>
                <c:pt idx="1">
                  <c:v>0.05</c:v>
                </c:pt>
                <c:pt idx="2">
                  <c:v>0.01</c:v>
                </c:pt>
                <c:pt idx="3">
                  <c:v>0.1</c:v>
                </c:pt>
                <c:pt idx="4">
                  <c:v>0.1</c:v>
                </c:pt>
                <c:pt idx="5">
                  <c:v>0.05</c:v>
                </c:pt>
                <c:pt idx="6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4-4C4E-8266-DBD38EFED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738568"/>
        <c:axId val="693740208"/>
      </c:lineChart>
      <c:catAx>
        <c:axId val="693738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Sample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0"/>
        <c:auto val="1"/>
        <c:lblAlgn val="ctr"/>
        <c:lblOffset val="100"/>
        <c:noMultiLvlLbl val="0"/>
      </c:catAx>
      <c:valAx>
        <c:axId val="693740208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NO</a:t>
                </a:r>
                <a:r>
                  <a:rPr lang="en-US" sz="1400" baseline="-25000"/>
                  <a:t>2</a:t>
                </a:r>
                <a:r>
                  <a:rPr lang="en-US" sz="1400"/>
                  <a:t> </a:t>
                </a:r>
                <a:r>
                  <a:rPr lang="en-US" sz="1400" baseline="30000"/>
                  <a:t>-</a:t>
                </a:r>
                <a:r>
                  <a:rPr lang="en-US" sz="1400"/>
                  <a:t>  (mg/L)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Humidity Cells </a:t>
            </a:r>
            <a:r>
              <a:rPr lang="en-US" sz="1600" b="1" baseline="0"/>
              <a:t>Experiment - Bromide Data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'MBMG Anions Only Day 7'!$U$37</c:f>
              <c:strCache>
                <c:ptCount val="1"/>
                <c:pt idx="0">
                  <c:v>Pre-treatment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'MBMG Anions Only Day 7'!$T$38:$T$44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7'!$U$38:$U$44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4-4615-816A-72E551731EC7}"/>
            </c:ext>
          </c:extLst>
        </c:ser>
        <c:ser>
          <c:idx val="1"/>
          <c:order val="1"/>
          <c:tx>
            <c:strRef>
              <c:f>'MBMG Anions Only Day 7'!$V$37</c:f>
              <c:strCache>
                <c:ptCount val="1"/>
                <c:pt idx="0">
                  <c:v>Post-treatment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'MBMG Anions Only Day 7'!$T$38:$T$44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7'!$V$38:$V$44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0.17599999999999999</c:v>
                </c:pt>
                <c:pt idx="3">
                  <c:v>0</c:v>
                </c:pt>
                <c:pt idx="4">
                  <c:v>0</c:v>
                </c:pt>
                <c:pt idx="5">
                  <c:v>3.86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4-4615-816A-72E551731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693738568"/>
        <c:axId val="693740208"/>
      </c:barChart>
      <c:lineChart>
        <c:grouping val="standard"/>
        <c:varyColors val="0"/>
        <c:ser>
          <c:idx val="2"/>
          <c:order val="2"/>
          <c:tx>
            <c:strRef>
              <c:f>'MBMG Anions Only Day 7'!$W$37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'MBMG Anions Only Day 7'!$T$38:$T$44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7'!$W$38:$W$44</c:f>
              <c:numCache>
                <c:formatCode>General</c:formatCode>
                <c:ptCount val="7"/>
                <c:pt idx="0">
                  <c:v>0.05</c:v>
                </c:pt>
                <c:pt idx="1">
                  <c:v>0.05</c:v>
                </c:pt>
                <c:pt idx="2">
                  <c:v>0.01</c:v>
                </c:pt>
                <c:pt idx="3">
                  <c:v>0.1</c:v>
                </c:pt>
                <c:pt idx="4">
                  <c:v>0.1</c:v>
                </c:pt>
                <c:pt idx="5">
                  <c:v>0.01</c:v>
                </c:pt>
                <c:pt idx="6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1-4384-9341-B93DF69F7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738568"/>
        <c:axId val="693740208"/>
      </c:lineChart>
      <c:catAx>
        <c:axId val="693738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Sample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0"/>
        <c:auto val="1"/>
        <c:lblAlgn val="ctr"/>
        <c:lblOffset val="100"/>
        <c:noMultiLvlLbl val="0"/>
      </c:catAx>
      <c:valAx>
        <c:axId val="693740208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Br </a:t>
                </a:r>
                <a:r>
                  <a:rPr lang="en-US" sz="1400" baseline="30000"/>
                  <a:t>-</a:t>
                </a:r>
                <a:r>
                  <a:rPr lang="en-US" sz="1400"/>
                  <a:t>  (mg/L)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Humidity Cells </a:t>
            </a:r>
            <a:r>
              <a:rPr lang="en-US" sz="1600" b="1" baseline="0"/>
              <a:t>Experiment - Nitrate Data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'MBMG Anions Only Day 7'!$U$49</c:f>
              <c:strCache>
                <c:ptCount val="1"/>
                <c:pt idx="0">
                  <c:v>Pre-treatment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'MBMG Anions Only Day 7'!$T$50:$T$56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7'!$U$50:$U$56</c:f>
              <c:numCache>
                <c:formatCode>General</c:formatCode>
                <c:ptCount val="7"/>
                <c:pt idx="0">
                  <c:v>0.66600000000000004</c:v>
                </c:pt>
                <c:pt idx="1">
                  <c:v>0.42799999999999999</c:v>
                </c:pt>
                <c:pt idx="2">
                  <c:v>5.2999999999999999E-2</c:v>
                </c:pt>
                <c:pt idx="3">
                  <c:v>0.63</c:v>
                </c:pt>
                <c:pt idx="4">
                  <c:v>1.29</c:v>
                </c:pt>
                <c:pt idx="5">
                  <c:v>0.156</c:v>
                </c:pt>
                <c:pt idx="6">
                  <c:v>0.47399999999999998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1-4E96-A5B2-5DD6D89B9E89}"/>
            </c:ext>
          </c:extLst>
        </c:ser>
        <c:ser>
          <c:idx val="1"/>
          <c:order val="1"/>
          <c:tx>
            <c:strRef>
              <c:f>'MBMG Anions Only Day 7'!$V$49</c:f>
              <c:strCache>
                <c:ptCount val="1"/>
                <c:pt idx="0">
                  <c:v>Post-treatment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'MBMG Anions Only Day 7'!$T$50:$T$56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7'!$V$50:$V$56</c:f>
              <c:numCache>
                <c:formatCode>General</c:formatCode>
                <c:ptCount val="7"/>
                <c:pt idx="0">
                  <c:v>1.03</c:v>
                </c:pt>
                <c:pt idx="1">
                  <c:v>1.5</c:v>
                </c:pt>
                <c:pt idx="2">
                  <c:v>1.06</c:v>
                </c:pt>
                <c:pt idx="3">
                  <c:v>0.22800000000000001</c:v>
                </c:pt>
                <c:pt idx="4">
                  <c:v>2.14</c:v>
                </c:pt>
                <c:pt idx="5">
                  <c:v>0.753</c:v>
                </c:pt>
                <c:pt idx="6">
                  <c:v>0.34899999999999998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01-4E96-A5B2-5DD6D89B9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693738568"/>
        <c:axId val="693740208"/>
      </c:barChart>
      <c:catAx>
        <c:axId val="693738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Sample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0"/>
        <c:auto val="1"/>
        <c:lblAlgn val="ctr"/>
        <c:lblOffset val="100"/>
        <c:noMultiLvlLbl val="0"/>
      </c:catAx>
      <c:valAx>
        <c:axId val="693740208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NO</a:t>
                </a:r>
                <a:r>
                  <a:rPr lang="en-US" sz="1400" baseline="-25000"/>
                  <a:t>3</a:t>
                </a:r>
                <a:r>
                  <a:rPr lang="en-US" sz="1400"/>
                  <a:t> </a:t>
                </a:r>
                <a:r>
                  <a:rPr lang="en-US" sz="1400" baseline="30000"/>
                  <a:t>-</a:t>
                </a:r>
                <a:r>
                  <a:rPr lang="en-US" sz="1400"/>
                  <a:t>  (mg/L)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Humidity Cells </a:t>
            </a:r>
            <a:r>
              <a:rPr lang="en-US" sz="1600" b="1" baseline="0"/>
              <a:t>Experiment - Phosphate Data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'MBMG Anions Only Day 7'!$U$60</c:f>
              <c:strCache>
                <c:ptCount val="1"/>
                <c:pt idx="0">
                  <c:v>Pre-treatment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'MBMG Anions Only Day 7'!$T$61:$T$67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7'!$U$61:$U$67</c:f>
              <c:numCache>
                <c:formatCode>General</c:formatCode>
                <c:ptCount val="7"/>
                <c:pt idx="0">
                  <c:v>0.30399999999999999</c:v>
                </c:pt>
                <c:pt idx="1">
                  <c:v>0.13300000000000001</c:v>
                </c:pt>
                <c:pt idx="2">
                  <c:v>0.157</c:v>
                </c:pt>
                <c:pt idx="3">
                  <c:v>3.86</c:v>
                </c:pt>
                <c:pt idx="4">
                  <c:v>0.438</c:v>
                </c:pt>
                <c:pt idx="5">
                  <c:v>0.19500000000000001</c:v>
                </c:pt>
                <c:pt idx="6">
                  <c:v>0.127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F-4AEA-B23F-A299DE68BD93}"/>
            </c:ext>
          </c:extLst>
        </c:ser>
        <c:ser>
          <c:idx val="1"/>
          <c:order val="1"/>
          <c:tx>
            <c:strRef>
              <c:f>'MBMG Anions Only Day 7'!$V$60</c:f>
              <c:strCache>
                <c:ptCount val="1"/>
                <c:pt idx="0">
                  <c:v>Post-treatment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'MBMG Anions Only Day 7'!$T$61:$T$67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7'!$V$61:$V$67</c:f>
              <c:numCache>
                <c:formatCode>General</c:formatCode>
                <c:ptCount val="7"/>
                <c:pt idx="0">
                  <c:v>2.4E-2</c:v>
                </c:pt>
                <c:pt idx="1">
                  <c:v>0</c:v>
                </c:pt>
                <c:pt idx="2">
                  <c:v>0</c:v>
                </c:pt>
                <c:pt idx="3">
                  <c:v>0.13400000000000001</c:v>
                </c:pt>
                <c:pt idx="4">
                  <c:v>2.8000000000000001E-2</c:v>
                </c:pt>
                <c:pt idx="5">
                  <c:v>2.9000000000000001E-2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BF-4AEA-B23F-A299DE68B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693738568"/>
        <c:axId val="693740208"/>
      </c:barChart>
      <c:lineChart>
        <c:grouping val="standard"/>
        <c:varyColors val="0"/>
        <c:ser>
          <c:idx val="2"/>
          <c:order val="2"/>
          <c:tx>
            <c:strRef>
              <c:f>'MBMG Anions Only Day 7'!$W$60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'MBMG Anions Only Day 7'!$T$61:$T$67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7'!$W$61:$W$67</c:f>
              <c:numCache>
                <c:formatCode>General</c:formatCode>
                <c:ptCount val="7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3-4EE7-9C22-615CB9352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738568"/>
        <c:axId val="693740208"/>
      </c:lineChart>
      <c:catAx>
        <c:axId val="693738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Sample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0"/>
        <c:auto val="1"/>
        <c:lblAlgn val="ctr"/>
        <c:lblOffset val="100"/>
        <c:noMultiLvlLbl val="0"/>
      </c:catAx>
      <c:valAx>
        <c:axId val="693740208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PO</a:t>
                </a:r>
                <a:r>
                  <a:rPr lang="en-US" sz="1400" baseline="-25000"/>
                  <a:t>4</a:t>
                </a:r>
                <a:r>
                  <a:rPr lang="en-US" sz="1400" baseline="30000"/>
                  <a:t>3-</a:t>
                </a:r>
                <a:r>
                  <a:rPr lang="en-US" sz="1400"/>
                  <a:t>  (mg/L)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Humidity Cells </a:t>
            </a:r>
            <a:r>
              <a:rPr lang="en-US" sz="1600" b="1" baseline="0"/>
              <a:t>Experiment - Sulfate Data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'MBMG Anions Only Day 7'!$U$71</c:f>
              <c:strCache>
                <c:ptCount val="1"/>
                <c:pt idx="0">
                  <c:v>Pre-treatment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'MBMG Anions Only Day 7'!$T$72:$T$78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7'!$U$72:$U$78</c:f>
              <c:numCache>
                <c:formatCode>General</c:formatCode>
                <c:ptCount val="7"/>
                <c:pt idx="0">
                  <c:v>28.5</c:v>
                </c:pt>
                <c:pt idx="1">
                  <c:v>54.63</c:v>
                </c:pt>
                <c:pt idx="2">
                  <c:v>29</c:v>
                </c:pt>
                <c:pt idx="3">
                  <c:v>317</c:v>
                </c:pt>
                <c:pt idx="4">
                  <c:v>103</c:v>
                </c:pt>
                <c:pt idx="5">
                  <c:v>322.8</c:v>
                </c:pt>
                <c:pt idx="6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F-4D29-B763-A794461E574D}"/>
            </c:ext>
          </c:extLst>
        </c:ser>
        <c:ser>
          <c:idx val="1"/>
          <c:order val="1"/>
          <c:tx>
            <c:strRef>
              <c:f>'MBMG Anions Only Day 7'!$V$71</c:f>
              <c:strCache>
                <c:ptCount val="1"/>
                <c:pt idx="0">
                  <c:v>Post-treatment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'MBMG Anions Only Day 7'!$T$72:$T$78</c:f>
              <c:strCache>
                <c:ptCount val="7"/>
                <c:pt idx="0">
                  <c:v>S1A</c:v>
                </c:pt>
                <c:pt idx="1">
                  <c:v>S1B</c:v>
                </c:pt>
                <c:pt idx="2">
                  <c:v>S2</c:v>
                </c:pt>
                <c:pt idx="3">
                  <c:v>S3</c:v>
                </c:pt>
                <c:pt idx="4">
                  <c:v>S4A</c:v>
                </c:pt>
                <c:pt idx="5">
                  <c:v>S4B</c:v>
                </c:pt>
                <c:pt idx="6">
                  <c:v>S5</c:v>
                </c:pt>
              </c:strCache>
            </c:strRef>
          </c:cat>
          <c:val>
            <c:numRef>
              <c:f>'MBMG Anions Only Day 7'!$V$72:$V$78</c:f>
              <c:numCache>
                <c:formatCode>General</c:formatCode>
                <c:ptCount val="7"/>
                <c:pt idx="0">
                  <c:v>83.14</c:v>
                </c:pt>
                <c:pt idx="1">
                  <c:v>54.87</c:v>
                </c:pt>
                <c:pt idx="2">
                  <c:v>31.86</c:v>
                </c:pt>
                <c:pt idx="3">
                  <c:v>559</c:v>
                </c:pt>
                <c:pt idx="4">
                  <c:v>2226</c:v>
                </c:pt>
                <c:pt idx="5">
                  <c:v>551.6</c:v>
                </c:pt>
                <c:pt idx="6">
                  <c:v>111.6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F-4D29-B763-A794461E5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693738568"/>
        <c:axId val="693740208"/>
      </c:barChart>
      <c:catAx>
        <c:axId val="693738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Sample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0"/>
        <c:auto val="1"/>
        <c:lblAlgn val="ctr"/>
        <c:lblOffset val="100"/>
        <c:noMultiLvlLbl val="0"/>
      </c:catAx>
      <c:valAx>
        <c:axId val="693740208"/>
        <c:scaling>
          <c:logBase val="10"/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SO</a:t>
                </a:r>
                <a:r>
                  <a:rPr lang="en-US" sz="1400" baseline="-25000"/>
                  <a:t>4</a:t>
                </a:r>
                <a:r>
                  <a:rPr lang="en-US" sz="1400" baseline="30000"/>
                  <a:t>2-</a:t>
                </a:r>
                <a:r>
                  <a:rPr lang="en-US" sz="1400"/>
                  <a:t>  (mg/L)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Humidity</a:t>
            </a:r>
            <a:r>
              <a:rPr lang="en-US" sz="1600" b="1" baseline="0"/>
              <a:t> Cells Experiment - </a:t>
            </a:r>
            <a:r>
              <a:rPr lang="en-US" sz="1600" b="1" i="0" u="none" strike="noStrike" baseline="0">
                <a:effectLst/>
              </a:rPr>
              <a:t>S4A </a:t>
            </a:r>
            <a:r>
              <a:rPr lang="en-US" sz="1600" b="1" baseline="0"/>
              <a:t>Leachate Mass Data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'Leachate Weight'!$W$3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'Leachate Weight'!$X$3:$AB$3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'Leachate Weight'!$X$8:$AB$8</c:f>
              <c:numCache>
                <c:formatCode>General</c:formatCode>
                <c:ptCount val="5"/>
                <c:pt idx="0">
                  <c:v>121.65</c:v>
                </c:pt>
                <c:pt idx="1">
                  <c:v>485.97999999999996</c:v>
                </c:pt>
                <c:pt idx="3">
                  <c:v>481.32</c:v>
                </c:pt>
                <c:pt idx="4">
                  <c:v>488.07999999999993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92-4CBE-B9BD-DC8C3907C88F}"/>
            </c:ext>
          </c:extLst>
        </c:ser>
        <c:ser>
          <c:idx val="1"/>
          <c:order val="1"/>
          <c:tx>
            <c:strRef>
              <c:f>'Leachate Weight'!$W$12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'Leachate Weight'!$X$12:$AB$12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'Leachate Weight'!$X$17:$AB$17</c:f>
              <c:numCache>
                <c:formatCode>General</c:formatCode>
                <c:ptCount val="5"/>
                <c:pt idx="0">
                  <c:v>218.60000000000008</c:v>
                </c:pt>
                <c:pt idx="1">
                  <c:v>241.47000000000003</c:v>
                </c:pt>
                <c:pt idx="2">
                  <c:v>159.02999999999997</c:v>
                </c:pt>
                <c:pt idx="3">
                  <c:v>132.58000000000004</c:v>
                </c:pt>
                <c:pt idx="4">
                  <c:v>53.629999999999995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92-4CBE-B9BD-DC8C3907C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Leachate Mass (g)</a:t>
                </a:r>
                <a:r>
                  <a:rPr lang="en-US" sz="1400" baseline="0"/>
                  <a:t> </a:t>
                </a:r>
                <a:endParaRPr 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S1A Arsenic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'Arsenic, As'!$V$3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'Arsenic, As'!$W$3:$AA$3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As'!$W$4:$AA$4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EFF-4344-ACB1-41865954495E}"/>
            </c:ext>
          </c:extLst>
        </c:ser>
        <c:ser>
          <c:idx val="1"/>
          <c:order val="1"/>
          <c:tx>
            <c:strRef>
              <c:f>'Arsenic, As'!$V$12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'Arsenic, As'!$W$12:$AA$12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As'!$W$13:$AA$13</c:f>
              <c:numCache>
                <c:formatCode>General</c:formatCode>
                <c:ptCount val="5"/>
                <c:pt idx="0">
                  <c:v>1.1299999999999999E-2</c:v>
                </c:pt>
                <c:pt idx="1">
                  <c:v>6.3400000000000001E-3</c:v>
                </c:pt>
                <c:pt idx="2">
                  <c:v>3.8999999999999998E-3</c:v>
                </c:pt>
                <c:pt idx="3">
                  <c:v>4.1200000000000004E-3</c:v>
                </c:pt>
                <c:pt idx="4">
                  <c:v>3.64E-3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EFF-4344-ACB1-41865954495E}"/>
            </c:ext>
          </c:extLst>
        </c:ser>
        <c:ser>
          <c:idx val="2"/>
          <c:order val="2"/>
          <c:tx>
            <c:strRef>
              <c:f>'Arsenic, As'!$V$27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'Arsenic, As'!$W$3:$AA$3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As'!$W$26:$AA$26</c:f>
              <c:numCache>
                <c:formatCode>0.0000</c:formatCode>
                <c:ptCount val="5"/>
                <c:pt idx="0">
                  <c:v>2E-3</c:v>
                </c:pt>
                <c:pt idx="1">
                  <c:v>2E-3</c:v>
                </c:pt>
                <c:pt idx="2">
                  <c:v>2E-3</c:v>
                </c:pt>
                <c:pt idx="3">
                  <c:v>2E-3</c:v>
                </c:pt>
                <c:pt idx="4">
                  <c:v>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D4-41F4-B2FE-9B9332F74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Aresnic, As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S1B Arsenic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'Arsenic, As'!$V$3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'Arsenic, As'!$W$3:$AA$3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As'!$W$5:$AA$5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DE-4461-84A7-CC8093F3B135}"/>
            </c:ext>
          </c:extLst>
        </c:ser>
        <c:ser>
          <c:idx val="1"/>
          <c:order val="1"/>
          <c:tx>
            <c:strRef>
              <c:f>'Arsenic, As'!$V$12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'Arsenic, As'!$W$12:$AA$12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As'!$W$14:$AA$14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1.41E-3</c:v>
                </c:pt>
                <c:pt idx="3">
                  <c:v>1.5299999999999999E-3</c:v>
                </c:pt>
                <c:pt idx="4">
                  <c:v>1.23E-3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DE-4461-84A7-CC8093F3B135}"/>
            </c:ext>
          </c:extLst>
        </c:ser>
        <c:ser>
          <c:idx val="2"/>
          <c:order val="2"/>
          <c:tx>
            <c:strRef>
              <c:f>'Arsenic, As'!$V$26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'Arsenic, As'!$W$3:$AA$3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('Arsenic, As'!$W$24,'Arsenic, As'!$X$26,'Arsenic, As'!$Y$27:$AA$27)</c:f>
              <c:numCache>
                <c:formatCode>0.0000</c:formatCode>
                <c:ptCount val="5"/>
                <c:pt idx="0">
                  <c:v>0.01</c:v>
                </c:pt>
                <c:pt idx="1">
                  <c:v>2E-3</c:v>
                </c:pt>
                <c:pt idx="2">
                  <c:v>2.0000000000000001E-4</c:v>
                </c:pt>
                <c:pt idx="3">
                  <c:v>2.0000000000000001E-4</c:v>
                </c:pt>
                <c:pt idx="4">
                  <c:v>2.0000000000000001E-4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84-44A8-8E14-738FD177E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0.1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Aresnic, As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S2 Arsenic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'Arsenic, As'!$V$3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'Arsenic, As'!$W$3:$AA$3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As'!$W$6:$AA$6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F0-4853-8959-EC279477F7D9}"/>
            </c:ext>
          </c:extLst>
        </c:ser>
        <c:ser>
          <c:idx val="1"/>
          <c:order val="1"/>
          <c:tx>
            <c:strRef>
              <c:f>'Arsenic, As'!$V$12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'Arsenic, As'!$W$12:$AA$12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As'!$W$15:$AA$15</c:f>
              <c:numCache>
                <c:formatCode>General</c:formatCode>
                <c:ptCount val="5"/>
                <c:pt idx="0">
                  <c:v>5.8799999999999998E-3</c:v>
                </c:pt>
                <c:pt idx="1">
                  <c:v>3.4499999999999999E-3</c:v>
                </c:pt>
                <c:pt idx="2">
                  <c:v>2.3800000000000002E-3</c:v>
                </c:pt>
                <c:pt idx="3">
                  <c:v>2.6900000000000001E-3</c:v>
                </c:pt>
                <c:pt idx="4">
                  <c:v>2.7100000000000002E-3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F0-4853-8959-EC279477F7D9}"/>
            </c:ext>
          </c:extLst>
        </c:ser>
        <c:ser>
          <c:idx val="2"/>
          <c:order val="2"/>
          <c:tx>
            <c:strRef>
              <c:f>'Arsenic, As'!$V$24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'Arsenic, As'!$W$3:$AA$3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As'!$W$26:$AA$26</c:f>
              <c:numCache>
                <c:formatCode>0.0000</c:formatCode>
                <c:ptCount val="5"/>
                <c:pt idx="0">
                  <c:v>2E-3</c:v>
                </c:pt>
                <c:pt idx="1">
                  <c:v>2E-3</c:v>
                </c:pt>
                <c:pt idx="2">
                  <c:v>2E-3</c:v>
                </c:pt>
                <c:pt idx="3">
                  <c:v>2E-3</c:v>
                </c:pt>
                <c:pt idx="4">
                  <c:v>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0D-44BF-B653-3FD62F03E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1.0000000000000002E-2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Aresnic, As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S3 Arsenic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'Arsenic, As'!$V$3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'Arsenic, As'!$W$3:$AA$3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As'!$W$7:$AA$7</c:f>
              <c:numCache>
                <c:formatCode>General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F9-4DD0-8BAF-19338B0C6E71}"/>
            </c:ext>
          </c:extLst>
        </c:ser>
        <c:ser>
          <c:idx val="1"/>
          <c:order val="1"/>
          <c:tx>
            <c:strRef>
              <c:f>'Arsenic, As'!$V$12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'Arsenic, As'!$W$12:$AA$12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As'!$W$16:$AA$16</c:f>
              <c:numCache>
                <c:formatCode>General</c:formatCode>
                <c:ptCount val="5"/>
                <c:pt idx="0">
                  <c:v>1.67E-2</c:v>
                </c:pt>
                <c:pt idx="1">
                  <c:v>1.9699999999999999E-2</c:v>
                </c:pt>
                <c:pt idx="2">
                  <c:v>1.9800000000000002E-2</c:v>
                </c:pt>
                <c:pt idx="3">
                  <c:v>2.8799999999999999E-2</c:v>
                </c:pt>
                <c:pt idx="4">
                  <c:v>3.9399999999999998E-2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F9-4DD0-8BAF-19338B0C6E71}"/>
            </c:ext>
          </c:extLst>
        </c:ser>
        <c:ser>
          <c:idx val="2"/>
          <c:order val="2"/>
          <c:tx>
            <c:strRef>
              <c:f>'Arsenic, As'!$V$28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'Arsenic, As'!$W$23:$AA$23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As'!$W$28:$AA$28</c:f>
              <c:numCache>
                <c:formatCode>0.0000</c:formatCode>
                <c:ptCount val="5"/>
                <c:pt idx="2">
                  <c:v>8.0000000000000002E-3</c:v>
                </c:pt>
                <c:pt idx="3">
                  <c:v>8.0000000000000002E-3</c:v>
                </c:pt>
                <c:pt idx="4">
                  <c:v>8.0000000000000002E-3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FB-4415-83A8-D62E77214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0.1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Aresnic, As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S4A Arsenic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'Arsenic, As'!$V$3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'Arsenic, As'!$W$3:$AA$3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As'!$W$8:$AA$8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D34-4942-891E-161BD1B36CF5}"/>
            </c:ext>
          </c:extLst>
        </c:ser>
        <c:ser>
          <c:idx val="1"/>
          <c:order val="1"/>
          <c:tx>
            <c:strRef>
              <c:f>'Arsenic, As'!$V$12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'Arsenic, As'!$W$12:$AA$12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As'!$W$17:$AA$17</c:f>
              <c:numCache>
                <c:formatCode>General</c:formatCode>
                <c:ptCount val="5"/>
                <c:pt idx="2">
                  <c:v>5.3499999999999997E-3</c:v>
                </c:pt>
                <c:pt idx="3">
                  <c:v>1.4E-2</c:v>
                </c:pt>
                <c:pt idx="4">
                  <c:v>2.0299999999999999E-2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D34-4942-891E-161BD1B36CF5}"/>
            </c:ext>
          </c:extLst>
        </c:ser>
        <c:ser>
          <c:idx val="2"/>
          <c:order val="2"/>
          <c:tx>
            <c:strRef>
              <c:f>'Arsenic, As'!$V$25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'Arsenic, As'!$W$23:$AA$23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As'!$W$25:$AA$25</c:f>
              <c:numCache>
                <c:formatCode>0.0000</c:formatCode>
                <c:ptCount val="5"/>
                <c:pt idx="0">
                  <c:v>4.0000000000000001E-3</c:v>
                </c:pt>
                <c:pt idx="1">
                  <c:v>4.0000000000000001E-3</c:v>
                </c:pt>
                <c:pt idx="2">
                  <c:v>4.0000000000000001E-3</c:v>
                </c:pt>
                <c:pt idx="3">
                  <c:v>4.0000000000000001E-3</c:v>
                </c:pt>
                <c:pt idx="4">
                  <c:v>4.0000000000000001E-3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85-421F-9F84-1F9282733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0.1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Aresnic, As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S4B Arsenic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'Arsenic, As'!$V$3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'Arsenic, As'!$W$3:$AA$3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As'!$W$9:$AA$9</c:f>
              <c:numCache>
                <c:formatCode>General</c:formatCode>
                <c:ptCount val="5"/>
                <c:pt idx="0">
                  <c:v>1.1999999999999999E-3</c:v>
                </c:pt>
                <c:pt idx="1">
                  <c:v>4.4000000000000002E-4</c:v>
                </c:pt>
                <c:pt idx="2">
                  <c:v>2.7799999999999998E-4</c:v>
                </c:pt>
                <c:pt idx="3">
                  <c:v>2.6499999999999999E-4</c:v>
                </c:pt>
                <c:pt idx="4">
                  <c:v>2.4600000000000002E-4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05-435D-BC91-DEE0ABB8E88A}"/>
            </c:ext>
          </c:extLst>
        </c:ser>
        <c:ser>
          <c:idx val="1"/>
          <c:order val="1"/>
          <c:tx>
            <c:strRef>
              <c:f>'Arsenic, As'!$V$12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'Arsenic, As'!$W$12:$AA$12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As'!$W$18:$AA$18</c:f>
              <c:numCache>
                <c:formatCode>General</c:formatCode>
                <c:ptCount val="5"/>
                <c:pt idx="0">
                  <c:v>1.6899999999999998E-2</c:v>
                </c:pt>
                <c:pt idx="1">
                  <c:v>1.2500000000000001E-2</c:v>
                </c:pt>
                <c:pt idx="2">
                  <c:v>1.32E-2</c:v>
                </c:pt>
                <c:pt idx="3">
                  <c:v>2.1600000000000001E-2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05-435D-BC91-DEE0ABB8E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0.1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Aresnic, As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S5 Arsenic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'Arsenic, As'!$V$3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'Arsenic, As'!$W$3:$AA$3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As'!$W$10:$AA$10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56-4827-9D4C-F05E980D5071}"/>
            </c:ext>
          </c:extLst>
        </c:ser>
        <c:ser>
          <c:idx val="1"/>
          <c:order val="1"/>
          <c:tx>
            <c:strRef>
              <c:f>'Arsenic, As'!$V$12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'Arsenic, As'!$W$12:$AA$12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'Arsenic, As'!$W$19:$AA$19</c:f>
              <c:numCache>
                <c:formatCode>General</c:formatCode>
                <c:ptCount val="5"/>
                <c:pt idx="0">
                  <c:v>0</c:v>
                </c:pt>
                <c:pt idx="1">
                  <c:v>5.0400000000000002E-3</c:v>
                </c:pt>
                <c:pt idx="2">
                  <c:v>2.97E-3</c:v>
                </c:pt>
                <c:pt idx="3">
                  <c:v>1.98E-3</c:v>
                </c:pt>
                <c:pt idx="4">
                  <c:v>1.56E-3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56-4827-9D4C-F05E980D5071}"/>
            </c:ext>
          </c:extLst>
        </c:ser>
        <c:ser>
          <c:idx val="2"/>
          <c:order val="2"/>
          <c:tx>
            <c:strRef>
              <c:f>'Arsenic, As'!$V$24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'Arsenic, As'!$W$23:$AA$23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('Arsenic, As'!$W$24,'Arsenic, As'!$X$27,'Arsenic, As'!$Y$26:$Z$26)</c:f>
              <c:numCache>
                <c:formatCode>0.0000</c:formatCode>
                <c:ptCount val="4"/>
                <c:pt idx="0">
                  <c:v>0.01</c:v>
                </c:pt>
                <c:pt idx="1">
                  <c:v>2.0000000000000001E-4</c:v>
                </c:pt>
                <c:pt idx="2">
                  <c:v>2E-3</c:v>
                </c:pt>
                <c:pt idx="3">
                  <c:v>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39-4320-A1E7-58A2A6258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1.0000000000000002E-2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Aresnic, As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S1A Cadmium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'Cadmium, Cd'!$W$4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'Cadmium, Cd'!$X$4:$AB$4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'Cadmium, Cd'!$X$5:$AB$5</c:f>
              <c:numCache>
                <c:formatCode>General</c:formatCode>
                <c:ptCount val="5"/>
                <c:pt idx="0">
                  <c:v>6.1000000000000004E-3</c:v>
                </c:pt>
                <c:pt idx="1">
                  <c:v>6.9300000000000004E-3</c:v>
                </c:pt>
                <c:pt idx="2">
                  <c:v>5.7999999999999996E-3</c:v>
                </c:pt>
                <c:pt idx="3">
                  <c:v>4.4000000000000003E-3</c:v>
                </c:pt>
                <c:pt idx="4">
                  <c:v>6.4000000000000003E-3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3A-410E-B8EC-2D78D90231B6}"/>
            </c:ext>
          </c:extLst>
        </c:ser>
        <c:ser>
          <c:idx val="1"/>
          <c:order val="1"/>
          <c:tx>
            <c:strRef>
              <c:f>'Cadmium, Cd'!$W$16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'Cadmium, Cd'!$X$16:$AB$16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'Cadmium, Cd'!$P$17:$T$17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3A-410E-B8EC-2D78D90231B6}"/>
            </c:ext>
          </c:extLst>
        </c:ser>
        <c:ser>
          <c:idx val="2"/>
          <c:order val="2"/>
          <c:tx>
            <c:strRef>
              <c:f>'Cadmium, Cd'!$W$28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'Cadmium, Cd'!$X$27:$AB$27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'Cadmium, Cd'!$X$30:$AB$30</c:f>
              <c:numCache>
                <c:formatCode>0.0000</c:formatCode>
                <c:ptCount val="5"/>
                <c:pt idx="0">
                  <c:v>2E-3</c:v>
                </c:pt>
                <c:pt idx="1">
                  <c:v>2E-3</c:v>
                </c:pt>
                <c:pt idx="2">
                  <c:v>2E-3</c:v>
                </c:pt>
                <c:pt idx="3">
                  <c:v>2E-3</c:v>
                </c:pt>
                <c:pt idx="4">
                  <c:v>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9B-47E5-BE14-7F7AA836D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1.0000000000000002E-2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Cadmium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S1B Cadmium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'Cadmium, Cd'!$W$4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'Cadmium, Cd'!$X$4:$AB$4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'Cadmium, Cd'!$X$6:$AB$6</c:f>
              <c:numCache>
                <c:formatCode>General</c:formatCode>
                <c:ptCount val="5"/>
                <c:pt idx="0">
                  <c:v>6.3699999999999998E-4</c:v>
                </c:pt>
                <c:pt idx="1">
                  <c:v>2.6899999999999998E-4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F9-4B06-83A2-2FDFBDBECB2B}"/>
            </c:ext>
          </c:extLst>
        </c:ser>
        <c:ser>
          <c:idx val="1"/>
          <c:order val="1"/>
          <c:tx>
            <c:strRef>
              <c:f>'Cadmium, Cd'!$W$16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'Cadmium, Cd'!$X$16:$AB$16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'Cadmium, Cd'!$P$17:$T$17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F9-4B06-83A2-2FDFBDBEC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1.0000000000000002E-3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Cadmium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S2 Cadmium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'Cadmium, Cd'!$W$4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'Cadmium, Cd'!$X$4:$AB$4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'Cadmium, Cd'!$X$7:$AB$7</c:f>
              <c:numCache>
                <c:formatCode>General</c:formatCode>
                <c:ptCount val="5"/>
                <c:pt idx="0">
                  <c:v>1.2800000000000001E-2</c:v>
                </c:pt>
                <c:pt idx="1">
                  <c:v>1.34E-2</c:v>
                </c:pt>
                <c:pt idx="2">
                  <c:v>1.1599999999999999E-2</c:v>
                </c:pt>
                <c:pt idx="3">
                  <c:v>1.0200000000000001E-2</c:v>
                </c:pt>
                <c:pt idx="4">
                  <c:v>8.8000000000000005E-3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59-4412-8960-8FAE11D4A48E}"/>
            </c:ext>
          </c:extLst>
        </c:ser>
        <c:ser>
          <c:idx val="1"/>
          <c:order val="1"/>
          <c:tx>
            <c:strRef>
              <c:f>'Cadmium, Cd'!$W$16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'Cadmium, Cd'!$X$16:$AB$16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'Cadmium, Cd'!$W$42:$AA$42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59-4412-8960-8FAE11D4A48E}"/>
            </c:ext>
          </c:extLst>
        </c:ser>
        <c:ser>
          <c:idx val="2"/>
          <c:order val="2"/>
          <c:tx>
            <c:strRef>
              <c:f>'Cadmium, Cd'!$W$28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'Cadmium, Cd'!$X$27:$AB$27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('Cadmium, Cd'!$P$21,'Cadmium, Cd'!$Y$34,'Cadmium, Cd'!$Z$33,'Cadmium, Cd'!$AA$31:$AB$31)</c:f>
              <c:numCache>
                <c:formatCode>0.0000</c:formatCode>
                <c:ptCount val="5"/>
                <c:pt idx="1">
                  <c:v>1E-3</c:v>
                </c:pt>
                <c:pt idx="2" formatCode="General">
                  <c:v>5.0000000000000001E-4</c:v>
                </c:pt>
                <c:pt idx="3">
                  <c:v>2.0000000000000001E-4</c:v>
                </c:pt>
                <c:pt idx="4">
                  <c:v>2.0000000000000001E-4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DD-4519-B8F0-151D467DC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0.1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Cadmium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Humidity</a:t>
            </a:r>
            <a:r>
              <a:rPr lang="en-US" sz="1600" b="1" baseline="0"/>
              <a:t> Cells Experiment - </a:t>
            </a:r>
            <a:r>
              <a:rPr lang="en-US" sz="1600" b="1" i="0" u="none" strike="noStrike" baseline="0">
                <a:effectLst/>
              </a:rPr>
              <a:t>S4B</a:t>
            </a:r>
            <a:r>
              <a:rPr lang="en-US" sz="1600" b="1" baseline="0"/>
              <a:t> Leachate Mass Data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'Leachate Weight'!$W$3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'Leachate Weight'!$X$3:$AB$3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'Leachate Weight'!$X$9:$AB$9</c:f>
              <c:numCache>
                <c:formatCode>General</c:formatCode>
                <c:ptCount val="5"/>
                <c:pt idx="0">
                  <c:v>38.42999999999995</c:v>
                </c:pt>
                <c:pt idx="1">
                  <c:v>404.66</c:v>
                </c:pt>
                <c:pt idx="2">
                  <c:v>499.56999999999994</c:v>
                </c:pt>
                <c:pt idx="3">
                  <c:v>496.12</c:v>
                </c:pt>
                <c:pt idx="4">
                  <c:v>430.80999999999995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7E-44A8-9E40-C1DB88466310}"/>
            </c:ext>
          </c:extLst>
        </c:ser>
        <c:ser>
          <c:idx val="1"/>
          <c:order val="1"/>
          <c:tx>
            <c:strRef>
              <c:f>'Leachate Weight'!$W$12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'Leachate Weight'!$X$12:$AB$12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'Leachate Weight'!$X$18:$AB$18</c:f>
              <c:numCache>
                <c:formatCode>General</c:formatCode>
                <c:ptCount val="5"/>
                <c:pt idx="0">
                  <c:v>232.14</c:v>
                </c:pt>
                <c:pt idx="1">
                  <c:v>86.420000000000016</c:v>
                </c:pt>
                <c:pt idx="2">
                  <c:v>170.81</c:v>
                </c:pt>
                <c:pt idx="3">
                  <c:v>30.800000000000011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7E-44A8-9E40-C1DB88466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Leachate Mass (g)</a:t>
                </a:r>
                <a:r>
                  <a:rPr lang="en-US" sz="1400" baseline="0"/>
                  <a:t> </a:t>
                </a:r>
                <a:endParaRPr 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S3 Cadmium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'Cadmium, Cd'!$W$4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'Cadmium, Cd'!$X$4:$AB$4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'Cadmium, Cd'!$X$8:$AB$8</c:f>
              <c:numCache>
                <c:formatCode>General</c:formatCode>
                <c:ptCount val="5"/>
                <c:pt idx="1">
                  <c:v>0.19</c:v>
                </c:pt>
                <c:pt idx="2">
                  <c:v>0.2064</c:v>
                </c:pt>
                <c:pt idx="3">
                  <c:v>0.224</c:v>
                </c:pt>
                <c:pt idx="4">
                  <c:v>0.20519999999999999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C5-4B55-ADC4-5F0F5E28FEDD}"/>
            </c:ext>
          </c:extLst>
        </c:ser>
        <c:ser>
          <c:idx val="1"/>
          <c:order val="1"/>
          <c:tx>
            <c:strRef>
              <c:f>'Cadmium, Cd'!$W$16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'Cadmium, Cd'!$X$16:$AB$16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'Cadmium, Cd'!$M$20:$Q$20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C5-4B55-ADC4-5F0F5E28FEDD}"/>
            </c:ext>
          </c:extLst>
        </c:ser>
        <c:ser>
          <c:idx val="2"/>
          <c:order val="2"/>
          <c:tx>
            <c:strRef>
              <c:f>'Cadmium, Cd'!$W$28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'Cadmium, Cd'!$X$27:$AB$27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('Cadmium, Cd'!$X$28:$Y$28,'Cadmium, Cd'!$Z$30,'Cadmium, Cd'!$AA$30,'Cadmium, Cd'!$AB$34)</c:f>
              <c:numCache>
                <c:formatCode>0.0000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2E-3</c:v>
                </c:pt>
                <c:pt idx="3">
                  <c:v>2E-3</c:v>
                </c:pt>
                <c:pt idx="4">
                  <c:v>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9A-46B9-8764-0276A2B6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1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Cadmium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S4A Cadmium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'Cadmium, Cd'!$W$4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'Cadmium, Cd'!$X$4:$AB$4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'Cadmium, Cd'!$X$9:$AB$9</c:f>
              <c:numCache>
                <c:formatCode>General</c:formatCode>
                <c:ptCount val="5"/>
                <c:pt idx="0">
                  <c:v>0.77</c:v>
                </c:pt>
                <c:pt idx="1">
                  <c:v>5.2400000000000002E-2</c:v>
                </c:pt>
                <c:pt idx="2">
                  <c:v>4.3799999999999999E-2</c:v>
                </c:pt>
                <c:pt idx="3">
                  <c:v>4.3799999999999999E-2</c:v>
                </c:pt>
                <c:pt idx="4">
                  <c:v>4.3799999999999999E-2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3B-4688-A902-B3ECFE1F1518}"/>
            </c:ext>
          </c:extLst>
        </c:ser>
        <c:ser>
          <c:idx val="1"/>
          <c:order val="1"/>
          <c:tx>
            <c:strRef>
              <c:f>'Cadmium, Cd'!$W$16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'Cadmium, Cd'!$X$16:$AB$16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'Cadmium, Cd'!$O$21:$S$21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3B-4688-A902-B3ECFE1F1518}"/>
            </c:ext>
          </c:extLst>
        </c:ser>
        <c:ser>
          <c:idx val="2"/>
          <c:order val="2"/>
          <c:tx>
            <c:strRef>
              <c:f>'Cadmium, Cd'!$W$28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'Cadmium, Cd'!$X$27:$AB$27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('Cadmium, Cd'!$X$28,'Cadmium, Cd'!$Y$28,'Cadmium, Cd'!$Z$30,'Cadmium, Cd'!$AA$34,'Cadmium, Cd'!$AB$34)</c:f>
              <c:numCache>
                <c:formatCode>0.0000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2E-3</c:v>
                </c:pt>
                <c:pt idx="3">
                  <c:v>1E-3</c:v>
                </c:pt>
                <c:pt idx="4">
                  <c:v>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DB-4492-A432-8375CD93D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1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Cadmium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S4B Cadmium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'Cadmium, Cd'!$W$4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'Cadmium, Cd'!$X$4:$AB$4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'Cadmium, Cd'!$X$10:$AB$10</c:f>
              <c:numCache>
                <c:formatCode>General</c:formatCode>
                <c:ptCount val="5"/>
                <c:pt idx="0">
                  <c:v>3.3599999999999998E-2</c:v>
                </c:pt>
                <c:pt idx="1">
                  <c:v>8.0600000000000005E-2</c:v>
                </c:pt>
                <c:pt idx="2">
                  <c:v>6.3299999999999995E-2</c:v>
                </c:pt>
                <c:pt idx="3">
                  <c:v>5.2299999999999999E-2</c:v>
                </c:pt>
                <c:pt idx="4">
                  <c:v>5.2200000000000003E-2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82-4ABD-B003-C08575443DB2}"/>
            </c:ext>
          </c:extLst>
        </c:ser>
        <c:ser>
          <c:idx val="1"/>
          <c:order val="1"/>
          <c:tx>
            <c:strRef>
              <c:f>'Cadmium, Cd'!$W$16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'Cadmium, Cd'!$X$16:$AB$16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'Cadmium, Cd'!$N$19:$R$19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82-4ABD-B003-C08575443DB2}"/>
            </c:ext>
          </c:extLst>
        </c:ser>
        <c:ser>
          <c:idx val="2"/>
          <c:order val="2"/>
          <c:tx>
            <c:strRef>
              <c:f>'Cadmium, Cd'!$W$28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'Cadmium, Cd'!$X$27:$AB$27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('Cadmium, Cd'!$X$28,'Cadmium, Cd'!$Y$30,'Cadmium, Cd'!$Z$30,'Cadmium, Cd'!$AA$33,'Cadmium, Cd'!$AB$33)</c:f>
              <c:numCache>
                <c:formatCode>0.0000</c:formatCode>
                <c:ptCount val="5"/>
                <c:pt idx="0">
                  <c:v>0.01</c:v>
                </c:pt>
                <c:pt idx="1">
                  <c:v>2E-3</c:v>
                </c:pt>
                <c:pt idx="2">
                  <c:v>2E-3</c:v>
                </c:pt>
                <c:pt idx="3" formatCode="General">
                  <c:v>5.0000000000000001E-4</c:v>
                </c:pt>
                <c:pt idx="4" formatCode="General">
                  <c:v>5.0000000000000001E-4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38-4D08-8581-7D24C8637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0.1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Cadmium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S5 Cadmium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'Cadmium, Cd'!$W$4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'Cadmium, Cd'!$X$4:$AB$4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'Cadmium, Cd'!$X$11:$AB$11</c:f>
              <c:numCache>
                <c:formatCode>General</c:formatCode>
                <c:ptCount val="5"/>
                <c:pt idx="0">
                  <c:v>9.3799999999999994E-2</c:v>
                </c:pt>
                <c:pt idx="1">
                  <c:v>6.6600000000000006E-2</c:v>
                </c:pt>
                <c:pt idx="2">
                  <c:v>6.4399999999999999E-2</c:v>
                </c:pt>
                <c:pt idx="3">
                  <c:v>5.9200000000000003E-2</c:v>
                </c:pt>
                <c:pt idx="4">
                  <c:v>4.1799999999999997E-2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13-4A04-8CA7-BC70DB32F68C}"/>
            </c:ext>
          </c:extLst>
        </c:ser>
        <c:ser>
          <c:idx val="1"/>
          <c:order val="1"/>
          <c:tx>
            <c:strRef>
              <c:f>'Cadmium, Cd'!$W$16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'Cadmium, Cd'!$X$16:$AB$16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'Cadmium, Cd'!$L$20:$P$20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13-4A04-8CA7-BC70DB32F68C}"/>
            </c:ext>
          </c:extLst>
        </c:ser>
        <c:ser>
          <c:idx val="2"/>
          <c:order val="2"/>
          <c:tx>
            <c:strRef>
              <c:f>'Cadmium, Cd'!$W$28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'Cadmium, Cd'!$X$27:$AB$27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('Cadmium, Cd'!$X$28,'Cadmium, Cd'!$Y$30,'Cadmium, Cd'!$Z$30,'Cadmium, Cd'!$AA$34,'Cadmium, Cd'!$AB$33)</c:f>
              <c:numCache>
                <c:formatCode>0.0000</c:formatCode>
                <c:ptCount val="5"/>
                <c:pt idx="0">
                  <c:v>0.01</c:v>
                </c:pt>
                <c:pt idx="1">
                  <c:v>2E-3</c:v>
                </c:pt>
                <c:pt idx="2">
                  <c:v>2E-3</c:v>
                </c:pt>
                <c:pt idx="3">
                  <c:v>1E-3</c:v>
                </c:pt>
                <c:pt idx="4" formatCode="General">
                  <c:v>5.0000000000000001E-4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D6-4B6F-B117-BF45321D3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0.1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Cadmium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S1A Copper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'Copper, Cu'!$U$4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'Copper, Cu'!$V$4:$Z$4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'Copper, Cu'!$V$5:$Z$5</c:f>
              <c:numCache>
                <c:formatCode>General</c:formatCode>
                <c:ptCount val="5"/>
                <c:pt idx="0">
                  <c:v>1.4830000000000001</c:v>
                </c:pt>
                <c:pt idx="1">
                  <c:v>1.06</c:v>
                </c:pt>
                <c:pt idx="2">
                  <c:v>1.1120000000000001</c:v>
                </c:pt>
                <c:pt idx="3">
                  <c:v>1.0029999999999999</c:v>
                </c:pt>
                <c:pt idx="4">
                  <c:v>1.2889999999999999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0A-45EA-AA68-CAAE8027AA54}"/>
            </c:ext>
          </c:extLst>
        </c:ser>
        <c:ser>
          <c:idx val="1"/>
          <c:order val="1"/>
          <c:tx>
            <c:strRef>
              <c:f>'Copper, Cu'!$U$16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'Copper, Cu'!$V$16:$Z$16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'Copper, Cu'!$V$17:$Z$17</c:f>
              <c:numCache>
                <c:formatCode>General</c:formatCode>
                <c:ptCount val="5"/>
                <c:pt idx="0">
                  <c:v>0.99099999999999999</c:v>
                </c:pt>
                <c:pt idx="1">
                  <c:v>0.35399999999999998</c:v>
                </c:pt>
                <c:pt idx="2">
                  <c:v>0.14499999999999999</c:v>
                </c:pt>
                <c:pt idx="3">
                  <c:v>0.104</c:v>
                </c:pt>
                <c:pt idx="4">
                  <c:v>5.6300000000000003E-2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80A-45EA-AA68-CAAE8027A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Copper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S1B Copper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'Copper, Cu'!$U$4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'Copper, Cu'!$V$4:$Z$4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'Copper, Cu'!$V$6:$Z$6</c:f>
              <c:numCache>
                <c:formatCode>General</c:formatCode>
                <c:ptCount val="5"/>
                <c:pt idx="0">
                  <c:v>2.2100000000000002E-2</c:v>
                </c:pt>
                <c:pt idx="1">
                  <c:v>3.31E-3</c:v>
                </c:pt>
                <c:pt idx="2">
                  <c:v>2.0600000000000002E-3</c:v>
                </c:pt>
                <c:pt idx="3">
                  <c:v>2.1700000000000001E-3</c:v>
                </c:pt>
                <c:pt idx="4">
                  <c:v>4.2100000000000002E-3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F8-4340-B0FC-EF81307F1AB9}"/>
            </c:ext>
          </c:extLst>
        </c:ser>
        <c:ser>
          <c:idx val="1"/>
          <c:order val="1"/>
          <c:tx>
            <c:strRef>
              <c:f>'Copper, Cu'!$U$16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'Copper, Cu'!$V$16:$Z$16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'Copper, Cu'!$V$18:$Z$18</c:f>
              <c:numCache>
                <c:formatCode>General</c:formatCode>
                <c:ptCount val="5"/>
                <c:pt idx="0">
                  <c:v>11.2</c:v>
                </c:pt>
                <c:pt idx="1">
                  <c:v>3.81</c:v>
                </c:pt>
                <c:pt idx="2">
                  <c:v>1.2549999999999999</c:v>
                </c:pt>
                <c:pt idx="3">
                  <c:v>0.90400000000000003</c:v>
                </c:pt>
                <c:pt idx="4">
                  <c:v>0.32300000000000001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F8-4340-B0FC-EF81307F1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100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Copper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S2 Copper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'Copper, Cu'!$U$4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'Copper, Cu'!$V$4:$Z$4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'Copper, Cu'!$V$7:$Z$7</c:f>
              <c:numCache>
                <c:formatCode>General</c:formatCode>
                <c:ptCount val="5"/>
                <c:pt idx="0">
                  <c:v>0.24729999999999999</c:v>
                </c:pt>
                <c:pt idx="1">
                  <c:v>0.17799999999999999</c:v>
                </c:pt>
                <c:pt idx="2">
                  <c:v>0.1371</c:v>
                </c:pt>
                <c:pt idx="3">
                  <c:v>0.14699999999999999</c:v>
                </c:pt>
                <c:pt idx="4">
                  <c:v>0.11650000000000001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B9-4541-A419-AE64DDFA35AE}"/>
            </c:ext>
          </c:extLst>
        </c:ser>
        <c:ser>
          <c:idx val="1"/>
          <c:order val="1"/>
          <c:tx>
            <c:strRef>
              <c:f>'Copper, Cu'!$U$16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'Copper, Cu'!$V$16:$Z$16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'Copper, Cu'!$V$19:$Z$19</c:f>
              <c:numCache>
                <c:formatCode>General</c:formatCode>
                <c:ptCount val="5"/>
                <c:pt idx="0">
                  <c:v>33.1</c:v>
                </c:pt>
                <c:pt idx="1">
                  <c:v>6.74</c:v>
                </c:pt>
                <c:pt idx="2">
                  <c:v>2.5409999999999999</c:v>
                </c:pt>
                <c:pt idx="3">
                  <c:v>1.62</c:v>
                </c:pt>
                <c:pt idx="4">
                  <c:v>0.93300000000000005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B9-4541-A419-AE64DDFA3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Copper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S3 Copper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'Copper, Cu'!$U$4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'Copper, Cu'!$V$4:$Z$4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'Copper, Cu'!$V$8:$Z$8</c:f>
              <c:numCache>
                <c:formatCode>General</c:formatCode>
                <c:ptCount val="5"/>
                <c:pt idx="0">
                  <c:v>0</c:v>
                </c:pt>
                <c:pt idx="1">
                  <c:v>1.1299999999999999</c:v>
                </c:pt>
                <c:pt idx="2">
                  <c:v>1.3268</c:v>
                </c:pt>
                <c:pt idx="3">
                  <c:v>1.4292</c:v>
                </c:pt>
                <c:pt idx="4">
                  <c:v>1.2747999999999999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95-4CB8-B038-D3C3AC59288F}"/>
            </c:ext>
          </c:extLst>
        </c:ser>
        <c:ser>
          <c:idx val="1"/>
          <c:order val="1"/>
          <c:tx>
            <c:strRef>
              <c:f>'Copper, Cu'!$U$16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'Copper, Cu'!$V$16:$Z$16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'Copper, Cu'!$V$20:$Z$20</c:f>
              <c:numCache>
                <c:formatCode>General</c:formatCode>
                <c:ptCount val="5"/>
                <c:pt idx="0">
                  <c:v>0.47</c:v>
                </c:pt>
                <c:pt idx="1">
                  <c:v>0.36</c:v>
                </c:pt>
                <c:pt idx="2">
                  <c:v>0.20200000000000001</c:v>
                </c:pt>
                <c:pt idx="3">
                  <c:v>0.182</c:v>
                </c:pt>
                <c:pt idx="4">
                  <c:v>0.16400000000000001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95-4CB8-B038-D3C3AC592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Copper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S4A Copper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'Copper, Cu'!$U$4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'Copper, Cu'!$V$4:$Z$4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'Copper, Cu'!$V$9:$Z$9</c:f>
              <c:numCache>
                <c:formatCode>General</c:formatCode>
                <c:ptCount val="5"/>
                <c:pt idx="0">
                  <c:v>1.0109999999999999</c:v>
                </c:pt>
                <c:pt idx="1">
                  <c:v>2.0600000000000002E-3</c:v>
                </c:pt>
                <c:pt idx="2">
                  <c:v>0.52839999999999998</c:v>
                </c:pt>
                <c:pt idx="3">
                  <c:v>0.52180000000000004</c:v>
                </c:pt>
                <c:pt idx="4">
                  <c:v>0.50780000000000003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CB-428B-B61F-9C49711E46FB}"/>
            </c:ext>
          </c:extLst>
        </c:ser>
        <c:ser>
          <c:idx val="1"/>
          <c:order val="1"/>
          <c:tx>
            <c:strRef>
              <c:f>'Copper, Cu'!$U$16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'Copper, Cu'!$V$16:$Z$16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'Copper, Cu'!$V$21:$Z$21</c:f>
              <c:numCache>
                <c:formatCode>General</c:formatCode>
                <c:ptCount val="5"/>
                <c:pt idx="0">
                  <c:v>0.95299999999999996</c:v>
                </c:pt>
                <c:pt idx="1">
                  <c:v>0.50700000000000001</c:v>
                </c:pt>
                <c:pt idx="2">
                  <c:v>0.28399999999999997</c:v>
                </c:pt>
                <c:pt idx="3">
                  <c:v>0.28199999999999997</c:v>
                </c:pt>
                <c:pt idx="4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CB-428B-B61F-9C49711E4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1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Copper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S4B Copper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'Copper, Cu'!$U$4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'Copper, Cu'!$V$4:$Z$4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'Copper, Cu'!$V$10:$Z$10</c:f>
              <c:numCache>
                <c:formatCode>General</c:formatCode>
                <c:ptCount val="5"/>
                <c:pt idx="0">
                  <c:v>0.40300000000000002</c:v>
                </c:pt>
                <c:pt idx="1">
                  <c:v>0.80300000000000005</c:v>
                </c:pt>
                <c:pt idx="2">
                  <c:v>0.52</c:v>
                </c:pt>
                <c:pt idx="3">
                  <c:v>0.498</c:v>
                </c:pt>
                <c:pt idx="4">
                  <c:v>1.46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7B-4205-B078-795DAE964C01}"/>
            </c:ext>
          </c:extLst>
        </c:ser>
        <c:ser>
          <c:idx val="1"/>
          <c:order val="1"/>
          <c:tx>
            <c:strRef>
              <c:f>'Copper, Cu'!$U$16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'Copper, Cu'!$V$16:$Z$16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'Copper, Cu'!$V$22:$Z$22</c:f>
              <c:numCache>
                <c:formatCode>General</c:formatCode>
                <c:ptCount val="5"/>
                <c:pt idx="0">
                  <c:v>0.498</c:v>
                </c:pt>
                <c:pt idx="1">
                  <c:v>3.22</c:v>
                </c:pt>
                <c:pt idx="2">
                  <c:v>0.32500000000000001</c:v>
                </c:pt>
                <c:pt idx="3">
                  <c:v>0.23499999999999999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7B-4205-B078-795DAE964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10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Copper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Humidity</a:t>
            </a:r>
            <a:r>
              <a:rPr lang="en-US" sz="1600" b="1" baseline="0"/>
              <a:t> Cells Experiment - </a:t>
            </a:r>
            <a:r>
              <a:rPr lang="en-US" sz="1600" b="1" i="0" u="none" strike="noStrike" baseline="0">
                <a:effectLst/>
              </a:rPr>
              <a:t>S5 </a:t>
            </a:r>
            <a:r>
              <a:rPr lang="en-US" sz="1600" b="1" baseline="0"/>
              <a:t>Leachate Mass Data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'Leachate Weight'!$W$3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'Leachate Weight'!$X$3:$AB$3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'Leachate Weight'!$X$10:$AB$10</c:f>
              <c:numCache>
                <c:formatCode>General</c:formatCode>
                <c:ptCount val="5"/>
                <c:pt idx="0">
                  <c:v>235.27</c:v>
                </c:pt>
                <c:pt idx="1">
                  <c:v>484.03</c:v>
                </c:pt>
                <c:pt idx="3">
                  <c:v>333.49999999999994</c:v>
                </c:pt>
                <c:pt idx="4">
                  <c:v>492.72999999999996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77-47A9-A2B2-AB17D78A37C6}"/>
            </c:ext>
          </c:extLst>
        </c:ser>
        <c:ser>
          <c:idx val="1"/>
          <c:order val="1"/>
          <c:tx>
            <c:strRef>
              <c:f>'Leachate Weight'!$W$12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'Leachate Weight'!$X$12:$AB$12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'Leachate Weight'!$X$19:$AB$19</c:f>
              <c:numCache>
                <c:formatCode>General</c:formatCode>
                <c:ptCount val="5"/>
                <c:pt idx="0">
                  <c:v>228.5</c:v>
                </c:pt>
                <c:pt idx="1">
                  <c:v>243.18000000000006</c:v>
                </c:pt>
                <c:pt idx="2">
                  <c:v>246.41000000000003</c:v>
                </c:pt>
                <c:pt idx="3">
                  <c:v>243.75000000000006</c:v>
                </c:pt>
                <c:pt idx="4">
                  <c:v>242.64999999999998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77-47A9-A2B2-AB17D78A3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Leachate Mass (g)</a:t>
                </a:r>
                <a:r>
                  <a:rPr lang="en-US" sz="1400" baseline="0"/>
                  <a:t> </a:t>
                </a:r>
                <a:endParaRPr 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S5 Copper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'Copper, Cu'!$U$4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'Copper, Cu'!$V$4:$Z$4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'Copper, Cu'!$V$11:$Z$11</c:f>
              <c:numCache>
                <c:formatCode>General</c:formatCode>
                <c:ptCount val="5"/>
                <c:pt idx="0">
                  <c:v>5.8999999999999999E-3</c:v>
                </c:pt>
                <c:pt idx="1">
                  <c:v>0</c:v>
                </c:pt>
                <c:pt idx="2">
                  <c:v>4.1000000000000003E-3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94-4A50-AD61-47B0A189BADB}"/>
            </c:ext>
          </c:extLst>
        </c:ser>
        <c:ser>
          <c:idx val="1"/>
          <c:order val="1"/>
          <c:tx>
            <c:strRef>
              <c:f>'Copper, Cu'!$U$16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'Copper, Cu'!$V$16:$Z$16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'Copper, Cu'!$V$23:$Z$23</c:f>
              <c:numCache>
                <c:formatCode>General</c:formatCode>
                <c:ptCount val="5"/>
                <c:pt idx="0">
                  <c:v>0.22</c:v>
                </c:pt>
                <c:pt idx="1">
                  <c:v>0.745</c:v>
                </c:pt>
                <c:pt idx="2">
                  <c:v>0.189</c:v>
                </c:pt>
                <c:pt idx="3">
                  <c:v>4.5600000000000002E-2</c:v>
                </c:pt>
                <c:pt idx="4">
                  <c:v>3.2500000000000001E-2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94-4A50-AD61-47B0A189BADB}"/>
            </c:ext>
          </c:extLst>
        </c:ser>
        <c:ser>
          <c:idx val="2"/>
          <c:order val="2"/>
          <c:tx>
            <c:strRef>
              <c:f>'Copper, Cu'!$U$27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'Copper, Cu'!$V$26:$Z$26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'Copper, Cu'!$V$34:$Z$34</c:f>
              <c:numCache>
                <c:formatCode>0.0000</c:formatCode>
                <c:ptCount val="5"/>
                <c:pt idx="0">
                  <c:v>2.5000000000000001E-3</c:v>
                </c:pt>
                <c:pt idx="1">
                  <c:v>2.5000000000000001E-3</c:v>
                </c:pt>
                <c:pt idx="2">
                  <c:v>2.5000000000000001E-3</c:v>
                </c:pt>
                <c:pt idx="3">
                  <c:v>2.5000000000000001E-3</c:v>
                </c:pt>
                <c:pt idx="4">
                  <c:v>2.5000000000000001E-3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DE-4A9E-9F60-BFBC14FA0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1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Copper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S1A Lead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'Lead, Pb'!$V$4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'Lead, Pb'!$W$4:$AA$4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'Lead, Pb'!$W$5:$AA$5</c:f>
              <c:numCache>
                <c:formatCode>General</c:formatCode>
                <c:ptCount val="5"/>
                <c:pt idx="0">
                  <c:v>2.875</c:v>
                </c:pt>
                <c:pt idx="1">
                  <c:v>2.2629999999999999</c:v>
                </c:pt>
                <c:pt idx="2">
                  <c:v>1.8779999999999999</c:v>
                </c:pt>
                <c:pt idx="3">
                  <c:v>1.83</c:v>
                </c:pt>
                <c:pt idx="4">
                  <c:v>2.0070000000000001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E0-484C-AFAD-594F9A9A80A7}"/>
            </c:ext>
          </c:extLst>
        </c:ser>
        <c:ser>
          <c:idx val="1"/>
          <c:order val="1"/>
          <c:tx>
            <c:strRef>
              <c:f>'Lead, Pb'!$V$16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'Lead, Pb'!$W$16:$AA$16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'Lead, Pb'!$W$17:$AA$17</c:f>
              <c:numCache>
                <c:formatCode>General</c:formatCode>
                <c:ptCount val="5"/>
                <c:pt idx="0">
                  <c:v>2.12E-2</c:v>
                </c:pt>
                <c:pt idx="1">
                  <c:v>3.1199999999999999E-3</c:v>
                </c:pt>
                <c:pt idx="2">
                  <c:v>3.2000000000000002E-3</c:v>
                </c:pt>
                <c:pt idx="3">
                  <c:v>3.0000000000000001E-3</c:v>
                </c:pt>
                <c:pt idx="4">
                  <c:v>6.3299999999999997E-3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1E0-484C-AFAD-594F9A9A8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Lead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S1B Lead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'Lead, Pb'!$V$4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'Lead, Pb'!$W$4:$AA$4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'Lead, Pb'!$W$6:$AA$6</c:f>
              <c:numCache>
                <c:formatCode>General</c:formatCode>
                <c:ptCount val="5"/>
                <c:pt idx="0">
                  <c:v>1.6199999999999999E-2</c:v>
                </c:pt>
                <c:pt idx="1">
                  <c:v>1.57E-3</c:v>
                </c:pt>
                <c:pt idx="2">
                  <c:v>1.72E-3</c:v>
                </c:pt>
                <c:pt idx="3">
                  <c:v>4.6000000000000001E-4</c:v>
                </c:pt>
                <c:pt idx="4">
                  <c:v>8.9300000000000004E-3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0E-43A2-8A8C-5CAF8CC08EBB}"/>
            </c:ext>
          </c:extLst>
        </c:ser>
        <c:ser>
          <c:idx val="1"/>
          <c:order val="1"/>
          <c:tx>
            <c:strRef>
              <c:f>'Lead, Pb'!$V$16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'Lead, Pb'!$W$16:$AA$16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'Lead, Pb'!$W$18:$AA$18</c:f>
              <c:numCache>
                <c:formatCode>General</c:formatCode>
                <c:ptCount val="5"/>
                <c:pt idx="1">
                  <c:v>2.6900000000000001E-3</c:v>
                </c:pt>
                <c:pt idx="2">
                  <c:v>6.1500000000000001E-3</c:v>
                </c:pt>
                <c:pt idx="3">
                  <c:v>2.24E-2</c:v>
                </c:pt>
                <c:pt idx="4">
                  <c:v>4.2700000000000004E-3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0E-43A2-8A8C-5CAF8CC08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0.1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Lead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S2 Lead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'Lead, Pb'!$V$4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'Lead, Pb'!$W$4:$AA$4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'Lead, Pb'!$W$7:$AA$7</c:f>
              <c:numCache>
                <c:formatCode>General</c:formatCode>
                <c:ptCount val="5"/>
                <c:pt idx="0">
                  <c:v>7.6700000000000004E-2</c:v>
                </c:pt>
                <c:pt idx="1">
                  <c:v>5.4300000000000001E-2</c:v>
                </c:pt>
                <c:pt idx="2">
                  <c:v>3.7600000000000001E-2</c:v>
                </c:pt>
                <c:pt idx="3">
                  <c:v>4.3400000000000001E-2</c:v>
                </c:pt>
                <c:pt idx="4">
                  <c:v>4.4499999999999998E-2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7B-4009-A855-31F4AB1D7028}"/>
            </c:ext>
          </c:extLst>
        </c:ser>
        <c:ser>
          <c:idx val="1"/>
          <c:order val="1"/>
          <c:tx>
            <c:strRef>
              <c:f>'Lead, Pb'!$V$16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'Lead, Pb'!$W$16:$AA$16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'Lead, Pb'!$W$19:$AA$19</c:f>
              <c:numCache>
                <c:formatCode>General</c:formatCode>
                <c:ptCount val="5"/>
                <c:pt idx="0">
                  <c:v>6.7400000000000003E-3</c:v>
                </c:pt>
                <c:pt idx="1">
                  <c:v>1.4500000000000001E-2</c:v>
                </c:pt>
                <c:pt idx="2">
                  <c:v>1.29E-2</c:v>
                </c:pt>
                <c:pt idx="3">
                  <c:v>1.1599999999999999E-2</c:v>
                </c:pt>
                <c:pt idx="4">
                  <c:v>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7B-4009-A855-31F4AB1D7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0.1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Lead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S3 Lead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'Lead, Pb'!$V$4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'Lead, Pb'!$W$4:$AA$4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'Lead, Pb'!$W$8:$AA$8</c:f>
              <c:numCache>
                <c:formatCode>General</c:formatCode>
                <c:ptCount val="5"/>
                <c:pt idx="0">
                  <c:v>0</c:v>
                </c:pt>
                <c:pt idx="1">
                  <c:v>4.6900000000000004</c:v>
                </c:pt>
                <c:pt idx="2">
                  <c:v>5.3440000000000003</c:v>
                </c:pt>
                <c:pt idx="3">
                  <c:v>4.9279999999999999</c:v>
                </c:pt>
                <c:pt idx="4">
                  <c:v>5.1520000000000001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BA-4D5C-98FC-4B50A4917F62}"/>
            </c:ext>
          </c:extLst>
        </c:ser>
        <c:ser>
          <c:idx val="1"/>
          <c:order val="1"/>
          <c:tx>
            <c:strRef>
              <c:f>'Lead, Pb'!$V$16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'Lead, Pb'!$W$16:$AA$16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'Lead, Pb'!$W$20:$AA$20</c:f>
              <c:numCache>
                <c:formatCode>General</c:formatCode>
                <c:ptCount val="5"/>
                <c:pt idx="0">
                  <c:v>0.13500000000000001</c:v>
                </c:pt>
                <c:pt idx="1">
                  <c:v>3.0099999999999998E-2</c:v>
                </c:pt>
                <c:pt idx="2">
                  <c:v>1.89E-2</c:v>
                </c:pt>
                <c:pt idx="3">
                  <c:v>4.0099999999999997E-2</c:v>
                </c:pt>
                <c:pt idx="4">
                  <c:v>1.18E-2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BA-4D5C-98FC-4B50A4917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1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Lead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S4A Lead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'Lead, Pb'!$V$4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'Lead, Pb'!$W$4:$AA$4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'Lead, Pb'!$W$9:$AA$9</c:f>
              <c:numCache>
                <c:formatCode>General</c:formatCode>
                <c:ptCount val="5"/>
                <c:pt idx="0">
                  <c:v>25.14</c:v>
                </c:pt>
                <c:pt idx="1">
                  <c:v>15</c:v>
                </c:pt>
                <c:pt idx="2">
                  <c:v>12.464</c:v>
                </c:pt>
                <c:pt idx="3">
                  <c:v>13.462</c:v>
                </c:pt>
                <c:pt idx="4">
                  <c:v>12.794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BA-4E0B-8249-59817F1AADF2}"/>
            </c:ext>
          </c:extLst>
        </c:ser>
        <c:ser>
          <c:idx val="1"/>
          <c:order val="1"/>
          <c:tx>
            <c:strRef>
              <c:f>'Lead, Pb'!$V$16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'Lead, Pb'!$W$16:$AA$16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'Lead, Pb'!$W$21:$AA$21</c:f>
              <c:numCache>
                <c:formatCode>General</c:formatCode>
                <c:ptCount val="5"/>
                <c:pt idx="0">
                  <c:v>0.99299999999999999</c:v>
                </c:pt>
                <c:pt idx="1">
                  <c:v>0.436</c:v>
                </c:pt>
                <c:pt idx="2">
                  <c:v>0.23499999999999999</c:v>
                </c:pt>
                <c:pt idx="3">
                  <c:v>0.92400000000000004</c:v>
                </c:pt>
                <c:pt idx="4">
                  <c:v>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BA-4E0B-8249-59817F1AA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100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Lead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S4B Lead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'Lead, Pb'!$V$4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'Lead, Pb'!$W$4:$AA$4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'Lead, Pb'!$W$10:$AA$10</c:f>
              <c:numCache>
                <c:formatCode>General</c:formatCode>
                <c:ptCount val="5"/>
                <c:pt idx="0">
                  <c:v>2.19</c:v>
                </c:pt>
                <c:pt idx="1">
                  <c:v>3.94</c:v>
                </c:pt>
                <c:pt idx="2">
                  <c:v>3.29</c:v>
                </c:pt>
                <c:pt idx="3">
                  <c:v>3.02</c:v>
                </c:pt>
                <c:pt idx="4">
                  <c:v>3.04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01-413A-88A4-65CC872AC902}"/>
            </c:ext>
          </c:extLst>
        </c:ser>
        <c:ser>
          <c:idx val="1"/>
          <c:order val="1"/>
          <c:tx>
            <c:strRef>
              <c:f>'Lead, Pb'!$V$16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'Lead, Pb'!$W$16:$AA$16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'Lead, Pb'!$W$22:$AA$22</c:f>
              <c:numCache>
                <c:formatCode>General</c:formatCode>
                <c:ptCount val="5"/>
                <c:pt idx="0">
                  <c:v>0.23499999999999999</c:v>
                </c:pt>
                <c:pt idx="1">
                  <c:v>1.448</c:v>
                </c:pt>
                <c:pt idx="2">
                  <c:v>0.93500000000000005</c:v>
                </c:pt>
                <c:pt idx="3">
                  <c:v>2.09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01-413A-88A4-65CC872AC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10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Lead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S5 Lead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'Lead, Pb'!$V$4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'Lead, Pb'!$W$4:$AA$4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'Lead, Pb'!$W$11:$AA$11</c:f>
              <c:numCache>
                <c:formatCode>General</c:formatCode>
                <c:ptCount val="5"/>
                <c:pt idx="0">
                  <c:v>0.2389</c:v>
                </c:pt>
                <c:pt idx="1">
                  <c:v>0.13100000000000001</c:v>
                </c:pt>
                <c:pt idx="2">
                  <c:v>0.1186</c:v>
                </c:pt>
                <c:pt idx="3">
                  <c:v>0.11459999999999999</c:v>
                </c:pt>
                <c:pt idx="4">
                  <c:v>7.0800000000000002E-2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15-404A-9948-62347C863D00}"/>
            </c:ext>
          </c:extLst>
        </c:ser>
        <c:ser>
          <c:idx val="1"/>
          <c:order val="1"/>
          <c:tx>
            <c:strRef>
              <c:f>'Lead, Pb'!$V$16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'Lead, Pb'!$W$16:$AA$16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'Lead, Pb'!$W$23:$AA$23</c:f>
              <c:numCache>
                <c:formatCode>General</c:formatCode>
                <c:ptCount val="5"/>
                <c:pt idx="1">
                  <c:v>0.158</c:v>
                </c:pt>
                <c:pt idx="2">
                  <c:v>2.86E-2</c:v>
                </c:pt>
                <c:pt idx="3">
                  <c:v>1.4200000000000001E-2</c:v>
                </c:pt>
                <c:pt idx="4">
                  <c:v>2.7699999999999999E-2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15-404A-9948-62347C863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ax val="1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Lead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S1A Zinc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'Zinc, Zn'!$V$4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'Zinc, Zn'!$W$4:$AA$4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'Zinc, Zn'!$W$5:$AA$5</c:f>
              <c:numCache>
                <c:formatCode>General</c:formatCode>
                <c:ptCount val="5"/>
                <c:pt idx="0">
                  <c:v>0.77569999999999995</c:v>
                </c:pt>
                <c:pt idx="1">
                  <c:v>0.745</c:v>
                </c:pt>
                <c:pt idx="2">
                  <c:v>0.80059999999999998</c:v>
                </c:pt>
                <c:pt idx="3">
                  <c:v>0.62780000000000002</c:v>
                </c:pt>
                <c:pt idx="4">
                  <c:v>0.86650000000000005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D6-40BB-A4BB-D7FF3332CC4C}"/>
            </c:ext>
          </c:extLst>
        </c:ser>
        <c:ser>
          <c:idx val="1"/>
          <c:order val="1"/>
          <c:tx>
            <c:strRef>
              <c:f>'Zinc, Zn'!$V$16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'Zinc, Zn'!$W$16:$AA$16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'Zinc, Zn'!$W$17:$AA$17</c:f>
              <c:numCache>
                <c:formatCode>General</c:formatCode>
                <c:ptCount val="5"/>
                <c:pt idx="1">
                  <c:v>1.5699999999999999E-2</c:v>
                </c:pt>
                <c:pt idx="2">
                  <c:v>0</c:v>
                </c:pt>
                <c:pt idx="3">
                  <c:v>3.2800000000000003E-2</c:v>
                </c:pt>
                <c:pt idx="4">
                  <c:v>1.2999999999999999E-2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0D6-40BB-A4BB-D7FF3332CC4C}"/>
            </c:ext>
          </c:extLst>
        </c:ser>
        <c:ser>
          <c:idx val="2"/>
          <c:order val="2"/>
          <c:tx>
            <c:strRef>
              <c:f>'Zinc, Zn'!$V$28</c:f>
              <c:strCache>
                <c:ptCount val="1"/>
                <c:pt idx="0">
                  <c:v>MDL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'Zinc, Zn'!$W$16:$AA$16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('Zinc, Zn'!$W$36,'Zinc, Zn'!$X$35:$AA$35)</c:f>
              <c:numCache>
                <c:formatCode>0.0000</c:formatCode>
                <c:ptCount val="5"/>
                <c:pt idx="0">
                  <c:v>0.05</c:v>
                </c:pt>
                <c:pt idx="1">
                  <c:v>2.5000000000000001E-3</c:v>
                </c:pt>
                <c:pt idx="2">
                  <c:v>2.5000000000000001E-3</c:v>
                </c:pt>
                <c:pt idx="3">
                  <c:v>2.5000000000000001E-3</c:v>
                </c:pt>
                <c:pt idx="4">
                  <c:v>2.5000000000000001E-3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5A-4260-ABE2-691B79A2C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Zinc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S1B Zinc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'Zinc, Zn'!$V$4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'Zinc, Zn'!$W$4:$AA$4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'Zinc, Zn'!$W$6:$AA$6</c:f>
              <c:numCache>
                <c:formatCode>General</c:formatCode>
                <c:ptCount val="5"/>
                <c:pt idx="0">
                  <c:v>7.3300000000000004E-2</c:v>
                </c:pt>
                <c:pt idx="1">
                  <c:v>2.23E-2</c:v>
                </c:pt>
                <c:pt idx="2">
                  <c:v>1.3599999999999999E-2</c:v>
                </c:pt>
                <c:pt idx="3">
                  <c:v>0.01</c:v>
                </c:pt>
                <c:pt idx="4">
                  <c:v>1.2699999999999999E-2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75-4DA6-8D41-CBB836127098}"/>
            </c:ext>
          </c:extLst>
        </c:ser>
        <c:ser>
          <c:idx val="1"/>
          <c:order val="1"/>
          <c:tx>
            <c:strRef>
              <c:f>'Zinc, Zn'!$V$16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'Zinc, Zn'!$W$16:$AA$16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'Zinc, Zn'!$W$18:$AA$18</c:f>
              <c:numCache>
                <c:formatCode>General</c:formatCode>
                <c:ptCount val="5"/>
                <c:pt idx="0">
                  <c:v>0.30599999999999999</c:v>
                </c:pt>
                <c:pt idx="1">
                  <c:v>3.3799999999999997E-2</c:v>
                </c:pt>
                <c:pt idx="2">
                  <c:v>8.5199999999999998E-3</c:v>
                </c:pt>
                <c:pt idx="3">
                  <c:v>3.9600000000000003E-2</c:v>
                </c:pt>
                <c:pt idx="4">
                  <c:v>1.06E-2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75-4DA6-8D41-CBB836127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Zinc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 Experiment - S1A pH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pH!$W$3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pH!$X$3:$AB$3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pH!$X$4:$AB$4</c:f>
              <c:numCache>
                <c:formatCode>General</c:formatCode>
                <c:ptCount val="5"/>
                <c:pt idx="0">
                  <c:v>3.6</c:v>
                </c:pt>
                <c:pt idx="1">
                  <c:v>3.7</c:v>
                </c:pt>
                <c:pt idx="2">
                  <c:v>3.9</c:v>
                </c:pt>
                <c:pt idx="3">
                  <c:v>3.6</c:v>
                </c:pt>
                <c:pt idx="4">
                  <c:v>3.29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9D-4EF4-AC84-3FA9B6552839}"/>
            </c:ext>
          </c:extLst>
        </c:ser>
        <c:ser>
          <c:idx val="1"/>
          <c:order val="1"/>
          <c:tx>
            <c:strRef>
              <c:f>pH!$W$13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pH!$X$13:$AB$13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pH!$X$14:$AB$14</c:f>
              <c:numCache>
                <c:formatCode>General</c:formatCode>
                <c:ptCount val="5"/>
                <c:pt idx="0">
                  <c:v>9.25</c:v>
                </c:pt>
                <c:pt idx="1">
                  <c:v>9.1199999999999992</c:v>
                </c:pt>
                <c:pt idx="2">
                  <c:v>8.99</c:v>
                </c:pt>
                <c:pt idx="3">
                  <c:v>8.73</c:v>
                </c:pt>
                <c:pt idx="4">
                  <c:v>8.69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19D-4EF4-AC84-3FA9B6552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pH (s.u.)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S2 Zinc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'Zinc, Zn'!$V$4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'Zinc, Zn'!$W$4:$AA$4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'Zinc, Zn'!$W$7:$AA$7</c:f>
              <c:numCache>
                <c:formatCode>General</c:formatCode>
                <c:ptCount val="5"/>
                <c:pt idx="0">
                  <c:v>0.94269999999999998</c:v>
                </c:pt>
                <c:pt idx="1">
                  <c:v>0.89300000000000002</c:v>
                </c:pt>
                <c:pt idx="2">
                  <c:v>0.94920000000000004</c:v>
                </c:pt>
                <c:pt idx="3">
                  <c:v>0.78259999999999996</c:v>
                </c:pt>
                <c:pt idx="4">
                  <c:v>0.70920000000000005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CD-4292-AC3D-413EAE37CA64}"/>
            </c:ext>
          </c:extLst>
        </c:ser>
        <c:ser>
          <c:idx val="1"/>
          <c:order val="1"/>
          <c:tx>
            <c:strRef>
              <c:f>'Zinc, Zn'!$V$16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'Zinc, Zn'!$W$16:$AA$16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'Zinc, Zn'!$W$19:$AA$19</c:f>
              <c:numCache>
                <c:formatCode>General</c:formatCode>
                <c:ptCount val="5"/>
                <c:pt idx="0">
                  <c:v>8.6400000000000005E-2</c:v>
                </c:pt>
                <c:pt idx="1">
                  <c:v>2.35E-2</c:v>
                </c:pt>
                <c:pt idx="2">
                  <c:v>5.3900000000000003E-2</c:v>
                </c:pt>
                <c:pt idx="3">
                  <c:v>5.5500000000000002E-3</c:v>
                </c:pt>
                <c:pt idx="4">
                  <c:v>8.2900000000000005E-3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CD-4292-AC3D-413EAE37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Zinc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S3 Zinc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'Zinc, Zn'!$V$4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'Zinc, Zn'!$W$4:$AA$4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'Zinc, Zn'!$W$8:$AA$8</c:f>
              <c:numCache>
                <c:formatCode>General</c:formatCode>
                <c:ptCount val="5"/>
                <c:pt idx="0">
                  <c:v>0</c:v>
                </c:pt>
                <c:pt idx="1">
                  <c:v>35.700000000000003</c:v>
                </c:pt>
                <c:pt idx="2">
                  <c:v>50.92</c:v>
                </c:pt>
                <c:pt idx="3">
                  <c:v>54.32</c:v>
                </c:pt>
                <c:pt idx="4">
                  <c:v>50.6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F6-472E-AFA0-B127C5E048B5}"/>
            </c:ext>
          </c:extLst>
        </c:ser>
        <c:ser>
          <c:idx val="1"/>
          <c:order val="1"/>
          <c:tx>
            <c:strRef>
              <c:f>'Zinc, Zn'!$V$16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'Zinc, Zn'!$W$16:$AA$16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'Zinc, Zn'!$W$20:$AA$20</c:f>
              <c:numCache>
                <c:formatCode>General</c:formatCode>
                <c:ptCount val="5"/>
                <c:pt idx="0">
                  <c:v>0.40799999999999997</c:v>
                </c:pt>
                <c:pt idx="1">
                  <c:v>0.13600000000000001</c:v>
                </c:pt>
                <c:pt idx="2">
                  <c:v>2.9700000000000001E-2</c:v>
                </c:pt>
                <c:pt idx="3">
                  <c:v>6.9800000000000001E-2</c:v>
                </c:pt>
                <c:pt idx="4">
                  <c:v>3.5200000000000002E-2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F6-472E-AFA0-B127C5E0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Zinc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S4A Zinc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'Zinc, Zn'!$V$4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'Zinc, Zn'!$W$4:$AA$4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'Zinc, Zn'!$W$9:$AA$9</c:f>
              <c:numCache>
                <c:formatCode>General</c:formatCode>
                <c:ptCount val="5"/>
                <c:pt idx="0">
                  <c:v>19.472000000000001</c:v>
                </c:pt>
                <c:pt idx="1">
                  <c:v>9.27</c:v>
                </c:pt>
                <c:pt idx="2">
                  <c:v>11.726000000000001</c:v>
                </c:pt>
                <c:pt idx="3">
                  <c:v>11.776</c:v>
                </c:pt>
                <c:pt idx="4">
                  <c:v>11.752000000000001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D9-4658-AB0F-9CCA376BDC26}"/>
            </c:ext>
          </c:extLst>
        </c:ser>
        <c:ser>
          <c:idx val="1"/>
          <c:order val="1"/>
          <c:tx>
            <c:strRef>
              <c:f>'Zinc, Zn'!$V$16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'Zinc, Zn'!$W$16:$AA$16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'Zinc, Zn'!$W$21:$AA$21</c:f>
              <c:numCache>
                <c:formatCode>General</c:formatCode>
                <c:ptCount val="5"/>
                <c:pt idx="0">
                  <c:v>0.105</c:v>
                </c:pt>
                <c:pt idx="1">
                  <c:v>0</c:v>
                </c:pt>
                <c:pt idx="2">
                  <c:v>1.12E-2</c:v>
                </c:pt>
                <c:pt idx="3">
                  <c:v>0.16500000000000001</c:v>
                </c:pt>
                <c:pt idx="4">
                  <c:v>0.30599999999999999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D9-4658-AB0F-9CCA376BD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Zinc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S4B Zinc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'Zinc, Zn'!$V$4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'Zinc, Zn'!$W$4:$AA$4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'Zinc, Zn'!$W$10:$AA$10</c:f>
              <c:numCache>
                <c:formatCode>General</c:formatCode>
                <c:ptCount val="5"/>
                <c:pt idx="0">
                  <c:v>7.55</c:v>
                </c:pt>
                <c:pt idx="1">
                  <c:v>19.100000000000001</c:v>
                </c:pt>
                <c:pt idx="2">
                  <c:v>14.1</c:v>
                </c:pt>
                <c:pt idx="3">
                  <c:v>11.8</c:v>
                </c:pt>
                <c:pt idx="4">
                  <c:v>11.8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E1-4EB7-857D-C52E03335ADC}"/>
            </c:ext>
          </c:extLst>
        </c:ser>
        <c:ser>
          <c:idx val="1"/>
          <c:order val="1"/>
          <c:tx>
            <c:strRef>
              <c:f>'Zinc, Zn'!$V$16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'Zinc, Zn'!$W$16:$AA$16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'Zinc, Zn'!$W$22:$AA$22</c:f>
              <c:numCache>
                <c:formatCode>General</c:formatCode>
                <c:ptCount val="5"/>
                <c:pt idx="0">
                  <c:v>0.42099999999999999</c:v>
                </c:pt>
                <c:pt idx="1">
                  <c:v>9.1300000000000006E-2</c:v>
                </c:pt>
                <c:pt idx="2">
                  <c:v>74.8</c:v>
                </c:pt>
                <c:pt idx="3">
                  <c:v>0.28599999999999998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E1-4EB7-857D-C52E03335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Zinc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S5 Zinc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'Zinc, Zn'!$V$4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'Zinc, Zn'!$W$4:$AA$4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'Zinc, Zn'!$W$11:$AA$11</c:f>
              <c:numCache>
                <c:formatCode>General</c:formatCode>
                <c:ptCount val="5"/>
                <c:pt idx="0">
                  <c:v>8.6379999999999999</c:v>
                </c:pt>
                <c:pt idx="1">
                  <c:v>4.6500000000000004</c:v>
                </c:pt>
                <c:pt idx="2">
                  <c:v>6.71</c:v>
                </c:pt>
                <c:pt idx="3">
                  <c:v>4.6269999999999998</c:v>
                </c:pt>
                <c:pt idx="4">
                  <c:v>3.9039999999999999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C4-46F7-862D-EBB2B30F6005}"/>
            </c:ext>
          </c:extLst>
        </c:ser>
        <c:ser>
          <c:idx val="1"/>
          <c:order val="1"/>
          <c:tx>
            <c:strRef>
              <c:f>'Zinc, Zn'!$V$16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'Zinc, Zn'!$W$16:$AA$16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'Zinc, Zn'!$W$23:$AA$23</c:f>
              <c:numCache>
                <c:formatCode>General</c:formatCode>
                <c:ptCount val="5"/>
                <c:pt idx="0">
                  <c:v>0.108</c:v>
                </c:pt>
                <c:pt idx="1">
                  <c:v>1.46</c:v>
                </c:pt>
                <c:pt idx="2">
                  <c:v>0.67400000000000004</c:v>
                </c:pt>
                <c:pt idx="3">
                  <c:v>1.3899999999999999E-2</c:v>
                </c:pt>
                <c:pt idx="4">
                  <c:v>6.7299999999999999E-3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C4-46F7-862D-EBB2B30F6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At val="1"/>
        <c:crossBetween val="midCat"/>
        <c:majorUnit val="7"/>
      </c:valAx>
      <c:valAx>
        <c:axId val="693740208"/>
        <c:scaling>
          <c:logBase val="10"/>
          <c:orientation val="minMax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Zinc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/>
              <a:t>Humidity</a:t>
            </a:r>
            <a:r>
              <a:rPr lang="en-US" sz="1600" b="1" u="none" baseline="0"/>
              <a:t> Cells Experiment - S1B pH Data</a:t>
            </a:r>
            <a:endParaRPr lang="en-US" sz="1600" b="1" u="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pH!$W$3</c:f>
              <c:strCache>
                <c:ptCount val="1"/>
                <c:pt idx="0">
                  <c:v>Pre-treatment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pH!$X$3:$AB$3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pH!$X$5:$AB$5</c:f>
              <c:numCache>
                <c:formatCode>General</c:formatCode>
                <c:ptCount val="5"/>
                <c:pt idx="0">
                  <c:v>6.21</c:v>
                </c:pt>
                <c:pt idx="1">
                  <c:v>6.71</c:v>
                </c:pt>
                <c:pt idx="2">
                  <c:v>6.38</c:v>
                </c:pt>
                <c:pt idx="3">
                  <c:v>6.7</c:v>
                </c:pt>
                <c:pt idx="4">
                  <c:v>6.58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CB-43A0-B071-11D6F776E1AA}"/>
            </c:ext>
          </c:extLst>
        </c:ser>
        <c:ser>
          <c:idx val="1"/>
          <c:order val="1"/>
          <c:tx>
            <c:strRef>
              <c:f>pH!$W$13</c:f>
              <c:strCache>
                <c:ptCount val="1"/>
                <c:pt idx="0">
                  <c:v>Post-treatment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pH!$X$13:$AB$13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35</c:v>
                </c:pt>
              </c:numCache>
            </c:numRef>
          </c:xVal>
          <c:yVal>
            <c:numRef>
              <c:f>pH!$X$15:$AB$15</c:f>
              <c:numCache>
                <c:formatCode>General</c:formatCode>
                <c:ptCount val="5"/>
                <c:pt idx="0">
                  <c:v>9.23</c:v>
                </c:pt>
                <c:pt idx="1">
                  <c:v>9.1300000000000008</c:v>
                </c:pt>
                <c:pt idx="2">
                  <c:v>9.06</c:v>
                </c:pt>
                <c:pt idx="3">
                  <c:v>8.7799999999999994</c:v>
                </c:pt>
                <c:pt idx="4">
                  <c:v>8.7899999999999991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CB-43A0-B071-11D6F776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38568"/>
        <c:axId val="693740208"/>
      </c:scatterChart>
      <c:valAx>
        <c:axId val="693738568"/>
        <c:scaling>
          <c:orientation val="minMax"/>
          <c:max val="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40208"/>
        <c:crosses val="autoZero"/>
        <c:crossBetween val="midCat"/>
        <c:majorUnit val="7"/>
      </c:valAx>
      <c:valAx>
        <c:axId val="6937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pH (s.u.)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3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7" Type="http://schemas.openxmlformats.org/officeDocument/2006/relationships/chart" Target="../charts/chart77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chart" Target="../charts/chart76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4" Type="http://schemas.openxmlformats.org/officeDocument/2006/relationships/chart" Target="../charts/chart8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23</xdr:row>
      <xdr:rowOff>57149</xdr:rowOff>
    </xdr:from>
    <xdr:to>
      <xdr:col>9</xdr:col>
      <xdr:colOff>400049</xdr:colOff>
      <xdr:row>42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E84EBD-6FAF-4876-B6B4-8A78CE899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333375</xdr:colOff>
      <xdr:row>22</xdr:row>
      <xdr:rowOff>128588</xdr:rowOff>
    </xdr:from>
    <xdr:to>
      <xdr:col>21</xdr:col>
      <xdr:colOff>576263</xdr:colOff>
      <xdr:row>41</xdr:row>
      <xdr:rowOff>123826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6E31BD0-E590-4ABF-A86C-609B94724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44</xdr:row>
      <xdr:rowOff>4763</xdr:rowOff>
    </xdr:from>
    <xdr:to>
      <xdr:col>9</xdr:col>
      <xdr:colOff>414338</xdr:colOff>
      <xdr:row>63</xdr:row>
      <xdr:rowOff>9526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30D163E-E2E2-4A9D-B794-36E7FCD44D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242887</xdr:colOff>
      <xdr:row>43</xdr:row>
      <xdr:rowOff>119063</xdr:rowOff>
    </xdr:from>
    <xdr:to>
      <xdr:col>21</xdr:col>
      <xdr:colOff>528637</xdr:colOff>
      <xdr:row>62</xdr:row>
      <xdr:rowOff>123826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4B73BDF-FF0C-4B14-8F0C-1BB9B8F65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176213</xdr:colOff>
      <xdr:row>66</xdr:row>
      <xdr:rowOff>147637</xdr:rowOff>
    </xdr:from>
    <xdr:to>
      <xdr:col>10</xdr:col>
      <xdr:colOff>95250</xdr:colOff>
      <xdr:row>85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9FBCDDF-C587-4BE2-98E6-509BA31BF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176213</xdr:colOff>
      <xdr:row>66</xdr:row>
      <xdr:rowOff>147638</xdr:rowOff>
    </xdr:from>
    <xdr:to>
      <xdr:col>21</xdr:col>
      <xdr:colOff>519113</xdr:colOff>
      <xdr:row>85</xdr:row>
      <xdr:rowOff>152401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71A7A64-EEA7-44B3-8F8F-31BEA4246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119062</xdr:colOff>
      <xdr:row>89</xdr:row>
      <xdr:rowOff>180975</xdr:rowOff>
    </xdr:from>
    <xdr:to>
      <xdr:col>15</xdr:col>
      <xdr:colOff>452437</xdr:colOff>
      <xdr:row>108</xdr:row>
      <xdr:rowOff>185738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35F1CD1-903A-470C-9BAC-07ACD0455B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264349</xdr:colOff>
      <xdr:row>26</xdr:row>
      <xdr:rowOff>144113</xdr:rowOff>
    </xdr:from>
    <xdr:to>
      <xdr:col>9</xdr:col>
      <xdr:colOff>226249</xdr:colOff>
      <xdr:row>45</xdr:row>
      <xdr:rowOff>175719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C5DF3D-4EFD-4A07-97F7-393FF03D5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56036</xdr:colOff>
      <xdr:row>26</xdr:row>
      <xdr:rowOff>124691</xdr:rowOff>
    </xdr:from>
    <xdr:to>
      <xdr:col>19</xdr:col>
      <xdr:colOff>463633</xdr:colOff>
      <xdr:row>45</xdr:row>
      <xdr:rowOff>156297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7165D8-FC13-4ADD-86E6-79C2364B5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219942</xdr:colOff>
      <xdr:row>48</xdr:row>
      <xdr:rowOff>13854</xdr:rowOff>
    </xdr:from>
    <xdr:to>
      <xdr:col>9</xdr:col>
      <xdr:colOff>180976</xdr:colOff>
      <xdr:row>67</xdr:row>
      <xdr:rowOff>45460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1AE593-1814-438F-A794-D11A9CDE5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61851</xdr:colOff>
      <xdr:row>48</xdr:row>
      <xdr:rowOff>100075</xdr:rowOff>
    </xdr:from>
    <xdr:to>
      <xdr:col>19</xdr:col>
      <xdr:colOff>496662</xdr:colOff>
      <xdr:row>67</xdr:row>
      <xdr:rowOff>123888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D4DF8B-92A2-404D-B0A3-90138AE3C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287482</xdr:colOff>
      <xdr:row>69</xdr:row>
      <xdr:rowOff>0</xdr:rowOff>
    </xdr:from>
    <xdr:to>
      <xdr:col>9</xdr:col>
      <xdr:colOff>245053</xdr:colOff>
      <xdr:row>88</xdr:row>
      <xdr:rowOff>23813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2854474-E586-4774-BAB0-78F7D72FA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62593</xdr:colOff>
      <xdr:row>69</xdr:row>
      <xdr:rowOff>23750</xdr:rowOff>
    </xdr:from>
    <xdr:to>
      <xdr:col>19</xdr:col>
      <xdr:colOff>497404</xdr:colOff>
      <xdr:row>88</xdr:row>
      <xdr:rowOff>47563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2F28779-DC10-498F-B474-A6EC41843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204788</xdr:colOff>
      <xdr:row>91</xdr:row>
      <xdr:rowOff>85725</xdr:rowOff>
    </xdr:from>
    <xdr:to>
      <xdr:col>15</xdr:col>
      <xdr:colOff>23813</xdr:colOff>
      <xdr:row>110</xdr:row>
      <xdr:rowOff>109538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528D8C8-AC5B-447D-BBB0-8609DA747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47625</xdr:rowOff>
    </xdr:from>
    <xdr:to>
      <xdr:col>8</xdr:col>
      <xdr:colOff>571500</xdr:colOff>
      <xdr:row>45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CEA5AC-CD45-4711-93E8-F345FCD0D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26</xdr:row>
      <xdr:rowOff>47625</xdr:rowOff>
    </xdr:from>
    <xdr:to>
      <xdr:col>20</xdr:col>
      <xdr:colOff>128588</xdr:colOff>
      <xdr:row>45</xdr:row>
      <xdr:rowOff>71438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58299B-7FFE-42DD-AFE3-EC45192DD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90488</xdr:rowOff>
    </xdr:from>
    <xdr:to>
      <xdr:col>8</xdr:col>
      <xdr:colOff>604837</xdr:colOff>
      <xdr:row>66</xdr:row>
      <xdr:rowOff>114301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1038D61-6B0D-4353-8548-5EFDB8DA0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309562</xdr:colOff>
      <xdr:row>47</xdr:row>
      <xdr:rowOff>100012</xdr:rowOff>
    </xdr:from>
    <xdr:to>
      <xdr:col>20</xdr:col>
      <xdr:colOff>128587</xdr:colOff>
      <xdr:row>66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E64E32-A7F2-4783-A08E-85E0C9E6F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109538</xdr:colOff>
      <xdr:row>68</xdr:row>
      <xdr:rowOff>0</xdr:rowOff>
    </xdr:from>
    <xdr:to>
      <xdr:col>9</xdr:col>
      <xdr:colOff>95250</xdr:colOff>
      <xdr:row>87</xdr:row>
      <xdr:rowOff>33338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C9C11B2-06C0-4AFD-A52E-7B245E2E9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68</xdr:row>
      <xdr:rowOff>119062</xdr:rowOff>
    </xdr:from>
    <xdr:to>
      <xdr:col>20</xdr:col>
      <xdr:colOff>142875</xdr:colOff>
      <xdr:row>87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DA2A0ED-0163-40CD-9B07-5C25A417B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271462</xdr:colOff>
      <xdr:row>89</xdr:row>
      <xdr:rowOff>171450</xdr:rowOff>
    </xdr:from>
    <xdr:to>
      <xdr:col>14</xdr:col>
      <xdr:colOff>90487</xdr:colOff>
      <xdr:row>109</xdr:row>
      <xdr:rowOff>14288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13C20D-BB75-4E6F-8C8A-D044DE7AD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217714</xdr:colOff>
      <xdr:row>25</xdr:row>
      <xdr:rowOff>47625</xdr:rowOff>
    </xdr:from>
    <xdr:to>
      <xdr:col>9</xdr:col>
      <xdr:colOff>212271</xdr:colOff>
      <xdr:row>44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5F05D3-1146-484C-A5DB-335831D47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185737</xdr:colOff>
      <xdr:row>25</xdr:row>
      <xdr:rowOff>66675</xdr:rowOff>
    </xdr:from>
    <xdr:to>
      <xdr:col>19</xdr:col>
      <xdr:colOff>600075</xdr:colOff>
      <xdr:row>44</xdr:row>
      <xdr:rowOff>90488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28D210-DAA0-4564-9EC5-A789CCEE8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185738</xdr:colOff>
      <xdr:row>47</xdr:row>
      <xdr:rowOff>128588</xdr:rowOff>
    </xdr:from>
    <xdr:to>
      <xdr:col>9</xdr:col>
      <xdr:colOff>157163</xdr:colOff>
      <xdr:row>66</xdr:row>
      <xdr:rowOff>152401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430572-8848-4AFD-B99D-30C4C02AF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203426</xdr:colOff>
      <xdr:row>48</xdr:row>
      <xdr:rowOff>5443</xdr:rowOff>
    </xdr:from>
    <xdr:to>
      <xdr:col>20</xdr:col>
      <xdr:colOff>83683</xdr:colOff>
      <xdr:row>67</xdr:row>
      <xdr:rowOff>38781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618B6E1-C0D5-4257-9817-2E2585AE8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119063</xdr:colOff>
      <xdr:row>69</xdr:row>
      <xdr:rowOff>61912</xdr:rowOff>
    </xdr:from>
    <xdr:to>
      <xdr:col>9</xdr:col>
      <xdr:colOff>95250</xdr:colOff>
      <xdr:row>88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23F7897-EADC-4BAE-AB7C-014D308D4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191861</xdr:colOff>
      <xdr:row>69</xdr:row>
      <xdr:rowOff>36740</xdr:rowOff>
    </xdr:from>
    <xdr:to>
      <xdr:col>20</xdr:col>
      <xdr:colOff>72118</xdr:colOff>
      <xdr:row>88</xdr:row>
      <xdr:rowOff>70078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214AAC5-1364-45F2-A5E7-010CCF316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376238</xdr:colOff>
      <xdr:row>91</xdr:row>
      <xdr:rowOff>90487</xdr:rowOff>
    </xdr:from>
    <xdr:to>
      <xdr:col>14</xdr:col>
      <xdr:colOff>195263</xdr:colOff>
      <xdr:row>110</xdr:row>
      <xdr:rowOff>123825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9DEC0C3-1F4F-4938-A045-064F53E10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23</xdr:row>
      <xdr:rowOff>57150</xdr:rowOff>
    </xdr:from>
    <xdr:to>
      <xdr:col>9</xdr:col>
      <xdr:colOff>47625</xdr:colOff>
      <xdr:row>42</xdr:row>
      <xdr:rowOff>52388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2803B62-7616-4591-BE8B-C58383AEA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47624</xdr:colOff>
      <xdr:row>22</xdr:row>
      <xdr:rowOff>180975</xdr:rowOff>
    </xdr:from>
    <xdr:to>
      <xdr:col>20</xdr:col>
      <xdr:colOff>471487</xdr:colOff>
      <xdr:row>41</xdr:row>
      <xdr:rowOff>176213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9722A6-A244-405D-B2FD-7CD09F62E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71438</xdr:colOff>
      <xdr:row>44</xdr:row>
      <xdr:rowOff>0</xdr:rowOff>
    </xdr:from>
    <xdr:to>
      <xdr:col>9</xdr:col>
      <xdr:colOff>57150</xdr:colOff>
      <xdr:row>63</xdr:row>
      <xdr:rowOff>4763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4BD9A7B-4DC8-483B-8EF0-497609A8A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585788</xdr:colOff>
      <xdr:row>44</xdr:row>
      <xdr:rowOff>128588</xdr:rowOff>
    </xdr:from>
    <xdr:to>
      <xdr:col>20</xdr:col>
      <xdr:colOff>404813</xdr:colOff>
      <xdr:row>63</xdr:row>
      <xdr:rowOff>133351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669FA02-9F03-4C60-BF66-8819A4DF9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65</xdr:row>
      <xdr:rowOff>71438</xdr:rowOff>
    </xdr:from>
    <xdr:to>
      <xdr:col>9</xdr:col>
      <xdr:colOff>33337</xdr:colOff>
      <xdr:row>84</xdr:row>
      <xdr:rowOff>76201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AFF643E-A56D-4FB8-9F14-0F64E55C4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42863</xdr:colOff>
      <xdr:row>66</xdr:row>
      <xdr:rowOff>138113</xdr:rowOff>
    </xdr:from>
    <xdr:to>
      <xdr:col>20</xdr:col>
      <xdr:colOff>481013</xdr:colOff>
      <xdr:row>85</xdr:row>
      <xdr:rowOff>142876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EA6995D-DF35-43A9-A01B-2B68C771B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338137</xdr:colOff>
      <xdr:row>88</xdr:row>
      <xdr:rowOff>128588</xdr:rowOff>
    </xdr:from>
    <xdr:to>
      <xdr:col>13</xdr:col>
      <xdr:colOff>147637</xdr:colOff>
      <xdr:row>107</xdr:row>
      <xdr:rowOff>133351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8E14763-F5F2-4518-8FC2-0D65E76BB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157163</xdr:colOff>
      <xdr:row>25</xdr:row>
      <xdr:rowOff>171450</xdr:rowOff>
    </xdr:from>
    <xdr:to>
      <xdr:col>9</xdr:col>
      <xdr:colOff>119063</xdr:colOff>
      <xdr:row>44</xdr:row>
      <xdr:rowOff>176213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7E31B0-DC95-499B-BAE0-6D2C6A742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138112</xdr:colOff>
      <xdr:row>25</xdr:row>
      <xdr:rowOff>128587</xdr:rowOff>
    </xdr:from>
    <xdr:to>
      <xdr:col>20</xdr:col>
      <xdr:colOff>561975</xdr:colOff>
      <xdr:row>44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2358F7-A9F7-4AD6-B58A-E980CDA13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266701</xdr:colOff>
      <xdr:row>48</xdr:row>
      <xdr:rowOff>4763</xdr:rowOff>
    </xdr:from>
    <xdr:to>
      <xdr:col>9</xdr:col>
      <xdr:colOff>252413</xdr:colOff>
      <xdr:row>67</xdr:row>
      <xdr:rowOff>19051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FA755A-E387-4873-9E10-F00EF128F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123825</xdr:colOff>
      <xdr:row>48</xdr:row>
      <xdr:rowOff>61912</xdr:rowOff>
    </xdr:from>
    <xdr:to>
      <xdr:col>20</xdr:col>
      <xdr:colOff>561975</xdr:colOff>
      <xdr:row>67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DCDBB37-3E82-4AC5-B09A-B68A88987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271463</xdr:colOff>
      <xdr:row>70</xdr:row>
      <xdr:rowOff>38100</xdr:rowOff>
    </xdr:from>
    <xdr:to>
      <xdr:col>9</xdr:col>
      <xdr:colOff>257175</xdr:colOff>
      <xdr:row>89</xdr:row>
      <xdr:rowOff>52388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A12E8A5-92F0-46A0-AEDA-387831B02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147637</xdr:colOff>
      <xdr:row>70</xdr:row>
      <xdr:rowOff>76200</xdr:rowOff>
    </xdr:from>
    <xdr:to>
      <xdr:col>20</xdr:col>
      <xdr:colOff>585787</xdr:colOff>
      <xdr:row>89</xdr:row>
      <xdr:rowOff>90488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98E80C6-03E8-4C02-BCB0-013C34B48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333375</xdr:colOff>
      <xdr:row>92</xdr:row>
      <xdr:rowOff>180975</xdr:rowOff>
    </xdr:from>
    <xdr:to>
      <xdr:col>14</xdr:col>
      <xdr:colOff>142875</xdr:colOff>
      <xdr:row>112</xdr:row>
      <xdr:rowOff>4763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58264A7-2CFB-492D-9ADA-E6152FE92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22</xdr:row>
      <xdr:rowOff>47625</xdr:rowOff>
    </xdr:from>
    <xdr:to>
      <xdr:col>9</xdr:col>
      <xdr:colOff>71438</xdr:colOff>
      <xdr:row>41</xdr:row>
      <xdr:rowOff>61913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9CCDA3-59AA-4424-8F65-7414EFE64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123824</xdr:colOff>
      <xdr:row>22</xdr:row>
      <xdr:rowOff>61913</xdr:rowOff>
    </xdr:from>
    <xdr:to>
      <xdr:col>19</xdr:col>
      <xdr:colOff>547687</xdr:colOff>
      <xdr:row>41</xdr:row>
      <xdr:rowOff>85726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4FCE92-1D32-4737-8A3D-6C4CAEC5F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109538</xdr:colOff>
      <xdr:row>43</xdr:row>
      <xdr:rowOff>138113</xdr:rowOff>
    </xdr:from>
    <xdr:to>
      <xdr:col>9</xdr:col>
      <xdr:colOff>85725</xdr:colOff>
      <xdr:row>62</xdr:row>
      <xdr:rowOff>161926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F77144-BA1B-4FDC-ABBD-9B6BF2876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85725</xdr:colOff>
      <xdr:row>44</xdr:row>
      <xdr:rowOff>19050</xdr:rowOff>
    </xdr:from>
    <xdr:to>
      <xdr:col>19</xdr:col>
      <xdr:colOff>523875</xdr:colOff>
      <xdr:row>63</xdr:row>
      <xdr:rowOff>42863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877A33-5420-40E3-9A43-FA89B73B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123825</xdr:colOff>
      <xdr:row>64</xdr:row>
      <xdr:rowOff>152400</xdr:rowOff>
    </xdr:from>
    <xdr:to>
      <xdr:col>9</xdr:col>
      <xdr:colOff>109537</xdr:colOff>
      <xdr:row>83</xdr:row>
      <xdr:rowOff>176213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B0B09EA-E032-4216-8847-0097A90B6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138112</xdr:colOff>
      <xdr:row>65</xdr:row>
      <xdr:rowOff>142875</xdr:rowOff>
    </xdr:from>
    <xdr:to>
      <xdr:col>19</xdr:col>
      <xdr:colOff>566737</xdr:colOff>
      <xdr:row>84</xdr:row>
      <xdr:rowOff>166688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6DE2A7D-D5D8-4AB0-B9D6-D340FD365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571500</xdr:colOff>
      <xdr:row>87</xdr:row>
      <xdr:rowOff>123825</xdr:rowOff>
    </xdr:from>
    <xdr:to>
      <xdr:col>13</xdr:col>
      <xdr:colOff>390525</xdr:colOff>
      <xdr:row>106</xdr:row>
      <xdr:rowOff>147638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9F70B74-69DE-4DB4-9BE1-BD7672441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24</xdr:row>
      <xdr:rowOff>109538</xdr:rowOff>
    </xdr:from>
    <xdr:to>
      <xdr:col>9</xdr:col>
      <xdr:colOff>66675</xdr:colOff>
      <xdr:row>43</xdr:row>
      <xdr:rowOff>123826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AA9F3A-C3A5-46A8-A911-A0911BC4E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514350</xdr:colOff>
      <xdr:row>23</xdr:row>
      <xdr:rowOff>180975</xdr:rowOff>
    </xdr:from>
    <xdr:to>
      <xdr:col>19</xdr:col>
      <xdr:colOff>319088</xdr:colOff>
      <xdr:row>43</xdr:row>
      <xdr:rowOff>4763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332C40-AF3B-4789-AFC3-976280B8B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147637</xdr:rowOff>
    </xdr:from>
    <xdr:to>
      <xdr:col>8</xdr:col>
      <xdr:colOff>604838</xdr:colOff>
      <xdr:row>65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95DAB97-CFD7-453E-B43D-2C79308E3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442912</xdr:colOff>
      <xdr:row>46</xdr:row>
      <xdr:rowOff>123825</xdr:rowOff>
    </xdr:from>
    <xdr:to>
      <xdr:col>19</xdr:col>
      <xdr:colOff>252412</xdr:colOff>
      <xdr:row>65</xdr:row>
      <xdr:rowOff>147638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7C1AD96-7CDC-4846-9740-7D6914610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68</xdr:row>
      <xdr:rowOff>133350</xdr:rowOff>
    </xdr:from>
    <xdr:to>
      <xdr:col>9</xdr:col>
      <xdr:colOff>14287</xdr:colOff>
      <xdr:row>87</xdr:row>
      <xdr:rowOff>157163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44FF383-D7F1-4594-9226-074B04436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495300</xdr:colOff>
      <xdr:row>69</xdr:row>
      <xdr:rowOff>171450</xdr:rowOff>
    </xdr:from>
    <xdr:to>
      <xdr:col>19</xdr:col>
      <xdr:colOff>304800</xdr:colOff>
      <xdr:row>89</xdr:row>
      <xdr:rowOff>4763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FF6598E-1174-4641-B5AB-DDA95E17B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91</xdr:row>
      <xdr:rowOff>161925</xdr:rowOff>
    </xdr:from>
    <xdr:to>
      <xdr:col>13</xdr:col>
      <xdr:colOff>428625</xdr:colOff>
      <xdr:row>110</xdr:row>
      <xdr:rowOff>185738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86C361D-7B82-422D-B93C-DE7466F57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24</xdr:row>
      <xdr:rowOff>119063</xdr:rowOff>
    </xdr:from>
    <xdr:to>
      <xdr:col>9</xdr:col>
      <xdr:colOff>47625</xdr:colOff>
      <xdr:row>43</xdr:row>
      <xdr:rowOff>133351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0DD82E-BB4F-45DE-BA8C-BF9FC873B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542924</xdr:colOff>
      <xdr:row>25</xdr:row>
      <xdr:rowOff>33337</xdr:rowOff>
    </xdr:from>
    <xdr:to>
      <xdr:col>20</xdr:col>
      <xdr:colOff>338137</xdr:colOff>
      <xdr:row>44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9A5DE4-32C2-484D-9240-C4F612159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119063</xdr:colOff>
      <xdr:row>48</xdr:row>
      <xdr:rowOff>42863</xdr:rowOff>
    </xdr:from>
    <xdr:to>
      <xdr:col>9</xdr:col>
      <xdr:colOff>104775</xdr:colOff>
      <xdr:row>67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ED49A6-04D5-49B4-970C-8EDC16FAD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428625</xdr:colOff>
      <xdr:row>48</xdr:row>
      <xdr:rowOff>100013</xdr:rowOff>
    </xdr:from>
    <xdr:to>
      <xdr:col>20</xdr:col>
      <xdr:colOff>247650</xdr:colOff>
      <xdr:row>67</xdr:row>
      <xdr:rowOff>123826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5E5B74-D2AA-4ED1-B77B-7E0F31A1EC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90488</xdr:colOff>
      <xdr:row>71</xdr:row>
      <xdr:rowOff>123825</xdr:rowOff>
    </xdr:from>
    <xdr:to>
      <xdr:col>9</xdr:col>
      <xdr:colOff>76200</xdr:colOff>
      <xdr:row>90</xdr:row>
      <xdr:rowOff>147638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DB087CE-314A-4532-BEF1-09A614E08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57150</xdr:colOff>
      <xdr:row>71</xdr:row>
      <xdr:rowOff>100013</xdr:rowOff>
    </xdr:from>
    <xdr:to>
      <xdr:col>20</xdr:col>
      <xdr:colOff>495300</xdr:colOff>
      <xdr:row>90</xdr:row>
      <xdr:rowOff>123826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66482FB-DE93-42BA-91DE-524939F2C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52388</xdr:colOff>
      <xdr:row>94</xdr:row>
      <xdr:rowOff>185738</xdr:rowOff>
    </xdr:from>
    <xdr:to>
      <xdr:col>14</xdr:col>
      <xdr:colOff>481013</xdr:colOff>
      <xdr:row>114</xdr:row>
      <xdr:rowOff>19051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ABA49A0-D419-4D02-A59D-27A2BA76D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8</xdr:col>
      <xdr:colOff>533400</xdr:colOff>
      <xdr:row>37</xdr:row>
      <xdr:rowOff>126856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54F079D-1009-4CF2-A1EF-8E09714FB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18</xdr:col>
      <xdr:colOff>533400</xdr:colOff>
      <xdr:row>37</xdr:row>
      <xdr:rowOff>126856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48873F1C-5841-421A-975D-2DDCF8D72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533400</xdr:colOff>
      <xdr:row>59</xdr:row>
      <xdr:rowOff>126856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1069167-B00E-4F32-A82A-FD93024555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18</xdr:col>
      <xdr:colOff>533400</xdr:colOff>
      <xdr:row>59</xdr:row>
      <xdr:rowOff>126856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F13803F-458C-4E3C-A79F-79093CD97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8</xdr:col>
      <xdr:colOff>533400</xdr:colOff>
      <xdr:row>81</xdr:row>
      <xdr:rowOff>136381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C12B504-29E5-40CE-BFC6-0477BBB63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62</xdr:row>
      <xdr:rowOff>0</xdr:rowOff>
    </xdr:from>
    <xdr:to>
      <xdr:col>18</xdr:col>
      <xdr:colOff>533400</xdr:colOff>
      <xdr:row>81</xdr:row>
      <xdr:rowOff>136381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FC8F127-C0B1-4F16-BE6A-91F513C81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85</xdr:row>
      <xdr:rowOff>0</xdr:rowOff>
    </xdr:from>
    <xdr:to>
      <xdr:col>14</xdr:col>
      <xdr:colOff>76200</xdr:colOff>
      <xdr:row>104</xdr:row>
      <xdr:rowOff>164956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6BF3FDE5-D66E-4226-9248-10F5322110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20</xdr:row>
      <xdr:rowOff>133350</xdr:rowOff>
    </xdr:from>
    <xdr:to>
      <xdr:col>9</xdr:col>
      <xdr:colOff>180975</xdr:colOff>
      <xdr:row>39</xdr:row>
      <xdr:rowOff>147638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259E10-4E25-469F-852D-6EB4EB702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55361</xdr:colOff>
      <xdr:row>20</xdr:row>
      <xdr:rowOff>88656</xdr:rowOff>
    </xdr:from>
    <xdr:to>
      <xdr:col>19</xdr:col>
      <xdr:colOff>479224</xdr:colOff>
      <xdr:row>39</xdr:row>
      <xdr:rowOff>102944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978D7A-157F-4D12-B836-C38EC2A31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295276</xdr:colOff>
      <xdr:row>42</xdr:row>
      <xdr:rowOff>114300</xdr:rowOff>
    </xdr:from>
    <xdr:to>
      <xdr:col>9</xdr:col>
      <xdr:colOff>280988</xdr:colOff>
      <xdr:row>61</xdr:row>
      <xdr:rowOff>138113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E3E2DC-0646-4A78-BE03-FF65246A8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547688</xdr:colOff>
      <xdr:row>42</xdr:row>
      <xdr:rowOff>71437</xdr:rowOff>
    </xdr:from>
    <xdr:to>
      <xdr:col>20</xdr:col>
      <xdr:colOff>357188</xdr:colOff>
      <xdr:row>61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EE72579-EFD8-4249-B5D4-0F895B440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314326</xdr:colOff>
      <xdr:row>64</xdr:row>
      <xdr:rowOff>52387</xdr:rowOff>
    </xdr:from>
    <xdr:to>
      <xdr:col>9</xdr:col>
      <xdr:colOff>300038</xdr:colOff>
      <xdr:row>83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96FE9CA-86CA-4E67-BDB6-0BDF3BE03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485775</xdr:colOff>
      <xdr:row>64</xdr:row>
      <xdr:rowOff>142875</xdr:rowOff>
    </xdr:from>
    <xdr:to>
      <xdr:col>20</xdr:col>
      <xdr:colOff>304800</xdr:colOff>
      <xdr:row>83</xdr:row>
      <xdr:rowOff>166688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1EE61E8-ED6C-4295-A47D-16313E069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300038</xdr:colOff>
      <xdr:row>86</xdr:row>
      <xdr:rowOff>104775</xdr:rowOff>
    </xdr:from>
    <xdr:to>
      <xdr:col>15</xdr:col>
      <xdr:colOff>109538</xdr:colOff>
      <xdr:row>105</xdr:row>
      <xdr:rowOff>128588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F0ABFFE-0B33-42F5-A652-3D6EB39A4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25</xdr:row>
      <xdr:rowOff>142875</xdr:rowOff>
    </xdr:from>
    <xdr:to>
      <xdr:col>9</xdr:col>
      <xdr:colOff>71438</xdr:colOff>
      <xdr:row>44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561DB7-E2B1-456B-A32F-6F5A0CBC9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233362</xdr:colOff>
      <xdr:row>25</xdr:row>
      <xdr:rowOff>123825</xdr:rowOff>
    </xdr:from>
    <xdr:to>
      <xdr:col>21</xdr:col>
      <xdr:colOff>38100</xdr:colOff>
      <xdr:row>44</xdr:row>
      <xdr:rowOff>138113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D997F4-7E35-403D-A189-DAED89AD2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48</xdr:row>
      <xdr:rowOff>119063</xdr:rowOff>
    </xdr:from>
    <xdr:to>
      <xdr:col>9</xdr:col>
      <xdr:colOff>138112</xdr:colOff>
      <xdr:row>67</xdr:row>
      <xdr:rowOff>142876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0303CB-B97B-46F9-8654-C213A7C60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228600</xdr:colOff>
      <xdr:row>49</xdr:row>
      <xdr:rowOff>33338</xdr:rowOff>
    </xdr:from>
    <xdr:to>
      <xdr:col>21</xdr:col>
      <xdr:colOff>38100</xdr:colOff>
      <xdr:row>68</xdr:row>
      <xdr:rowOff>57151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763EB9-A5BB-4784-B70C-E58D47D0E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61913</xdr:colOff>
      <xdr:row>70</xdr:row>
      <xdr:rowOff>109537</xdr:rowOff>
    </xdr:from>
    <xdr:to>
      <xdr:col>9</xdr:col>
      <xdr:colOff>47625</xdr:colOff>
      <xdr:row>89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7D9821F-1236-48A6-825F-7BD5B84CA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252413</xdr:colOff>
      <xdr:row>71</xdr:row>
      <xdr:rowOff>23812</xdr:rowOff>
    </xdr:from>
    <xdr:to>
      <xdr:col>21</xdr:col>
      <xdr:colOff>71438</xdr:colOff>
      <xdr:row>90</xdr:row>
      <xdr:rowOff>47625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F968EE6-E1BA-457E-84D4-99872898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23812</xdr:colOff>
      <xdr:row>94</xdr:row>
      <xdr:rowOff>9525</xdr:rowOff>
    </xdr:from>
    <xdr:to>
      <xdr:col>14</xdr:col>
      <xdr:colOff>452437</xdr:colOff>
      <xdr:row>113</xdr:row>
      <xdr:rowOff>33338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8EE6BF3-572E-46FF-8A35-8A0BA59F2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930B1-8A8F-4DF9-B90C-230E7F7EAD79}">
  <dimension ref="A1:AB19"/>
  <sheetViews>
    <sheetView zoomScaleNormal="100" workbookViewId="0">
      <selection activeCell="B3" sqref="B3:C3"/>
    </sheetView>
  </sheetViews>
  <sheetFormatPr defaultRowHeight="14.5" x14ac:dyDescent="0.35"/>
  <cols>
    <col min="1" max="1" width="10.453125" bestFit="1" customWidth="1"/>
    <col min="2" max="11" width="8" customWidth="1"/>
    <col min="23" max="23" width="14.7265625" bestFit="1" customWidth="1"/>
  </cols>
  <sheetData>
    <row r="1" spans="1:28" ht="15" thickBot="1" x14ac:dyDescent="0.4">
      <c r="W1" t="s">
        <v>73</v>
      </c>
    </row>
    <row r="2" spans="1:28" ht="19" thickBot="1" x14ac:dyDescent="0.5">
      <c r="A2" s="83" t="s">
        <v>11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28" ht="15" thickBot="1" x14ac:dyDescent="0.4">
      <c r="A3" s="50" t="s">
        <v>68</v>
      </c>
      <c r="B3" s="89">
        <v>0</v>
      </c>
      <c r="C3" s="90"/>
      <c r="D3" s="89">
        <v>7</v>
      </c>
      <c r="E3" s="90"/>
      <c r="F3" s="89">
        <v>14</v>
      </c>
      <c r="G3" s="90"/>
      <c r="H3" s="89">
        <v>21</v>
      </c>
      <c r="I3" s="90"/>
      <c r="J3" s="89">
        <v>35</v>
      </c>
      <c r="K3" s="90"/>
      <c r="W3" t="s">
        <v>49</v>
      </c>
      <c r="X3">
        <v>0</v>
      </c>
      <c r="Y3">
        <v>7</v>
      </c>
      <c r="Z3">
        <v>14</v>
      </c>
      <c r="AA3">
        <v>21</v>
      </c>
      <c r="AB3">
        <v>35</v>
      </c>
    </row>
    <row r="4" spans="1:28" ht="15" thickBot="1" x14ac:dyDescent="0.4">
      <c r="A4" s="10" t="s">
        <v>0</v>
      </c>
      <c r="B4" s="14" t="s">
        <v>2</v>
      </c>
      <c r="C4" s="15" t="s">
        <v>1</v>
      </c>
      <c r="D4" s="14" t="s">
        <v>2</v>
      </c>
      <c r="E4" s="15" t="s">
        <v>1</v>
      </c>
      <c r="F4" s="14" t="s">
        <v>2</v>
      </c>
      <c r="G4" s="15" t="s">
        <v>1</v>
      </c>
      <c r="H4" s="14" t="s">
        <v>2</v>
      </c>
      <c r="I4" s="15" t="s">
        <v>1</v>
      </c>
      <c r="J4" s="14" t="s">
        <v>2</v>
      </c>
      <c r="K4" s="15" t="s">
        <v>1</v>
      </c>
      <c r="W4" s="8" t="s">
        <v>50</v>
      </c>
      <c r="X4" s="12">
        <v>343.05</v>
      </c>
      <c r="Y4" s="12">
        <v>502.31</v>
      </c>
      <c r="Z4" s="12"/>
      <c r="AA4" s="12">
        <v>487.64</v>
      </c>
      <c r="AB4" s="12">
        <v>491.21999999999997</v>
      </c>
    </row>
    <row r="5" spans="1:28" ht="15" thickBot="1" x14ac:dyDescent="0.4">
      <c r="A5" s="10" t="s">
        <v>3</v>
      </c>
      <c r="B5" s="86"/>
      <c r="C5" s="87"/>
      <c r="D5" s="87"/>
      <c r="E5" s="87"/>
      <c r="F5" s="87"/>
      <c r="G5" s="87"/>
      <c r="H5" s="87"/>
      <c r="I5" s="87"/>
      <c r="J5" s="87"/>
      <c r="K5" s="88"/>
      <c r="W5" s="8" t="s">
        <v>51</v>
      </c>
      <c r="X5" s="3">
        <v>295.05000000000007</v>
      </c>
      <c r="Y5" s="3">
        <v>495.21000000000004</v>
      </c>
      <c r="Z5" s="3">
        <v>495.44</v>
      </c>
      <c r="AA5" s="3">
        <v>494.28000000000003</v>
      </c>
      <c r="AB5" s="3">
        <v>492.15000000000003</v>
      </c>
    </row>
    <row r="6" spans="1:28" x14ac:dyDescent="0.35">
      <c r="A6" s="8" t="s">
        <v>4</v>
      </c>
      <c r="B6" s="25">
        <v>343.05</v>
      </c>
      <c r="C6" s="26">
        <f>547.31-323.98</f>
        <v>223.32999999999993</v>
      </c>
      <c r="D6" s="25">
        <f>791.52-289.21</f>
        <v>502.31</v>
      </c>
      <c r="E6" s="26">
        <f>570.53-323.54</f>
        <v>246.98999999999995</v>
      </c>
      <c r="F6" s="25" t="s">
        <v>15</v>
      </c>
      <c r="G6" s="26">
        <f>568.99-323.45</f>
        <v>245.54000000000002</v>
      </c>
      <c r="H6" s="25">
        <f>775.67-288.03</f>
        <v>487.64</v>
      </c>
      <c r="I6" s="26">
        <f>570.08-323.47</f>
        <v>246.61</v>
      </c>
      <c r="J6" s="25">
        <f>779.03-287.81</f>
        <v>491.21999999999997</v>
      </c>
      <c r="K6" s="26">
        <f>564.99-323.43</f>
        <v>241.56</v>
      </c>
      <c r="W6" s="8" t="s">
        <v>52</v>
      </c>
      <c r="X6" s="3">
        <v>337.09</v>
      </c>
      <c r="Y6" s="3">
        <v>488.29</v>
      </c>
      <c r="Z6" s="3"/>
      <c r="AA6" s="3">
        <v>487.50999999999993</v>
      </c>
      <c r="AB6" s="3">
        <v>493.93999999999994</v>
      </c>
    </row>
    <row r="7" spans="1:28" x14ac:dyDescent="0.35">
      <c r="A7" s="8" t="s">
        <v>5</v>
      </c>
      <c r="B7" s="27">
        <f>614.2-319.15</f>
        <v>295.05000000000007</v>
      </c>
      <c r="C7" s="28">
        <f>489.84-262.66</f>
        <v>227.17999999999995</v>
      </c>
      <c r="D7" s="27">
        <f>814.07-318.86</f>
        <v>495.21000000000004</v>
      </c>
      <c r="E7" s="28">
        <f>493.85-261.95</f>
        <v>231.90000000000003</v>
      </c>
      <c r="F7" s="27">
        <f>814.24-318.8</f>
        <v>495.44</v>
      </c>
      <c r="G7" s="28">
        <f>493.71-261.73</f>
        <v>231.97999999999996</v>
      </c>
      <c r="H7" s="27">
        <f>813.12-318.84</f>
        <v>494.28000000000003</v>
      </c>
      <c r="I7" s="28">
        <f>498.4-261.7</f>
        <v>236.7</v>
      </c>
      <c r="J7" s="27">
        <f>811.19-319.04</f>
        <v>492.15000000000003</v>
      </c>
      <c r="K7" s="28">
        <f>491.33-261.9</f>
        <v>229.43</v>
      </c>
      <c r="W7" s="8" t="s">
        <v>53</v>
      </c>
      <c r="X7" s="3">
        <v>0</v>
      </c>
      <c r="Y7" s="3">
        <v>352.64000000000004</v>
      </c>
      <c r="Z7" s="3"/>
      <c r="AA7" s="3">
        <v>487.78</v>
      </c>
      <c r="AB7" s="3">
        <v>481.81</v>
      </c>
    </row>
    <row r="8" spans="1:28" x14ac:dyDescent="0.35">
      <c r="A8" s="8" t="s">
        <v>6</v>
      </c>
      <c r="B8" s="27">
        <v>337.09</v>
      </c>
      <c r="C8" s="28">
        <f>630.67-401.35</f>
        <v>229.31999999999994</v>
      </c>
      <c r="D8" s="27">
        <f>808.08-319.79</f>
        <v>488.29</v>
      </c>
      <c r="E8" s="28">
        <f>573.18-338.08</f>
        <v>235.09999999999997</v>
      </c>
      <c r="F8" s="27" t="s">
        <v>15</v>
      </c>
      <c r="G8" s="28">
        <f>580.19-337.95</f>
        <v>242.24000000000007</v>
      </c>
      <c r="H8" s="27">
        <f>806.3-318.79</f>
        <v>487.50999999999993</v>
      </c>
      <c r="I8" s="28">
        <f>577.8-337.95</f>
        <v>239.84999999999997</v>
      </c>
      <c r="J8" s="27">
        <f>812.54-318.6</f>
        <v>493.93999999999994</v>
      </c>
      <c r="K8" s="28">
        <f>573.39-337.92</f>
        <v>235.46999999999997</v>
      </c>
      <c r="W8" s="8" t="s">
        <v>54</v>
      </c>
      <c r="X8" s="3">
        <v>121.65</v>
      </c>
      <c r="Y8" s="3">
        <v>485.97999999999996</v>
      </c>
      <c r="Z8" s="3"/>
      <c r="AA8" s="3">
        <v>481.32</v>
      </c>
      <c r="AB8" s="3">
        <v>488.07999999999993</v>
      </c>
    </row>
    <row r="9" spans="1:28" x14ac:dyDescent="0.35">
      <c r="A9" s="8" t="s">
        <v>7</v>
      </c>
      <c r="B9" s="27">
        <v>0</v>
      </c>
      <c r="C9" s="28">
        <f>452.89-212.88</f>
        <v>240.01</v>
      </c>
      <c r="D9" s="27">
        <f>678.23-325.59</f>
        <v>352.64000000000004</v>
      </c>
      <c r="E9" s="28">
        <f>454.07-212.69</f>
        <v>241.38</v>
      </c>
      <c r="F9" s="27" t="s">
        <v>15</v>
      </c>
      <c r="G9" s="28">
        <f>450.13-212.52</f>
        <v>237.60999999999999</v>
      </c>
      <c r="H9" s="27">
        <f>812.41-324.63</f>
        <v>487.78</v>
      </c>
      <c r="I9" s="28">
        <f>458.22-212.63</f>
        <v>245.59000000000003</v>
      </c>
      <c r="J9" s="27">
        <f>806.25-324.44</f>
        <v>481.81</v>
      </c>
      <c r="K9" s="28">
        <f>448.96-212.52</f>
        <v>236.43999999999997</v>
      </c>
      <c r="W9" s="8" t="s">
        <v>55</v>
      </c>
      <c r="X9" s="3">
        <v>38.42999999999995</v>
      </c>
      <c r="Y9" s="3">
        <v>404.66</v>
      </c>
      <c r="Z9" s="3">
        <v>499.56999999999994</v>
      </c>
      <c r="AA9" s="3">
        <v>496.12</v>
      </c>
      <c r="AB9" s="3">
        <v>430.80999999999995</v>
      </c>
    </row>
    <row r="10" spans="1:28" ht="15" thickBot="1" x14ac:dyDescent="0.4">
      <c r="A10" s="8" t="s">
        <v>8</v>
      </c>
      <c r="B10" s="27">
        <v>121.65</v>
      </c>
      <c r="C10" s="28">
        <f>551.19-332.59</f>
        <v>218.60000000000008</v>
      </c>
      <c r="D10" s="27">
        <f>819.06-333.08</f>
        <v>485.97999999999996</v>
      </c>
      <c r="E10" s="28">
        <f>573.83-332.36</f>
        <v>241.47000000000003</v>
      </c>
      <c r="F10" s="27" t="s">
        <v>15</v>
      </c>
      <c r="G10" s="28">
        <f>491.4-332.37</f>
        <v>159.02999999999997</v>
      </c>
      <c r="H10" s="27">
        <f>813.5-332.18</f>
        <v>481.32</v>
      </c>
      <c r="I10" s="28">
        <f>464.91-332.33</f>
        <v>132.58000000000004</v>
      </c>
      <c r="J10" s="27">
        <f>820.05-331.97</f>
        <v>488.07999999999993</v>
      </c>
      <c r="K10" s="28">
        <f>386-332.37</f>
        <v>53.629999999999995</v>
      </c>
      <c r="W10" s="9" t="s">
        <v>56</v>
      </c>
      <c r="X10" s="5">
        <v>235.27</v>
      </c>
      <c r="Y10" s="5">
        <v>484.03</v>
      </c>
      <c r="Z10" s="5"/>
      <c r="AA10" s="5">
        <v>333.49999999999994</v>
      </c>
      <c r="AB10" s="5">
        <v>492.72999999999996</v>
      </c>
    </row>
    <row r="11" spans="1:28" x14ac:dyDescent="0.35">
      <c r="A11" s="8" t="s">
        <v>9</v>
      </c>
      <c r="B11" s="27">
        <f>363.53-325.1</f>
        <v>38.42999999999995</v>
      </c>
      <c r="C11" s="28">
        <f>559.02-326.88</f>
        <v>232.14</v>
      </c>
      <c r="D11" s="27">
        <f>729.5-324.84</f>
        <v>404.66</v>
      </c>
      <c r="E11" s="28">
        <f>412.82-326.4</f>
        <v>86.420000000000016</v>
      </c>
      <c r="F11" s="27">
        <f>824.06-324.49</f>
        <v>499.56999999999994</v>
      </c>
      <c r="G11" s="28">
        <f>496.8-325.99</f>
        <v>170.81</v>
      </c>
      <c r="H11" s="27">
        <f>820.75-324.63</f>
        <v>496.12</v>
      </c>
      <c r="I11" s="28">
        <f>356.89-326.09</f>
        <v>30.800000000000011</v>
      </c>
      <c r="J11" s="27">
        <f>755.29-324.48</f>
        <v>430.80999999999995</v>
      </c>
      <c r="K11" s="28">
        <v>0</v>
      </c>
    </row>
    <row r="12" spans="1:28" ht="15" thickBot="1" x14ac:dyDescent="0.4">
      <c r="A12" s="9" t="s">
        <v>10</v>
      </c>
      <c r="B12" s="29">
        <v>235.27</v>
      </c>
      <c r="C12" s="30">
        <f>552.48-323.98</f>
        <v>228.5</v>
      </c>
      <c r="D12" s="29">
        <f>811.02-326.99</f>
        <v>484.03</v>
      </c>
      <c r="E12" s="30">
        <f>566.58-323.4</f>
        <v>243.18000000000006</v>
      </c>
      <c r="F12" s="29" t="s">
        <v>15</v>
      </c>
      <c r="G12" s="30">
        <f>569.49-323.08</f>
        <v>246.41000000000003</v>
      </c>
      <c r="H12" s="29">
        <f>656.79-323.29</f>
        <v>333.49999999999994</v>
      </c>
      <c r="I12" s="30">
        <f>566.94-323.19</f>
        <v>243.75000000000006</v>
      </c>
      <c r="J12" s="29">
        <f>818.54-325.81</f>
        <v>492.72999999999996</v>
      </c>
      <c r="K12" s="30">
        <f>565.67-323.02</f>
        <v>242.64999999999998</v>
      </c>
      <c r="W12" s="19" t="s">
        <v>48</v>
      </c>
      <c r="X12">
        <v>0</v>
      </c>
      <c r="Y12">
        <v>7</v>
      </c>
      <c r="Z12">
        <v>14</v>
      </c>
      <c r="AA12">
        <v>21</v>
      </c>
      <c r="AB12">
        <v>35</v>
      </c>
    </row>
    <row r="13" spans="1:28" x14ac:dyDescent="0.35">
      <c r="W13" s="8" t="s">
        <v>57</v>
      </c>
      <c r="X13" s="13">
        <v>223.32999999999993</v>
      </c>
      <c r="Y13" s="13">
        <v>246.98999999999995</v>
      </c>
      <c r="Z13" s="13">
        <v>245.54000000000002</v>
      </c>
      <c r="AA13" s="13">
        <v>246.61</v>
      </c>
      <c r="AB13" s="13">
        <v>241.56</v>
      </c>
    </row>
    <row r="14" spans="1:28" x14ac:dyDescent="0.35">
      <c r="A14" s="11" t="s">
        <v>13</v>
      </c>
      <c r="B14" t="s">
        <v>14</v>
      </c>
      <c r="W14" s="8" t="s">
        <v>58</v>
      </c>
      <c r="X14" s="4">
        <v>227.17999999999995</v>
      </c>
      <c r="Y14" s="4">
        <v>231.90000000000003</v>
      </c>
      <c r="Z14" s="4">
        <v>231.97999999999996</v>
      </c>
      <c r="AA14" s="4">
        <v>236.7</v>
      </c>
      <c r="AB14" s="4">
        <v>229.43</v>
      </c>
    </row>
    <row r="15" spans="1:28" x14ac:dyDescent="0.35">
      <c r="B15" t="s">
        <v>72</v>
      </c>
      <c r="W15" s="8" t="s">
        <v>59</v>
      </c>
      <c r="X15" s="4">
        <v>229.31999999999994</v>
      </c>
      <c r="Y15" s="4">
        <v>235.09999999999997</v>
      </c>
      <c r="Z15" s="4">
        <v>242.24000000000007</v>
      </c>
      <c r="AA15" s="4">
        <v>239.84999999999997</v>
      </c>
      <c r="AB15" s="4">
        <v>235.46999999999997</v>
      </c>
    </row>
    <row r="16" spans="1:28" x14ac:dyDescent="0.35">
      <c r="B16" t="s">
        <v>71</v>
      </c>
      <c r="W16" s="8" t="s">
        <v>60</v>
      </c>
      <c r="X16" s="4">
        <v>240.01</v>
      </c>
      <c r="Y16" s="4">
        <v>241.38</v>
      </c>
      <c r="Z16" s="4">
        <v>237.60999999999999</v>
      </c>
      <c r="AA16" s="4">
        <v>245.59000000000003</v>
      </c>
      <c r="AB16" s="4">
        <v>236.43999999999997</v>
      </c>
    </row>
    <row r="17" spans="23:28" x14ac:dyDescent="0.35">
      <c r="W17" s="8" t="s">
        <v>61</v>
      </c>
      <c r="X17" s="4">
        <v>218.60000000000008</v>
      </c>
      <c r="Y17" s="4">
        <v>241.47000000000003</v>
      </c>
      <c r="Z17" s="4">
        <v>159.02999999999997</v>
      </c>
      <c r="AA17" s="4">
        <v>132.58000000000004</v>
      </c>
      <c r="AB17" s="4">
        <v>53.629999999999995</v>
      </c>
    </row>
    <row r="18" spans="23:28" x14ac:dyDescent="0.35">
      <c r="W18" s="8" t="s">
        <v>62</v>
      </c>
      <c r="X18" s="4">
        <v>232.14</v>
      </c>
      <c r="Y18" s="4">
        <v>86.420000000000016</v>
      </c>
      <c r="Z18" s="4">
        <v>170.81</v>
      </c>
      <c r="AA18" s="4">
        <v>30.800000000000011</v>
      </c>
      <c r="AB18" s="4">
        <v>0</v>
      </c>
    </row>
    <row r="19" spans="23:28" ht="15" thickBot="1" x14ac:dyDescent="0.4">
      <c r="W19" s="9" t="s">
        <v>63</v>
      </c>
      <c r="X19" s="6">
        <v>228.5</v>
      </c>
      <c r="Y19" s="6">
        <v>243.18000000000006</v>
      </c>
      <c r="Z19" s="6">
        <v>246.41000000000003</v>
      </c>
      <c r="AA19" s="6">
        <v>243.75000000000006</v>
      </c>
      <c r="AB19" s="6">
        <v>242.64999999999998</v>
      </c>
    </row>
  </sheetData>
  <mergeCells count="7">
    <mergeCell ref="A2:K2"/>
    <mergeCell ref="B5:K5"/>
    <mergeCell ref="B3:C3"/>
    <mergeCell ref="D3:E3"/>
    <mergeCell ref="F3:G3"/>
    <mergeCell ref="H3:I3"/>
    <mergeCell ref="J3:K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499B-E7E7-4D6D-90B8-B3A4B3D81BFE}">
  <dimension ref="A1:Z35"/>
  <sheetViews>
    <sheetView topLeftCell="A13" zoomScale="70" zoomScaleNormal="70" workbookViewId="0">
      <selection activeCell="U26" sqref="U26:Z35"/>
    </sheetView>
  </sheetViews>
  <sheetFormatPr defaultRowHeight="14.5" x14ac:dyDescent="0.35"/>
  <cols>
    <col min="1" max="1" width="10.453125" bestFit="1" customWidth="1"/>
    <col min="2" max="11" width="8.7265625" customWidth="1"/>
  </cols>
  <sheetData>
    <row r="1" spans="1:26" ht="15" thickBot="1" x14ac:dyDescent="0.4">
      <c r="U1" t="s">
        <v>73</v>
      </c>
    </row>
    <row r="2" spans="1:26" ht="19" thickBot="1" x14ac:dyDescent="0.5">
      <c r="A2" s="83" t="s">
        <v>44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26" x14ac:dyDescent="0.35">
      <c r="A3" s="50" t="s">
        <v>68</v>
      </c>
      <c r="B3" s="89">
        <v>0</v>
      </c>
      <c r="C3" s="90"/>
      <c r="D3" s="89">
        <v>7</v>
      </c>
      <c r="E3" s="90"/>
      <c r="F3" s="89">
        <v>14</v>
      </c>
      <c r="G3" s="90"/>
      <c r="H3" s="89">
        <v>21</v>
      </c>
      <c r="I3" s="90"/>
      <c r="J3" s="89">
        <v>35</v>
      </c>
      <c r="K3" s="90"/>
    </row>
    <row r="4" spans="1:26" x14ac:dyDescent="0.35">
      <c r="A4" s="7" t="s">
        <v>0</v>
      </c>
      <c r="B4" s="1" t="s">
        <v>2</v>
      </c>
      <c r="C4" s="2" t="s">
        <v>1</v>
      </c>
      <c r="D4" s="1" t="s">
        <v>2</v>
      </c>
      <c r="E4" s="2" t="s">
        <v>1</v>
      </c>
      <c r="F4" s="1" t="s">
        <v>2</v>
      </c>
      <c r="G4" s="2" t="s">
        <v>1</v>
      </c>
      <c r="H4" s="1" t="s">
        <v>2</v>
      </c>
      <c r="I4" s="2" t="s">
        <v>1</v>
      </c>
      <c r="J4" s="1" t="s">
        <v>2</v>
      </c>
      <c r="K4" s="2" t="s">
        <v>1</v>
      </c>
      <c r="U4" t="s">
        <v>49</v>
      </c>
      <c r="V4">
        <v>0</v>
      </c>
      <c r="W4">
        <v>7</v>
      </c>
      <c r="X4">
        <v>14</v>
      </c>
      <c r="Y4">
        <v>21</v>
      </c>
      <c r="Z4">
        <v>35</v>
      </c>
    </row>
    <row r="5" spans="1:26" x14ac:dyDescent="0.35">
      <c r="A5" s="10" t="s">
        <v>3</v>
      </c>
      <c r="B5" s="91"/>
      <c r="C5" s="92"/>
      <c r="D5" s="92"/>
      <c r="E5" s="92"/>
      <c r="F5" s="92"/>
      <c r="G5" s="92"/>
      <c r="H5" s="92"/>
      <c r="I5" s="92"/>
      <c r="J5" s="92"/>
      <c r="K5" s="93"/>
      <c r="U5" s="8" t="s">
        <v>4</v>
      </c>
      <c r="V5" s="3">
        <v>1.4830000000000001</v>
      </c>
      <c r="W5" s="3">
        <v>1.06</v>
      </c>
      <c r="X5" s="3">
        <v>1.1120000000000001</v>
      </c>
      <c r="Y5" s="3">
        <v>1.0029999999999999</v>
      </c>
      <c r="Z5" s="3">
        <v>1.2889999999999999</v>
      </c>
    </row>
    <row r="6" spans="1:26" x14ac:dyDescent="0.35">
      <c r="A6" s="8" t="s">
        <v>4</v>
      </c>
      <c r="B6" s="21">
        <v>1.4830000000000001</v>
      </c>
      <c r="C6" s="22">
        <v>0.99099999999999999</v>
      </c>
      <c r="D6" s="21">
        <v>1.06</v>
      </c>
      <c r="E6" s="22">
        <v>0.35399999999999998</v>
      </c>
      <c r="F6" s="21">
        <v>1.1120000000000001</v>
      </c>
      <c r="G6" s="22">
        <v>0.14499999999999999</v>
      </c>
      <c r="H6" s="21">
        <v>1.0029999999999999</v>
      </c>
      <c r="I6" s="22">
        <v>0.104</v>
      </c>
      <c r="J6" s="21">
        <v>1.2889999999999999</v>
      </c>
      <c r="K6" s="22">
        <v>5.6300000000000003E-2</v>
      </c>
      <c r="U6" s="8" t="s">
        <v>5</v>
      </c>
      <c r="V6" s="3">
        <v>2.2100000000000002E-2</v>
      </c>
      <c r="W6" s="3">
        <v>3.31E-3</v>
      </c>
      <c r="X6" s="3">
        <v>2.0600000000000002E-3</v>
      </c>
      <c r="Y6" s="3">
        <v>2.1700000000000001E-3</v>
      </c>
      <c r="Z6" s="3">
        <v>4.2100000000000002E-3</v>
      </c>
    </row>
    <row r="7" spans="1:26" x14ac:dyDescent="0.35">
      <c r="A7" s="8" t="s">
        <v>5</v>
      </c>
      <c r="B7" s="21">
        <v>2.2100000000000002E-2</v>
      </c>
      <c r="C7" s="22">
        <v>11.2</v>
      </c>
      <c r="D7" s="21">
        <v>3.31E-3</v>
      </c>
      <c r="E7" s="22">
        <v>3.81</v>
      </c>
      <c r="F7" s="21">
        <v>2.0600000000000002E-3</v>
      </c>
      <c r="G7" s="22">
        <v>1.2549999999999999</v>
      </c>
      <c r="H7" s="21">
        <v>2.1700000000000001E-3</v>
      </c>
      <c r="I7" s="22">
        <v>0.90400000000000003</v>
      </c>
      <c r="J7" s="21">
        <v>4.2100000000000002E-3</v>
      </c>
      <c r="K7" s="22">
        <v>0.32300000000000001</v>
      </c>
      <c r="U7" s="8" t="s">
        <v>6</v>
      </c>
      <c r="V7" s="3">
        <v>0.24729999999999999</v>
      </c>
      <c r="W7" s="3">
        <v>0.17799999999999999</v>
      </c>
      <c r="X7" s="3">
        <v>0.1371</v>
      </c>
      <c r="Y7" s="3">
        <v>0.14699999999999999</v>
      </c>
      <c r="Z7" s="3">
        <v>0.11650000000000001</v>
      </c>
    </row>
    <row r="8" spans="1:26" x14ac:dyDescent="0.35">
      <c r="A8" s="8" t="s">
        <v>6</v>
      </c>
      <c r="B8" s="21">
        <v>0.24729999999999999</v>
      </c>
      <c r="C8" s="22">
        <v>33.1</v>
      </c>
      <c r="D8" s="21">
        <v>0.17799999999999999</v>
      </c>
      <c r="E8" s="22">
        <v>6.74</v>
      </c>
      <c r="F8" s="21">
        <v>0.1371</v>
      </c>
      <c r="G8" s="22">
        <v>2.5409999999999999</v>
      </c>
      <c r="H8" s="21">
        <v>0.14699999999999999</v>
      </c>
      <c r="I8" s="22">
        <v>1.62</v>
      </c>
      <c r="J8" s="21">
        <v>0.11650000000000001</v>
      </c>
      <c r="K8" s="22">
        <v>0.93300000000000005</v>
      </c>
      <c r="U8" s="8" t="s">
        <v>7</v>
      </c>
      <c r="V8" s="3" t="s">
        <v>15</v>
      </c>
      <c r="W8" s="3">
        <v>1.1299999999999999</v>
      </c>
      <c r="X8" s="3">
        <v>1.3268</v>
      </c>
      <c r="Y8" s="3">
        <v>1.4292</v>
      </c>
      <c r="Z8" s="3">
        <v>1.2747999999999999</v>
      </c>
    </row>
    <row r="9" spans="1:26" x14ac:dyDescent="0.35">
      <c r="A9" s="8" t="s">
        <v>7</v>
      </c>
      <c r="B9" s="21" t="s">
        <v>15</v>
      </c>
      <c r="C9" s="22">
        <v>0.47</v>
      </c>
      <c r="D9" s="21">
        <v>1.1299999999999999</v>
      </c>
      <c r="E9" s="22">
        <v>0.36</v>
      </c>
      <c r="F9" s="21">
        <f>4*0.3317</f>
        <v>1.3268</v>
      </c>
      <c r="G9" s="22">
        <v>0.20200000000000001</v>
      </c>
      <c r="H9" s="21">
        <f>4*0.3573</f>
        <v>1.4292</v>
      </c>
      <c r="I9" s="22">
        <v>0.182</v>
      </c>
      <c r="J9" s="21">
        <f>4*0.3187</f>
        <v>1.2747999999999999</v>
      </c>
      <c r="K9" s="22">
        <v>0.16400000000000001</v>
      </c>
      <c r="U9" s="8" t="s">
        <v>8</v>
      </c>
      <c r="V9" s="3">
        <v>1.0109999999999999</v>
      </c>
      <c r="W9" s="3">
        <v>2.0600000000000002E-3</v>
      </c>
      <c r="X9" s="3">
        <v>0.52839999999999998</v>
      </c>
      <c r="Y9" s="3">
        <v>0.52180000000000004</v>
      </c>
      <c r="Z9" s="3">
        <v>0.50780000000000003</v>
      </c>
    </row>
    <row r="10" spans="1:26" x14ac:dyDescent="0.35">
      <c r="A10" s="8" t="s">
        <v>8</v>
      </c>
      <c r="B10" s="21">
        <f>2*0.5055</f>
        <v>1.0109999999999999</v>
      </c>
      <c r="C10" s="22">
        <v>0.95299999999999996</v>
      </c>
      <c r="D10" s="21">
        <v>2.0600000000000002E-3</v>
      </c>
      <c r="E10" s="22">
        <v>0.50700000000000001</v>
      </c>
      <c r="F10" s="21">
        <f>2*0.2642</f>
        <v>0.52839999999999998</v>
      </c>
      <c r="G10" s="22">
        <v>0.28399999999999997</v>
      </c>
      <c r="H10" s="21">
        <f>2*0.2609</f>
        <v>0.52180000000000004</v>
      </c>
      <c r="I10" s="22">
        <v>0.28199999999999997</v>
      </c>
      <c r="J10" s="21">
        <f>2*0.2539</f>
        <v>0.50780000000000003</v>
      </c>
      <c r="K10" s="22">
        <v>0.219</v>
      </c>
      <c r="U10" s="8" t="s">
        <v>9</v>
      </c>
      <c r="V10" s="3">
        <v>0.40300000000000002</v>
      </c>
      <c r="W10" s="3">
        <v>0.80300000000000005</v>
      </c>
      <c r="X10" s="3">
        <v>0.52</v>
      </c>
      <c r="Y10" s="3">
        <v>0.498</v>
      </c>
      <c r="Z10" s="3">
        <v>1.46</v>
      </c>
    </row>
    <row r="11" spans="1:26" ht="15" thickBot="1" x14ac:dyDescent="0.4">
      <c r="A11" s="8" t="s">
        <v>9</v>
      </c>
      <c r="B11" s="21">
        <v>0.40300000000000002</v>
      </c>
      <c r="C11" s="22">
        <v>0.498</v>
      </c>
      <c r="D11" s="21">
        <v>0.80300000000000005</v>
      </c>
      <c r="E11" s="22">
        <v>3.22</v>
      </c>
      <c r="F11" s="21">
        <v>0.52</v>
      </c>
      <c r="G11" s="22">
        <v>0.32500000000000001</v>
      </c>
      <c r="H11" s="21">
        <v>0.498</v>
      </c>
      <c r="I11" s="22">
        <v>0.23499999999999999</v>
      </c>
      <c r="J11" s="21">
        <v>1.46</v>
      </c>
      <c r="K11" s="22" t="s">
        <v>15</v>
      </c>
      <c r="U11" s="9" t="s">
        <v>10</v>
      </c>
      <c r="V11" s="18">
        <v>5.8999999999999999E-3</v>
      </c>
      <c r="W11" s="5" t="s">
        <v>36</v>
      </c>
      <c r="X11" s="5">
        <v>4.1000000000000003E-3</v>
      </c>
      <c r="Y11" s="5" t="s">
        <v>36</v>
      </c>
      <c r="Z11" s="5" t="s">
        <v>36</v>
      </c>
    </row>
    <row r="12" spans="1:26" ht="15" thickBot="1" x14ac:dyDescent="0.4">
      <c r="A12" s="9" t="s">
        <v>10</v>
      </c>
      <c r="B12" s="59">
        <v>5.8999999999999999E-3</v>
      </c>
      <c r="C12" s="24">
        <v>0.22</v>
      </c>
      <c r="D12" s="5" t="s">
        <v>36</v>
      </c>
      <c r="E12" s="24">
        <v>0.745</v>
      </c>
      <c r="F12" s="23">
        <v>4.1000000000000003E-3</v>
      </c>
      <c r="G12" s="24">
        <v>0.189</v>
      </c>
      <c r="H12" s="23" t="s">
        <v>36</v>
      </c>
      <c r="I12" s="24">
        <v>4.5600000000000002E-2</v>
      </c>
      <c r="J12" s="23" t="s">
        <v>36</v>
      </c>
      <c r="K12" s="24">
        <v>3.2500000000000001E-2</v>
      </c>
    </row>
    <row r="14" spans="1:26" x14ac:dyDescent="0.35">
      <c r="A14" s="11" t="s">
        <v>12</v>
      </c>
      <c r="B14" t="s">
        <v>14</v>
      </c>
    </row>
    <row r="15" spans="1:26" x14ac:dyDescent="0.35">
      <c r="B15" t="s">
        <v>39</v>
      </c>
    </row>
    <row r="16" spans="1:26" x14ac:dyDescent="0.35">
      <c r="B16" t="s">
        <v>47</v>
      </c>
      <c r="U16" t="s">
        <v>48</v>
      </c>
      <c r="V16">
        <v>0</v>
      </c>
      <c r="W16">
        <v>7</v>
      </c>
      <c r="X16">
        <v>14</v>
      </c>
      <c r="Y16">
        <v>21</v>
      </c>
      <c r="Z16">
        <v>35</v>
      </c>
    </row>
    <row r="17" spans="21:26" x14ac:dyDescent="0.35">
      <c r="U17" s="8" t="s">
        <v>4</v>
      </c>
      <c r="V17" s="4">
        <v>0.99099999999999999</v>
      </c>
      <c r="W17" s="4">
        <v>0.35399999999999998</v>
      </c>
      <c r="X17" s="4">
        <v>0.14499999999999999</v>
      </c>
      <c r="Y17" s="4">
        <v>0.104</v>
      </c>
      <c r="Z17" s="4">
        <v>5.6300000000000003E-2</v>
      </c>
    </row>
    <row r="18" spans="21:26" x14ac:dyDescent="0.35">
      <c r="U18" s="8" t="s">
        <v>5</v>
      </c>
      <c r="V18" s="4">
        <v>11.2</v>
      </c>
      <c r="W18" s="4">
        <v>3.81</v>
      </c>
      <c r="X18" s="4">
        <v>1.2549999999999999</v>
      </c>
      <c r="Y18" s="4">
        <v>0.90400000000000003</v>
      </c>
      <c r="Z18" s="4">
        <v>0.32300000000000001</v>
      </c>
    </row>
    <row r="19" spans="21:26" x14ac:dyDescent="0.35">
      <c r="U19" s="8" t="s">
        <v>6</v>
      </c>
      <c r="V19" s="4">
        <v>33.1</v>
      </c>
      <c r="W19" s="4">
        <v>6.74</v>
      </c>
      <c r="X19" s="4">
        <v>2.5409999999999999</v>
      </c>
      <c r="Y19" s="4">
        <v>1.62</v>
      </c>
      <c r="Z19" s="4">
        <v>0.93300000000000005</v>
      </c>
    </row>
    <row r="20" spans="21:26" x14ac:dyDescent="0.35">
      <c r="U20" s="8" t="s">
        <v>7</v>
      </c>
      <c r="V20" s="4">
        <v>0.47</v>
      </c>
      <c r="W20" s="4">
        <v>0.36</v>
      </c>
      <c r="X20" s="4">
        <v>0.20200000000000001</v>
      </c>
      <c r="Y20" s="4">
        <v>0.182</v>
      </c>
      <c r="Z20" s="4">
        <v>0.16400000000000001</v>
      </c>
    </row>
    <row r="21" spans="21:26" x14ac:dyDescent="0.35">
      <c r="U21" s="8" t="s">
        <v>8</v>
      </c>
      <c r="V21" s="4">
        <v>0.95299999999999996</v>
      </c>
      <c r="W21" s="4">
        <v>0.50700000000000001</v>
      </c>
      <c r="X21" s="4">
        <v>0.28399999999999997</v>
      </c>
      <c r="Y21" s="4">
        <v>0.28199999999999997</v>
      </c>
      <c r="Z21" s="4">
        <v>0.219</v>
      </c>
    </row>
    <row r="22" spans="21:26" x14ac:dyDescent="0.35">
      <c r="U22" s="8" t="s">
        <v>9</v>
      </c>
      <c r="V22" s="4">
        <v>0.498</v>
      </c>
      <c r="W22" s="4">
        <v>3.22</v>
      </c>
      <c r="X22" s="4">
        <v>0.32500000000000001</v>
      </c>
      <c r="Y22" s="4">
        <v>0.23499999999999999</v>
      </c>
      <c r="Z22" s="4" t="s">
        <v>15</v>
      </c>
    </row>
    <row r="23" spans="21:26" ht="15" thickBot="1" x14ac:dyDescent="0.4">
      <c r="U23" s="9" t="s">
        <v>10</v>
      </c>
      <c r="V23" s="6">
        <v>0.22</v>
      </c>
      <c r="W23" s="6">
        <v>0.745</v>
      </c>
      <c r="X23" s="6">
        <v>0.189</v>
      </c>
      <c r="Y23" s="6">
        <v>4.5600000000000002E-2</v>
      </c>
      <c r="Z23" s="6">
        <v>3.2500000000000001E-2</v>
      </c>
    </row>
    <row r="26" spans="21:26" x14ac:dyDescent="0.35">
      <c r="V26">
        <v>0</v>
      </c>
      <c r="W26">
        <v>7</v>
      </c>
      <c r="X26">
        <v>14</v>
      </c>
      <c r="Y26">
        <v>21</v>
      </c>
      <c r="Z26">
        <v>35</v>
      </c>
    </row>
    <row r="27" spans="21:26" x14ac:dyDescent="0.35">
      <c r="U27" s="19" t="s">
        <v>74</v>
      </c>
      <c r="V27" s="81">
        <v>0.01</v>
      </c>
      <c r="W27" s="81">
        <v>0.01</v>
      </c>
      <c r="X27" s="81">
        <v>0.01</v>
      </c>
      <c r="Y27" s="81">
        <v>0.01</v>
      </c>
      <c r="Z27" s="81">
        <v>0.01</v>
      </c>
    </row>
    <row r="28" spans="21:26" x14ac:dyDescent="0.35">
      <c r="U28" s="19" t="s">
        <v>74</v>
      </c>
      <c r="V28" s="81">
        <v>4.0000000000000001E-3</v>
      </c>
      <c r="W28" s="81">
        <v>4.0000000000000001E-3</v>
      </c>
      <c r="X28" s="81">
        <v>4.0000000000000001E-3</v>
      </c>
      <c r="Y28" s="81">
        <v>4.0000000000000001E-3</v>
      </c>
      <c r="Z28" s="81">
        <v>4.0000000000000001E-3</v>
      </c>
    </row>
    <row r="29" spans="21:26" x14ac:dyDescent="0.35">
      <c r="U29" s="19" t="s">
        <v>74</v>
      </c>
      <c r="V29" s="81">
        <v>2E-3</v>
      </c>
      <c r="W29" s="81">
        <v>2E-3</v>
      </c>
      <c r="X29" s="81">
        <v>2E-3</v>
      </c>
      <c r="Y29" s="81">
        <v>2E-3</v>
      </c>
      <c r="Z29" s="81">
        <v>2E-3</v>
      </c>
    </row>
    <row r="30" spans="21:26" x14ac:dyDescent="0.35">
      <c r="U30" s="19" t="s">
        <v>74</v>
      </c>
      <c r="V30" s="81">
        <v>2.0000000000000001E-4</v>
      </c>
      <c r="W30" s="81">
        <v>2.0000000000000001E-4</v>
      </c>
      <c r="X30" s="81">
        <v>2.0000000000000001E-4</v>
      </c>
      <c r="Y30" s="81">
        <v>2.0000000000000001E-4</v>
      </c>
      <c r="Z30" s="81">
        <v>2.0000000000000001E-4</v>
      </c>
    </row>
    <row r="31" spans="21:26" x14ac:dyDescent="0.35">
      <c r="U31" s="19" t="s">
        <v>74</v>
      </c>
      <c r="V31" s="81"/>
      <c r="W31" s="81"/>
      <c r="X31" s="81">
        <v>8.0000000000000002E-3</v>
      </c>
      <c r="Y31" s="81">
        <v>8.0000000000000002E-3</v>
      </c>
      <c r="Z31" s="81">
        <v>8.0000000000000002E-3</v>
      </c>
    </row>
    <row r="32" spans="21:26" x14ac:dyDescent="0.35">
      <c r="V32" s="4">
        <v>5.0000000000000001E-4</v>
      </c>
      <c r="W32" s="4">
        <v>5.0000000000000001E-4</v>
      </c>
      <c r="X32" s="4">
        <v>5.0000000000000001E-4</v>
      </c>
      <c r="Y32" s="4">
        <v>5.0000000000000001E-4</v>
      </c>
      <c r="Z32" s="4">
        <v>5.0000000000000001E-4</v>
      </c>
    </row>
    <row r="33" spans="21:26" x14ac:dyDescent="0.35">
      <c r="V33" s="82">
        <v>1E-3</v>
      </c>
      <c r="W33" s="82">
        <v>1E-3</v>
      </c>
      <c r="X33" s="82">
        <v>1E-3</v>
      </c>
      <c r="Y33" s="82">
        <v>1E-3</v>
      </c>
      <c r="Z33" s="82">
        <v>1E-3</v>
      </c>
    </row>
    <row r="34" spans="21:26" x14ac:dyDescent="0.35">
      <c r="V34" s="82">
        <v>2.5000000000000001E-3</v>
      </c>
      <c r="W34" s="82">
        <v>2.5000000000000001E-3</v>
      </c>
      <c r="X34" s="82">
        <v>2.5000000000000001E-3</v>
      </c>
      <c r="Y34" s="82">
        <v>2.5000000000000001E-3</v>
      </c>
      <c r="Z34" s="82">
        <v>2.5000000000000001E-3</v>
      </c>
    </row>
    <row r="35" spans="21:26" x14ac:dyDescent="0.35">
      <c r="U35" s="11" t="s">
        <v>75</v>
      </c>
    </row>
  </sheetData>
  <mergeCells count="7">
    <mergeCell ref="B5:K5"/>
    <mergeCell ref="A2:K2"/>
    <mergeCell ref="B3:C3"/>
    <mergeCell ref="D3:E3"/>
    <mergeCell ref="F3:G3"/>
    <mergeCell ref="H3:I3"/>
    <mergeCell ref="J3:K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BDD6A-2317-4B45-B2FD-15ED6EAC9573}">
  <dimension ref="A1:AA23"/>
  <sheetViews>
    <sheetView topLeftCell="A94" zoomScaleNormal="100" workbookViewId="0">
      <selection activeCell="T104" sqref="T104"/>
    </sheetView>
  </sheetViews>
  <sheetFormatPr defaultRowHeight="14.5" x14ac:dyDescent="0.35"/>
  <cols>
    <col min="1" max="1" width="10.26953125" bestFit="1" customWidth="1"/>
    <col min="2" max="11" width="7.81640625" customWidth="1"/>
  </cols>
  <sheetData>
    <row r="1" spans="1:27" ht="15" thickBot="1" x14ac:dyDescent="0.4">
      <c r="V1" t="s">
        <v>73</v>
      </c>
    </row>
    <row r="2" spans="1:27" ht="19" thickBot="1" x14ac:dyDescent="0.5">
      <c r="A2" s="83" t="s">
        <v>45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27" x14ac:dyDescent="0.35">
      <c r="A3" s="50" t="s">
        <v>68</v>
      </c>
      <c r="B3" s="89">
        <v>0</v>
      </c>
      <c r="C3" s="90"/>
      <c r="D3" s="89">
        <v>7</v>
      </c>
      <c r="E3" s="90"/>
      <c r="F3" s="89">
        <v>14</v>
      </c>
      <c r="G3" s="90"/>
      <c r="H3" s="89">
        <v>21</v>
      </c>
      <c r="I3" s="90"/>
      <c r="J3" s="89">
        <v>35</v>
      </c>
      <c r="K3" s="90"/>
    </row>
    <row r="4" spans="1:27" x14ac:dyDescent="0.35">
      <c r="A4" s="10" t="s">
        <v>0</v>
      </c>
      <c r="B4" s="1" t="s">
        <v>2</v>
      </c>
      <c r="C4" s="2" t="s">
        <v>1</v>
      </c>
      <c r="D4" s="1" t="s">
        <v>2</v>
      </c>
      <c r="E4" s="2" t="s">
        <v>1</v>
      </c>
      <c r="F4" s="1" t="s">
        <v>2</v>
      </c>
      <c r="G4" s="2" t="s">
        <v>1</v>
      </c>
      <c r="H4" s="1" t="s">
        <v>2</v>
      </c>
      <c r="I4" s="2" t="s">
        <v>1</v>
      </c>
      <c r="J4" s="1" t="s">
        <v>2</v>
      </c>
      <c r="K4" s="2" t="s">
        <v>1</v>
      </c>
      <c r="V4" t="s">
        <v>49</v>
      </c>
      <c r="W4">
        <v>0</v>
      </c>
      <c r="X4">
        <v>7</v>
      </c>
      <c r="Y4">
        <v>14</v>
      </c>
      <c r="Z4">
        <v>21</v>
      </c>
      <c r="AA4">
        <v>35</v>
      </c>
    </row>
    <row r="5" spans="1:27" x14ac:dyDescent="0.35">
      <c r="A5" s="10" t="s">
        <v>3</v>
      </c>
      <c r="B5" s="91"/>
      <c r="C5" s="92"/>
      <c r="D5" s="92"/>
      <c r="E5" s="92"/>
      <c r="F5" s="92"/>
      <c r="G5" s="92"/>
      <c r="H5" s="92"/>
      <c r="I5" s="92"/>
      <c r="J5" s="92"/>
      <c r="K5" s="93"/>
      <c r="V5" s="8" t="s">
        <v>4</v>
      </c>
      <c r="W5" s="3">
        <v>2.875</v>
      </c>
      <c r="X5" s="3">
        <v>2.2629999999999999</v>
      </c>
      <c r="Y5" s="3">
        <v>1.8779999999999999</v>
      </c>
      <c r="Z5" s="3">
        <v>1.83</v>
      </c>
      <c r="AA5" s="3">
        <v>2.0070000000000001</v>
      </c>
    </row>
    <row r="6" spans="1:27" x14ac:dyDescent="0.35">
      <c r="A6" s="8" t="s">
        <v>4</v>
      </c>
      <c r="B6" s="21">
        <v>2.875</v>
      </c>
      <c r="C6" s="22">
        <v>2.12E-2</v>
      </c>
      <c r="D6" s="21">
        <v>2.2629999999999999</v>
      </c>
      <c r="E6" s="22">
        <v>3.1199999999999999E-3</v>
      </c>
      <c r="F6" s="21">
        <v>1.8779999999999999</v>
      </c>
      <c r="G6" s="22">
        <v>3.2000000000000002E-3</v>
      </c>
      <c r="H6" s="21">
        <v>1.83</v>
      </c>
      <c r="I6" s="22">
        <v>3.0000000000000001E-3</v>
      </c>
      <c r="J6" s="21">
        <v>2.0070000000000001</v>
      </c>
      <c r="K6" s="22">
        <v>6.3299999999999997E-3</v>
      </c>
      <c r="V6" s="8" t="s">
        <v>5</v>
      </c>
      <c r="W6" s="3">
        <v>1.6199999999999999E-2</v>
      </c>
      <c r="X6" s="3">
        <v>1.57E-3</v>
      </c>
      <c r="Y6" s="3">
        <v>1.72E-3</v>
      </c>
      <c r="Z6" s="3">
        <v>4.6000000000000001E-4</v>
      </c>
      <c r="AA6" s="3">
        <v>8.9300000000000004E-3</v>
      </c>
    </row>
    <row r="7" spans="1:27" x14ac:dyDescent="0.35">
      <c r="A7" s="8" t="s">
        <v>5</v>
      </c>
      <c r="B7" s="21">
        <v>1.6199999999999999E-2</v>
      </c>
      <c r="C7" s="22" t="s">
        <v>26</v>
      </c>
      <c r="D7" s="21">
        <v>1.57E-3</v>
      </c>
      <c r="E7" s="22">
        <v>2.6900000000000001E-3</v>
      </c>
      <c r="F7" s="21">
        <v>1.72E-3</v>
      </c>
      <c r="G7" s="22">
        <v>6.1500000000000001E-3</v>
      </c>
      <c r="H7" s="21">
        <v>4.6000000000000001E-4</v>
      </c>
      <c r="I7" s="22">
        <v>2.24E-2</v>
      </c>
      <c r="J7" s="21">
        <v>8.9300000000000004E-3</v>
      </c>
      <c r="K7" s="22">
        <v>4.2700000000000004E-3</v>
      </c>
      <c r="V7" s="8" t="s">
        <v>6</v>
      </c>
      <c r="W7" s="3">
        <v>7.6700000000000004E-2</v>
      </c>
      <c r="X7" s="3">
        <v>5.4300000000000001E-2</v>
      </c>
      <c r="Y7" s="3">
        <v>3.7600000000000001E-2</v>
      </c>
      <c r="Z7" s="3">
        <v>4.3400000000000001E-2</v>
      </c>
      <c r="AA7" s="3">
        <v>4.4499999999999998E-2</v>
      </c>
    </row>
    <row r="8" spans="1:27" x14ac:dyDescent="0.35">
      <c r="A8" s="8" t="s">
        <v>6</v>
      </c>
      <c r="B8" s="21">
        <v>7.6700000000000004E-2</v>
      </c>
      <c r="C8" s="22">
        <v>6.7400000000000003E-3</v>
      </c>
      <c r="D8" s="21">
        <v>5.4300000000000001E-2</v>
      </c>
      <c r="E8" s="22">
        <v>1.4500000000000001E-2</v>
      </c>
      <c r="F8" s="21">
        <v>3.7600000000000001E-2</v>
      </c>
      <c r="G8" s="22">
        <v>1.29E-2</v>
      </c>
      <c r="H8" s="21">
        <v>4.3400000000000001E-2</v>
      </c>
      <c r="I8" s="22">
        <v>1.1599999999999999E-2</v>
      </c>
      <c r="J8" s="21">
        <v>4.4499999999999998E-2</v>
      </c>
      <c r="K8" s="22">
        <v>0.01</v>
      </c>
      <c r="V8" s="8" t="s">
        <v>7</v>
      </c>
      <c r="W8" s="3" t="s">
        <v>15</v>
      </c>
      <c r="X8" s="3">
        <v>4.6900000000000004</v>
      </c>
      <c r="Y8" s="3">
        <v>5.3440000000000003</v>
      </c>
      <c r="Z8" s="3">
        <v>4.9279999999999999</v>
      </c>
      <c r="AA8" s="3">
        <v>5.1520000000000001</v>
      </c>
    </row>
    <row r="9" spans="1:27" x14ac:dyDescent="0.35">
      <c r="A9" s="8" t="s">
        <v>7</v>
      </c>
      <c r="B9" s="21" t="s">
        <v>15</v>
      </c>
      <c r="C9" s="22">
        <v>0.13500000000000001</v>
      </c>
      <c r="D9" s="21">
        <v>4.6900000000000004</v>
      </c>
      <c r="E9" s="22">
        <v>3.0099999999999998E-2</v>
      </c>
      <c r="F9" s="21">
        <f>4*1.336</f>
        <v>5.3440000000000003</v>
      </c>
      <c r="G9" s="22">
        <v>1.89E-2</v>
      </c>
      <c r="H9" s="21">
        <f>4*1.232</f>
        <v>4.9279999999999999</v>
      </c>
      <c r="I9" s="22">
        <v>4.0099999999999997E-2</v>
      </c>
      <c r="J9" s="21">
        <f>4*1.288</f>
        <v>5.1520000000000001</v>
      </c>
      <c r="K9" s="22">
        <v>1.18E-2</v>
      </c>
      <c r="V9" s="8" t="s">
        <v>8</v>
      </c>
      <c r="W9" s="3">
        <v>25.14</v>
      </c>
      <c r="X9" s="3">
        <v>15</v>
      </c>
      <c r="Y9" s="3">
        <v>12.464</v>
      </c>
      <c r="Z9" s="3">
        <v>13.462</v>
      </c>
      <c r="AA9" s="3">
        <v>12.794</v>
      </c>
    </row>
    <row r="10" spans="1:27" x14ac:dyDescent="0.35">
      <c r="A10" s="8" t="s">
        <v>8</v>
      </c>
      <c r="B10" s="21">
        <f>2*12.57</f>
        <v>25.14</v>
      </c>
      <c r="C10" s="22">
        <v>0.99299999999999999</v>
      </c>
      <c r="D10" s="21">
        <v>15</v>
      </c>
      <c r="E10" s="22">
        <v>0.436</v>
      </c>
      <c r="F10" s="21">
        <f>6.232*2</f>
        <v>12.464</v>
      </c>
      <c r="G10" s="22">
        <v>0.23499999999999999</v>
      </c>
      <c r="H10" s="21">
        <f>2*6.731</f>
        <v>13.462</v>
      </c>
      <c r="I10" s="22">
        <v>0.92400000000000004</v>
      </c>
      <c r="J10" s="21">
        <f>2*6.397</f>
        <v>12.794</v>
      </c>
      <c r="K10" s="22">
        <v>1.3</v>
      </c>
      <c r="V10" s="8" t="s">
        <v>9</v>
      </c>
      <c r="W10" s="3">
        <v>2.19</v>
      </c>
      <c r="X10" s="3">
        <v>3.94</v>
      </c>
      <c r="Y10" s="3">
        <v>3.29</v>
      </c>
      <c r="Z10" s="3">
        <v>3.02</v>
      </c>
      <c r="AA10" s="3">
        <v>3.04</v>
      </c>
    </row>
    <row r="11" spans="1:27" ht="15" thickBot="1" x14ac:dyDescent="0.4">
      <c r="A11" s="8" t="s">
        <v>9</v>
      </c>
      <c r="B11" s="21">
        <v>2.19</v>
      </c>
      <c r="C11" s="22">
        <v>0.23499999999999999</v>
      </c>
      <c r="D11" s="21">
        <v>3.94</v>
      </c>
      <c r="E11" s="22">
        <v>1.448</v>
      </c>
      <c r="F11" s="21">
        <v>3.29</v>
      </c>
      <c r="G11" s="22">
        <v>0.93500000000000005</v>
      </c>
      <c r="H11" s="21">
        <v>3.02</v>
      </c>
      <c r="I11" s="22">
        <v>2.09</v>
      </c>
      <c r="J11" s="21">
        <v>3.04</v>
      </c>
      <c r="K11" s="22" t="s">
        <v>15</v>
      </c>
      <c r="V11" s="9" t="s">
        <v>10</v>
      </c>
      <c r="W11" s="5">
        <v>0.2389</v>
      </c>
      <c r="X11" s="5">
        <v>0.13100000000000001</v>
      </c>
      <c r="Y11" s="5">
        <v>0.1186</v>
      </c>
      <c r="Z11" s="5">
        <v>0.11459999999999999</v>
      </c>
      <c r="AA11" s="5">
        <v>7.0800000000000002E-2</v>
      </c>
    </row>
    <row r="12" spans="1:27" ht="15" thickBot="1" x14ac:dyDescent="0.4">
      <c r="A12" s="9" t="s">
        <v>10</v>
      </c>
      <c r="B12" s="23">
        <v>0.2389</v>
      </c>
      <c r="C12" s="24" t="s">
        <v>26</v>
      </c>
      <c r="D12" s="23">
        <v>0.13100000000000001</v>
      </c>
      <c r="E12" s="24">
        <v>0.158</v>
      </c>
      <c r="F12" s="23">
        <v>0.1186</v>
      </c>
      <c r="G12" s="24">
        <v>2.86E-2</v>
      </c>
      <c r="H12" s="23">
        <v>0.11459999999999999</v>
      </c>
      <c r="I12" s="24">
        <v>1.4200000000000001E-2</v>
      </c>
      <c r="J12" s="23">
        <v>7.0800000000000002E-2</v>
      </c>
      <c r="K12" s="24">
        <v>2.7699999999999999E-2</v>
      </c>
    </row>
    <row r="14" spans="1:27" x14ac:dyDescent="0.35">
      <c r="A14" s="11" t="s">
        <v>12</v>
      </c>
      <c r="B14" t="s">
        <v>14</v>
      </c>
    </row>
    <row r="15" spans="1:27" x14ac:dyDescent="0.35">
      <c r="B15" t="s">
        <v>39</v>
      </c>
    </row>
    <row r="16" spans="1:27" x14ac:dyDescent="0.35">
      <c r="B16" t="s">
        <v>47</v>
      </c>
      <c r="V16" t="s">
        <v>48</v>
      </c>
      <c r="W16">
        <v>0</v>
      </c>
      <c r="X16">
        <v>7</v>
      </c>
      <c r="Y16">
        <v>14</v>
      </c>
      <c r="Z16">
        <v>21</v>
      </c>
      <c r="AA16">
        <v>35</v>
      </c>
    </row>
    <row r="17" spans="22:27" x14ac:dyDescent="0.35">
      <c r="V17" s="8" t="s">
        <v>4</v>
      </c>
      <c r="W17" s="4">
        <v>2.12E-2</v>
      </c>
      <c r="X17" s="4">
        <v>3.1199999999999999E-3</v>
      </c>
      <c r="Y17" s="4">
        <v>3.2000000000000002E-3</v>
      </c>
      <c r="Z17" s="4">
        <v>3.0000000000000001E-3</v>
      </c>
      <c r="AA17" s="4">
        <v>6.3299999999999997E-3</v>
      </c>
    </row>
    <row r="18" spans="22:27" x14ac:dyDescent="0.35">
      <c r="V18" s="8" t="s">
        <v>5</v>
      </c>
      <c r="W18" s="4"/>
      <c r="X18" s="4">
        <v>2.6900000000000001E-3</v>
      </c>
      <c r="Y18" s="4">
        <v>6.1500000000000001E-3</v>
      </c>
      <c r="Z18" s="4">
        <v>2.24E-2</v>
      </c>
      <c r="AA18" s="4">
        <v>4.2700000000000004E-3</v>
      </c>
    </row>
    <row r="19" spans="22:27" x14ac:dyDescent="0.35">
      <c r="V19" s="8" t="s">
        <v>6</v>
      </c>
      <c r="W19" s="4">
        <v>6.7400000000000003E-3</v>
      </c>
      <c r="X19" s="4">
        <v>1.4500000000000001E-2</v>
      </c>
      <c r="Y19" s="4">
        <v>1.29E-2</v>
      </c>
      <c r="Z19" s="4">
        <v>1.1599999999999999E-2</v>
      </c>
      <c r="AA19" s="4">
        <v>0.01</v>
      </c>
    </row>
    <row r="20" spans="22:27" x14ac:dyDescent="0.35">
      <c r="V20" s="8" t="s">
        <v>7</v>
      </c>
      <c r="W20" s="4">
        <v>0.13500000000000001</v>
      </c>
      <c r="X20" s="4">
        <v>3.0099999999999998E-2</v>
      </c>
      <c r="Y20" s="4">
        <v>1.89E-2</v>
      </c>
      <c r="Z20" s="4">
        <v>4.0099999999999997E-2</v>
      </c>
      <c r="AA20" s="4">
        <v>1.18E-2</v>
      </c>
    </row>
    <row r="21" spans="22:27" x14ac:dyDescent="0.35">
      <c r="V21" s="8" t="s">
        <v>8</v>
      </c>
      <c r="W21" s="4">
        <v>0.99299999999999999</v>
      </c>
      <c r="X21" s="4">
        <v>0.436</v>
      </c>
      <c r="Y21" s="4">
        <v>0.23499999999999999</v>
      </c>
      <c r="Z21" s="4">
        <v>0.92400000000000004</v>
      </c>
      <c r="AA21" s="4">
        <v>1.3</v>
      </c>
    </row>
    <row r="22" spans="22:27" x14ac:dyDescent="0.35">
      <c r="V22" s="8" t="s">
        <v>9</v>
      </c>
      <c r="W22" s="4">
        <v>0.23499999999999999</v>
      </c>
      <c r="X22" s="4">
        <v>1.448</v>
      </c>
      <c r="Y22" s="4">
        <v>0.93500000000000005</v>
      </c>
      <c r="Z22" s="4">
        <v>2.09</v>
      </c>
      <c r="AA22" s="4" t="s">
        <v>15</v>
      </c>
    </row>
    <row r="23" spans="22:27" ht="15" thickBot="1" x14ac:dyDescent="0.4">
      <c r="V23" s="9" t="s">
        <v>10</v>
      </c>
      <c r="W23" s="6"/>
      <c r="X23" s="6">
        <v>0.158</v>
      </c>
      <c r="Y23" s="6">
        <v>2.86E-2</v>
      </c>
      <c r="Z23" s="6">
        <v>1.4200000000000001E-2</v>
      </c>
      <c r="AA23" s="6">
        <v>2.7699999999999999E-2</v>
      </c>
    </row>
  </sheetData>
  <mergeCells count="7">
    <mergeCell ref="B5:K5"/>
    <mergeCell ref="A2:K2"/>
    <mergeCell ref="B3:C3"/>
    <mergeCell ref="D3:E3"/>
    <mergeCell ref="F3:G3"/>
    <mergeCell ref="H3:I3"/>
    <mergeCell ref="J3:K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3603-3C5F-40E0-9958-0BA865ECA5A1}">
  <dimension ref="A1:AA37"/>
  <sheetViews>
    <sheetView zoomScale="85" zoomScaleNormal="85" workbookViewId="0">
      <selection activeCell="V94" sqref="V94"/>
    </sheetView>
  </sheetViews>
  <sheetFormatPr defaultRowHeight="14.5" x14ac:dyDescent="0.35"/>
  <cols>
    <col min="1" max="1" width="10.26953125" bestFit="1" customWidth="1"/>
    <col min="2" max="11" width="8.26953125" customWidth="1"/>
  </cols>
  <sheetData>
    <row r="1" spans="1:27" ht="15" thickBot="1" x14ac:dyDescent="0.4">
      <c r="V1" t="s">
        <v>73</v>
      </c>
    </row>
    <row r="2" spans="1:27" ht="19" thickBot="1" x14ac:dyDescent="0.5">
      <c r="A2" s="83" t="s">
        <v>46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27" x14ac:dyDescent="0.35">
      <c r="A3" s="50" t="s">
        <v>68</v>
      </c>
      <c r="B3" s="89">
        <v>0</v>
      </c>
      <c r="C3" s="90"/>
      <c r="D3" s="89">
        <v>7</v>
      </c>
      <c r="E3" s="90"/>
      <c r="F3" s="89">
        <v>14</v>
      </c>
      <c r="G3" s="90"/>
      <c r="H3" s="89">
        <v>21</v>
      </c>
      <c r="I3" s="90"/>
      <c r="J3" s="89">
        <v>35</v>
      </c>
      <c r="K3" s="90"/>
    </row>
    <row r="4" spans="1:27" x14ac:dyDescent="0.35">
      <c r="A4" s="10" t="s">
        <v>0</v>
      </c>
      <c r="B4" s="1" t="s">
        <v>2</v>
      </c>
      <c r="C4" s="2" t="s">
        <v>1</v>
      </c>
      <c r="D4" s="1" t="s">
        <v>2</v>
      </c>
      <c r="E4" s="2" t="s">
        <v>1</v>
      </c>
      <c r="F4" s="1" t="s">
        <v>2</v>
      </c>
      <c r="G4" s="2" t="s">
        <v>1</v>
      </c>
      <c r="H4" s="1" t="s">
        <v>2</v>
      </c>
      <c r="I4" s="2" t="s">
        <v>1</v>
      </c>
      <c r="J4" s="1" t="s">
        <v>2</v>
      </c>
      <c r="K4" s="2" t="s">
        <v>1</v>
      </c>
      <c r="V4" t="s">
        <v>49</v>
      </c>
      <c r="W4">
        <v>0</v>
      </c>
      <c r="X4">
        <v>7</v>
      </c>
      <c r="Y4">
        <v>14</v>
      </c>
      <c r="Z4">
        <v>21</v>
      </c>
      <c r="AA4">
        <v>35</v>
      </c>
    </row>
    <row r="5" spans="1:27" x14ac:dyDescent="0.35">
      <c r="A5" s="10" t="s">
        <v>3</v>
      </c>
      <c r="B5" s="91"/>
      <c r="C5" s="92"/>
      <c r="D5" s="92"/>
      <c r="E5" s="92"/>
      <c r="F5" s="92"/>
      <c r="G5" s="92"/>
      <c r="H5" s="92"/>
      <c r="I5" s="92"/>
      <c r="J5" s="92"/>
      <c r="K5" s="93"/>
      <c r="V5" s="8" t="s">
        <v>4</v>
      </c>
      <c r="W5" s="3">
        <v>0.77569999999999995</v>
      </c>
      <c r="X5" s="3">
        <v>0.745</v>
      </c>
      <c r="Y5" s="3">
        <v>0.80059999999999998</v>
      </c>
      <c r="Z5" s="3">
        <v>0.62780000000000002</v>
      </c>
      <c r="AA5" s="3">
        <v>0.86650000000000005</v>
      </c>
    </row>
    <row r="6" spans="1:27" x14ac:dyDescent="0.35">
      <c r="A6" s="8" t="s">
        <v>4</v>
      </c>
      <c r="B6" s="55">
        <v>0.77569999999999995</v>
      </c>
      <c r="C6" s="56" t="s">
        <v>28</v>
      </c>
      <c r="D6" s="55">
        <v>0.745</v>
      </c>
      <c r="E6" s="56">
        <v>1.5699999999999999E-2</v>
      </c>
      <c r="F6" s="55">
        <v>0.80059999999999998</v>
      </c>
      <c r="G6" s="56" t="s">
        <v>36</v>
      </c>
      <c r="H6" s="55">
        <v>0.62780000000000002</v>
      </c>
      <c r="I6" s="56">
        <v>3.2800000000000003E-2</v>
      </c>
      <c r="J6" s="55">
        <v>0.86650000000000005</v>
      </c>
      <c r="K6" s="56">
        <v>1.2999999999999999E-2</v>
      </c>
      <c r="V6" s="8" t="s">
        <v>5</v>
      </c>
      <c r="W6" s="3">
        <v>7.3300000000000004E-2</v>
      </c>
      <c r="X6" s="3">
        <v>2.23E-2</v>
      </c>
      <c r="Y6" s="3">
        <v>1.3599999999999999E-2</v>
      </c>
      <c r="Z6" s="3">
        <v>0.01</v>
      </c>
      <c r="AA6" s="3">
        <v>1.2699999999999999E-2</v>
      </c>
    </row>
    <row r="7" spans="1:27" x14ac:dyDescent="0.35">
      <c r="A7" s="8" t="s">
        <v>5</v>
      </c>
      <c r="B7" s="55">
        <v>7.3300000000000004E-2</v>
      </c>
      <c r="C7" s="56">
        <v>0.30599999999999999</v>
      </c>
      <c r="D7" s="55">
        <v>2.23E-2</v>
      </c>
      <c r="E7" s="56">
        <v>3.3799999999999997E-2</v>
      </c>
      <c r="F7" s="55">
        <v>1.3599999999999999E-2</v>
      </c>
      <c r="G7" s="56">
        <v>8.5199999999999998E-3</v>
      </c>
      <c r="H7" s="55">
        <v>0.01</v>
      </c>
      <c r="I7" s="56">
        <v>3.9600000000000003E-2</v>
      </c>
      <c r="J7" s="55">
        <v>1.2699999999999999E-2</v>
      </c>
      <c r="K7" s="56">
        <v>1.06E-2</v>
      </c>
      <c r="V7" s="8" t="s">
        <v>6</v>
      </c>
      <c r="W7" s="3">
        <v>0.94269999999999998</v>
      </c>
      <c r="X7" s="3">
        <v>0.89300000000000002</v>
      </c>
      <c r="Y7" s="3">
        <v>0.94920000000000004</v>
      </c>
      <c r="Z7" s="3">
        <v>0.78259999999999996</v>
      </c>
      <c r="AA7" s="3">
        <v>0.70920000000000005</v>
      </c>
    </row>
    <row r="8" spans="1:27" x14ac:dyDescent="0.35">
      <c r="A8" s="8" t="s">
        <v>6</v>
      </c>
      <c r="B8" s="55">
        <v>0.94269999999999998</v>
      </c>
      <c r="C8" s="56">
        <v>8.6400000000000005E-2</v>
      </c>
      <c r="D8" s="55">
        <v>0.89300000000000002</v>
      </c>
      <c r="E8" s="56">
        <v>2.35E-2</v>
      </c>
      <c r="F8" s="55">
        <v>0.94920000000000004</v>
      </c>
      <c r="G8" s="56">
        <v>5.3900000000000003E-2</v>
      </c>
      <c r="H8" s="55">
        <v>0.78259999999999996</v>
      </c>
      <c r="I8" s="56">
        <v>5.5500000000000002E-3</v>
      </c>
      <c r="J8" s="55">
        <v>0.70920000000000005</v>
      </c>
      <c r="K8" s="56">
        <v>8.2900000000000005E-3</v>
      </c>
      <c r="V8" s="8" t="s">
        <v>7</v>
      </c>
      <c r="W8" s="3" t="s">
        <v>15</v>
      </c>
      <c r="X8" s="3">
        <v>35.700000000000003</v>
      </c>
      <c r="Y8" s="3">
        <v>50.92</v>
      </c>
      <c r="Z8" s="3">
        <v>54.32</v>
      </c>
      <c r="AA8" s="3">
        <v>50.6</v>
      </c>
    </row>
    <row r="9" spans="1:27" x14ac:dyDescent="0.35">
      <c r="A9" s="8" t="s">
        <v>7</v>
      </c>
      <c r="B9" s="55" t="s">
        <v>15</v>
      </c>
      <c r="C9" s="56">
        <v>0.40799999999999997</v>
      </c>
      <c r="D9" s="55">
        <v>35.700000000000003</v>
      </c>
      <c r="E9" s="56">
        <v>0.13600000000000001</v>
      </c>
      <c r="F9" s="55">
        <f>4*12.73</f>
        <v>50.92</v>
      </c>
      <c r="G9" s="56">
        <v>2.9700000000000001E-2</v>
      </c>
      <c r="H9" s="55">
        <f>4*13.58</f>
        <v>54.32</v>
      </c>
      <c r="I9" s="56">
        <v>6.9800000000000001E-2</v>
      </c>
      <c r="J9" s="55">
        <f>4*12.65</f>
        <v>50.6</v>
      </c>
      <c r="K9" s="56">
        <v>3.5200000000000002E-2</v>
      </c>
      <c r="V9" s="8" t="s">
        <v>8</v>
      </c>
      <c r="W9" s="3">
        <v>19.472000000000001</v>
      </c>
      <c r="X9" s="3">
        <v>9.27</v>
      </c>
      <c r="Y9" s="3">
        <v>11.726000000000001</v>
      </c>
      <c r="Z9" s="3">
        <v>11.776</v>
      </c>
      <c r="AA9" s="3">
        <v>11.752000000000001</v>
      </c>
    </row>
    <row r="10" spans="1:27" x14ac:dyDescent="0.35">
      <c r="A10" s="8" t="s">
        <v>8</v>
      </c>
      <c r="B10" s="55">
        <f>2*9.736</f>
        <v>19.472000000000001</v>
      </c>
      <c r="C10" s="56">
        <v>0.105</v>
      </c>
      <c r="D10" s="55">
        <v>9.27</v>
      </c>
      <c r="E10" s="56" t="s">
        <v>28</v>
      </c>
      <c r="F10" s="55">
        <f>2*5.863</f>
        <v>11.726000000000001</v>
      </c>
      <c r="G10" s="56">
        <v>1.12E-2</v>
      </c>
      <c r="H10" s="55">
        <f>2*5.888</f>
        <v>11.776</v>
      </c>
      <c r="I10" s="56">
        <v>0.16500000000000001</v>
      </c>
      <c r="J10" s="55">
        <f>2*5.876</f>
        <v>11.752000000000001</v>
      </c>
      <c r="K10" s="56">
        <v>0.30599999999999999</v>
      </c>
      <c r="V10" s="8" t="s">
        <v>9</v>
      </c>
      <c r="W10" s="3">
        <v>7.55</v>
      </c>
      <c r="X10" s="3">
        <v>19.100000000000001</v>
      </c>
      <c r="Y10" s="3">
        <v>14.1</v>
      </c>
      <c r="Z10" s="3">
        <v>11.8</v>
      </c>
      <c r="AA10" s="3">
        <v>11.8</v>
      </c>
    </row>
    <row r="11" spans="1:27" ht="15" thickBot="1" x14ac:dyDescent="0.4">
      <c r="A11" s="8" t="s">
        <v>9</v>
      </c>
      <c r="B11" s="55">
        <v>7.55</v>
      </c>
      <c r="C11" s="56">
        <v>0.42099999999999999</v>
      </c>
      <c r="D11" s="55">
        <v>19.100000000000001</v>
      </c>
      <c r="E11" s="56">
        <v>9.1300000000000006E-2</v>
      </c>
      <c r="F11" s="55">
        <v>14.1</v>
      </c>
      <c r="G11" s="56">
        <v>74.8</v>
      </c>
      <c r="H11" s="55">
        <v>11.8</v>
      </c>
      <c r="I11" s="56">
        <v>0.28599999999999998</v>
      </c>
      <c r="J11" s="55">
        <v>11.8</v>
      </c>
      <c r="K11" s="56" t="s">
        <v>15</v>
      </c>
      <c r="V11" s="9" t="s">
        <v>10</v>
      </c>
      <c r="W11" s="5">
        <v>8.6379999999999999</v>
      </c>
      <c r="X11" s="5">
        <v>4.6500000000000004</v>
      </c>
      <c r="Y11" s="5">
        <v>6.71</v>
      </c>
      <c r="Z11" s="5">
        <v>4.6269999999999998</v>
      </c>
      <c r="AA11" s="5">
        <v>3.9039999999999999</v>
      </c>
    </row>
    <row r="12" spans="1:27" ht="15" thickBot="1" x14ac:dyDescent="0.4">
      <c r="A12" s="9" t="s">
        <v>10</v>
      </c>
      <c r="B12" s="57">
        <v>8.6379999999999999</v>
      </c>
      <c r="C12" s="58">
        <v>0.108</v>
      </c>
      <c r="D12" s="57">
        <v>4.6500000000000004</v>
      </c>
      <c r="E12" s="58">
        <v>1.46</v>
      </c>
      <c r="F12" s="57">
        <v>6.71</v>
      </c>
      <c r="G12" s="58">
        <v>0.67400000000000004</v>
      </c>
      <c r="H12" s="57">
        <v>4.6269999999999998</v>
      </c>
      <c r="I12" s="58">
        <v>1.3899999999999999E-2</v>
      </c>
      <c r="J12" s="57">
        <v>3.9039999999999999</v>
      </c>
      <c r="K12" s="58">
        <v>6.7299999999999999E-3</v>
      </c>
    </row>
    <row r="14" spans="1:27" x14ac:dyDescent="0.35">
      <c r="A14" s="11" t="s">
        <v>12</v>
      </c>
      <c r="B14" t="s">
        <v>14</v>
      </c>
    </row>
    <row r="15" spans="1:27" x14ac:dyDescent="0.35">
      <c r="B15" t="s">
        <v>39</v>
      </c>
    </row>
    <row r="16" spans="1:27" x14ac:dyDescent="0.35">
      <c r="B16" t="s">
        <v>47</v>
      </c>
      <c r="V16" t="s">
        <v>48</v>
      </c>
      <c r="W16">
        <v>0</v>
      </c>
      <c r="X16">
        <v>7</v>
      </c>
      <c r="Y16">
        <v>14</v>
      </c>
      <c r="Z16">
        <v>21</v>
      </c>
      <c r="AA16">
        <v>35</v>
      </c>
    </row>
    <row r="17" spans="22:27" x14ac:dyDescent="0.35">
      <c r="V17" s="8" t="s">
        <v>4</v>
      </c>
      <c r="W17" s="4"/>
      <c r="X17" s="4">
        <v>1.5699999999999999E-2</v>
      </c>
      <c r="Y17" s="4" t="s">
        <v>36</v>
      </c>
      <c r="Z17" s="4">
        <v>3.2800000000000003E-2</v>
      </c>
      <c r="AA17" s="4">
        <v>1.2999999999999999E-2</v>
      </c>
    </row>
    <row r="18" spans="22:27" x14ac:dyDescent="0.35">
      <c r="V18" s="8" t="s">
        <v>5</v>
      </c>
      <c r="W18" s="4">
        <v>0.30599999999999999</v>
      </c>
      <c r="X18" s="4">
        <v>3.3799999999999997E-2</v>
      </c>
      <c r="Y18" s="4">
        <v>8.5199999999999998E-3</v>
      </c>
      <c r="Z18" s="4">
        <v>3.9600000000000003E-2</v>
      </c>
      <c r="AA18" s="4">
        <v>1.06E-2</v>
      </c>
    </row>
    <row r="19" spans="22:27" x14ac:dyDescent="0.35">
      <c r="V19" s="8" t="s">
        <v>6</v>
      </c>
      <c r="W19" s="4">
        <v>8.6400000000000005E-2</v>
      </c>
      <c r="X19" s="4">
        <v>2.35E-2</v>
      </c>
      <c r="Y19" s="4">
        <v>5.3900000000000003E-2</v>
      </c>
      <c r="Z19" s="4">
        <v>5.5500000000000002E-3</v>
      </c>
      <c r="AA19" s="4">
        <v>8.2900000000000005E-3</v>
      </c>
    </row>
    <row r="20" spans="22:27" x14ac:dyDescent="0.35">
      <c r="V20" s="8" t="s">
        <v>7</v>
      </c>
      <c r="W20" s="4">
        <v>0.40799999999999997</v>
      </c>
      <c r="X20" s="4">
        <v>0.13600000000000001</v>
      </c>
      <c r="Y20" s="4">
        <v>2.9700000000000001E-2</v>
      </c>
      <c r="Z20" s="4">
        <v>6.9800000000000001E-2</v>
      </c>
      <c r="AA20" s="4">
        <v>3.5200000000000002E-2</v>
      </c>
    </row>
    <row r="21" spans="22:27" x14ac:dyDescent="0.35">
      <c r="V21" s="8" t="s">
        <v>8</v>
      </c>
      <c r="W21" s="4">
        <v>0.105</v>
      </c>
      <c r="X21" s="4" t="s">
        <v>28</v>
      </c>
      <c r="Y21" s="4">
        <v>1.12E-2</v>
      </c>
      <c r="Z21" s="4">
        <v>0.16500000000000001</v>
      </c>
      <c r="AA21" s="4">
        <v>0.30599999999999999</v>
      </c>
    </row>
    <row r="22" spans="22:27" x14ac:dyDescent="0.35">
      <c r="V22" s="8" t="s">
        <v>9</v>
      </c>
      <c r="W22" s="4">
        <v>0.42099999999999999</v>
      </c>
      <c r="X22" s="4">
        <v>9.1300000000000006E-2</v>
      </c>
      <c r="Y22" s="4">
        <v>74.8</v>
      </c>
      <c r="Z22" s="4">
        <v>0.28599999999999998</v>
      </c>
      <c r="AA22" s="4" t="s">
        <v>15</v>
      </c>
    </row>
    <row r="23" spans="22:27" ht="15" thickBot="1" x14ac:dyDescent="0.4">
      <c r="V23" s="9" t="s">
        <v>10</v>
      </c>
      <c r="W23" s="6">
        <v>0.108</v>
      </c>
      <c r="X23" s="6">
        <v>1.46</v>
      </c>
      <c r="Y23" s="6">
        <v>0.67400000000000004</v>
      </c>
      <c r="Z23" s="6">
        <v>1.3899999999999999E-2</v>
      </c>
      <c r="AA23" s="6">
        <v>6.7299999999999999E-3</v>
      </c>
    </row>
    <row r="27" spans="22:27" x14ac:dyDescent="0.35">
      <c r="W27">
        <v>0</v>
      </c>
      <c r="X27">
        <v>7</v>
      </c>
      <c r="Y27">
        <v>14</v>
      </c>
      <c r="Z27">
        <v>21</v>
      </c>
      <c r="AA27">
        <v>35</v>
      </c>
    </row>
    <row r="28" spans="22:27" x14ac:dyDescent="0.35">
      <c r="V28" s="19" t="s">
        <v>74</v>
      </c>
      <c r="W28" s="81">
        <v>0.01</v>
      </c>
      <c r="X28" s="81">
        <v>0.01</v>
      </c>
      <c r="Y28" s="81">
        <v>0.01</v>
      </c>
      <c r="Z28" s="81">
        <v>0.01</v>
      </c>
      <c r="AA28" s="81">
        <v>0.01</v>
      </c>
    </row>
    <row r="29" spans="22:27" x14ac:dyDescent="0.35">
      <c r="V29" s="19" t="s">
        <v>74</v>
      </c>
      <c r="W29" s="81">
        <v>4.0000000000000001E-3</v>
      </c>
      <c r="X29" s="81">
        <v>4.0000000000000001E-3</v>
      </c>
      <c r="Y29" s="81">
        <v>4.0000000000000001E-3</v>
      </c>
      <c r="Z29" s="81">
        <v>4.0000000000000001E-3</v>
      </c>
      <c r="AA29" s="81">
        <v>4.0000000000000001E-3</v>
      </c>
    </row>
    <row r="30" spans="22:27" x14ac:dyDescent="0.35">
      <c r="V30" s="19" t="s">
        <v>74</v>
      </c>
      <c r="W30" s="81">
        <v>2E-3</v>
      </c>
      <c r="X30" s="81">
        <v>2E-3</v>
      </c>
      <c r="Y30" s="81">
        <v>2E-3</v>
      </c>
      <c r="Z30" s="81">
        <v>2E-3</v>
      </c>
      <c r="AA30" s="81">
        <v>2E-3</v>
      </c>
    </row>
    <row r="31" spans="22:27" x14ac:dyDescent="0.35">
      <c r="V31" s="19" t="s">
        <v>74</v>
      </c>
      <c r="W31" s="81">
        <v>2.0000000000000001E-4</v>
      </c>
      <c r="X31" s="81">
        <v>2.0000000000000001E-4</v>
      </c>
      <c r="Y31" s="81">
        <v>2.0000000000000001E-4</v>
      </c>
      <c r="Z31" s="81">
        <v>2.0000000000000001E-4</v>
      </c>
      <c r="AA31" s="81">
        <v>2.0000000000000001E-4</v>
      </c>
    </row>
    <row r="32" spans="22:27" x14ac:dyDescent="0.35">
      <c r="V32" s="19" t="s">
        <v>74</v>
      </c>
      <c r="W32" s="81"/>
      <c r="X32" s="81"/>
      <c r="Y32" s="81">
        <v>8.0000000000000002E-3</v>
      </c>
      <c r="Z32" s="81">
        <v>8.0000000000000002E-3</v>
      </c>
      <c r="AA32" s="81">
        <v>8.0000000000000002E-3</v>
      </c>
    </row>
    <row r="33" spans="22:27" x14ac:dyDescent="0.35">
      <c r="W33" s="4">
        <v>5.0000000000000001E-4</v>
      </c>
      <c r="X33" s="4">
        <v>5.0000000000000001E-4</v>
      </c>
      <c r="Y33" s="4">
        <v>5.0000000000000001E-4</v>
      </c>
      <c r="Z33" s="4">
        <v>5.0000000000000001E-4</v>
      </c>
      <c r="AA33" s="4">
        <v>5.0000000000000001E-4</v>
      </c>
    </row>
    <row r="34" spans="22:27" x14ac:dyDescent="0.35">
      <c r="W34" s="82">
        <v>1E-3</v>
      </c>
      <c r="X34" s="82">
        <v>1E-3</v>
      </c>
      <c r="Y34" s="82">
        <v>1E-3</v>
      </c>
      <c r="Z34" s="82">
        <v>1E-3</v>
      </c>
      <c r="AA34" s="82">
        <v>1E-3</v>
      </c>
    </row>
    <row r="35" spans="22:27" x14ac:dyDescent="0.35">
      <c r="W35" s="82">
        <v>2.5000000000000001E-3</v>
      </c>
      <c r="X35" s="82">
        <v>2.5000000000000001E-3</v>
      </c>
      <c r="Y35" s="82">
        <v>2.5000000000000001E-3</v>
      </c>
      <c r="Z35" s="82">
        <v>2.5000000000000001E-3</v>
      </c>
      <c r="AA35" s="82">
        <v>2.5000000000000001E-3</v>
      </c>
    </row>
    <row r="36" spans="22:27" x14ac:dyDescent="0.35">
      <c r="W36" s="82">
        <v>0.05</v>
      </c>
    </row>
    <row r="37" spans="22:27" x14ac:dyDescent="0.35">
      <c r="V37" s="11" t="s">
        <v>75</v>
      </c>
    </row>
  </sheetData>
  <mergeCells count="7">
    <mergeCell ref="B5:K5"/>
    <mergeCell ref="A2:K2"/>
    <mergeCell ref="B3:C3"/>
    <mergeCell ref="D3:E3"/>
    <mergeCell ref="F3:G3"/>
    <mergeCell ref="H3:I3"/>
    <mergeCell ref="J3:K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856C-698C-4C0E-8133-6CC6677507B7}">
  <dimension ref="A1:AB20"/>
  <sheetViews>
    <sheetView tabSelected="1" zoomScale="70" zoomScaleNormal="70" workbookViewId="0">
      <selection activeCell="B3" sqref="B3:C3"/>
    </sheetView>
  </sheetViews>
  <sheetFormatPr defaultRowHeight="14.5" x14ac:dyDescent="0.35"/>
  <cols>
    <col min="1" max="1" width="10.26953125" bestFit="1" customWidth="1"/>
    <col min="23" max="23" width="14.7265625" bestFit="1" customWidth="1"/>
  </cols>
  <sheetData>
    <row r="1" spans="1:28" ht="15" thickBot="1" x14ac:dyDescent="0.4">
      <c r="W1" t="s">
        <v>73</v>
      </c>
    </row>
    <row r="2" spans="1:28" ht="19" thickBot="1" x14ac:dyDescent="0.5">
      <c r="A2" s="83" t="s">
        <v>16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28" x14ac:dyDescent="0.35">
      <c r="A3" s="50" t="s">
        <v>68</v>
      </c>
      <c r="B3" s="89">
        <v>0</v>
      </c>
      <c r="C3" s="90"/>
      <c r="D3" s="89">
        <v>7</v>
      </c>
      <c r="E3" s="90"/>
      <c r="F3" s="89">
        <v>14</v>
      </c>
      <c r="G3" s="90"/>
      <c r="H3" s="89">
        <v>21</v>
      </c>
      <c r="I3" s="90"/>
      <c r="J3" s="89">
        <v>35</v>
      </c>
      <c r="K3" s="90"/>
      <c r="W3" t="s">
        <v>49</v>
      </c>
      <c r="X3">
        <v>0</v>
      </c>
      <c r="Y3">
        <v>7</v>
      </c>
      <c r="Z3">
        <v>14</v>
      </c>
      <c r="AA3">
        <v>21</v>
      </c>
      <c r="AB3">
        <v>35</v>
      </c>
    </row>
    <row r="4" spans="1:28" x14ac:dyDescent="0.35">
      <c r="A4" s="10" t="s">
        <v>0</v>
      </c>
      <c r="B4" s="1" t="s">
        <v>2</v>
      </c>
      <c r="C4" s="2" t="s">
        <v>1</v>
      </c>
      <c r="D4" s="1" t="s">
        <v>2</v>
      </c>
      <c r="E4" s="2" t="s">
        <v>1</v>
      </c>
      <c r="F4" s="1" t="s">
        <v>2</v>
      </c>
      <c r="G4" s="2" t="s">
        <v>1</v>
      </c>
      <c r="H4" s="1" t="s">
        <v>2</v>
      </c>
      <c r="I4" s="2" t="s">
        <v>1</v>
      </c>
      <c r="J4" s="1" t="s">
        <v>2</v>
      </c>
      <c r="K4" s="2" t="s">
        <v>1</v>
      </c>
      <c r="W4" s="8" t="s">
        <v>4</v>
      </c>
      <c r="X4" s="3">
        <v>3.6</v>
      </c>
      <c r="Y4" s="3">
        <v>3.7</v>
      </c>
      <c r="Z4" s="3">
        <v>3.9</v>
      </c>
      <c r="AA4" s="3">
        <v>3.6</v>
      </c>
      <c r="AB4" s="3">
        <v>3.29</v>
      </c>
    </row>
    <row r="5" spans="1:28" x14ac:dyDescent="0.35">
      <c r="A5" s="10" t="s">
        <v>3</v>
      </c>
      <c r="B5" s="91"/>
      <c r="C5" s="92"/>
      <c r="D5" s="92"/>
      <c r="E5" s="92"/>
      <c r="F5" s="92"/>
      <c r="G5" s="92"/>
      <c r="H5" s="92"/>
      <c r="I5" s="92"/>
      <c r="J5" s="92"/>
      <c r="K5" s="93"/>
      <c r="W5" s="8" t="s">
        <v>5</v>
      </c>
      <c r="X5" s="3">
        <v>6.21</v>
      </c>
      <c r="Y5" s="3">
        <v>6.71</v>
      </c>
      <c r="Z5" s="3">
        <v>6.38</v>
      </c>
      <c r="AA5" s="3">
        <v>6.7</v>
      </c>
      <c r="AB5" s="3">
        <v>6.58</v>
      </c>
    </row>
    <row r="6" spans="1:28" x14ac:dyDescent="0.35">
      <c r="A6" s="8" t="s">
        <v>4</v>
      </c>
      <c r="B6" s="27">
        <v>3.6</v>
      </c>
      <c r="C6" s="28">
        <v>9.25</v>
      </c>
      <c r="D6" s="27">
        <v>3.7</v>
      </c>
      <c r="E6" s="28">
        <v>9.1199999999999992</v>
      </c>
      <c r="F6" s="27">
        <v>3.9</v>
      </c>
      <c r="G6" s="28">
        <v>8.99</v>
      </c>
      <c r="H6" s="27">
        <v>3.6</v>
      </c>
      <c r="I6" s="28">
        <v>8.73</v>
      </c>
      <c r="J6" s="27">
        <v>3.29</v>
      </c>
      <c r="K6" s="28">
        <v>8.69</v>
      </c>
      <c r="W6" s="8" t="s">
        <v>6</v>
      </c>
      <c r="X6" s="3">
        <v>5.7</v>
      </c>
      <c r="Y6" s="3">
        <v>5.7</v>
      </c>
      <c r="Z6" s="3">
        <v>6.2</v>
      </c>
      <c r="AA6" s="3">
        <v>6.1</v>
      </c>
      <c r="AB6" s="3">
        <v>5.91</v>
      </c>
    </row>
    <row r="7" spans="1:28" x14ac:dyDescent="0.35">
      <c r="A7" s="8" t="s">
        <v>5</v>
      </c>
      <c r="B7" s="27">
        <v>6.21</v>
      </c>
      <c r="C7" s="28">
        <v>9.23</v>
      </c>
      <c r="D7" s="27">
        <v>6.71</v>
      </c>
      <c r="E7" s="28">
        <v>9.1300000000000008</v>
      </c>
      <c r="F7" s="27">
        <v>6.38</v>
      </c>
      <c r="G7" s="28">
        <v>9.06</v>
      </c>
      <c r="H7" s="27">
        <v>6.7</v>
      </c>
      <c r="I7" s="28">
        <v>8.7799999999999994</v>
      </c>
      <c r="J7" s="27">
        <v>6.58</v>
      </c>
      <c r="K7" s="28">
        <v>8.7899999999999991</v>
      </c>
      <c r="W7" s="8" t="s">
        <v>7</v>
      </c>
      <c r="X7" s="3"/>
      <c r="Y7" s="3">
        <v>2.8</v>
      </c>
      <c r="Z7" s="3">
        <v>2.9</v>
      </c>
      <c r="AA7" s="3">
        <v>2.7</v>
      </c>
      <c r="AB7" s="3">
        <v>2.19</v>
      </c>
    </row>
    <row r="8" spans="1:28" x14ac:dyDescent="0.35">
      <c r="A8" s="8" t="s">
        <v>6</v>
      </c>
      <c r="B8" s="27">
        <v>5.7</v>
      </c>
      <c r="C8" s="28">
        <v>9.24</v>
      </c>
      <c r="D8" s="27">
        <v>5.7</v>
      </c>
      <c r="E8" s="28">
        <v>9.0500000000000007</v>
      </c>
      <c r="F8" s="27">
        <v>6.2</v>
      </c>
      <c r="G8" s="28">
        <v>9.0500000000000007</v>
      </c>
      <c r="H8" s="27">
        <v>6.1</v>
      </c>
      <c r="I8" s="28">
        <v>8.66</v>
      </c>
      <c r="J8" s="27">
        <v>5.91</v>
      </c>
      <c r="K8" s="28">
        <v>8.75</v>
      </c>
      <c r="W8" s="8" t="s">
        <v>8</v>
      </c>
      <c r="X8" s="3">
        <v>3</v>
      </c>
      <c r="Y8" s="3">
        <v>3.6</v>
      </c>
      <c r="Z8" s="3">
        <v>3.7</v>
      </c>
      <c r="AA8" s="3">
        <v>3.5</v>
      </c>
      <c r="AB8" s="3">
        <v>2.77</v>
      </c>
    </row>
    <row r="9" spans="1:28" x14ac:dyDescent="0.35">
      <c r="A9" s="8" t="s">
        <v>7</v>
      </c>
      <c r="B9" s="27" t="s">
        <v>15</v>
      </c>
      <c r="C9" s="28">
        <v>8.4700000000000006</v>
      </c>
      <c r="D9" s="27">
        <v>2.8</v>
      </c>
      <c r="E9" s="28">
        <v>8.6300000000000008</v>
      </c>
      <c r="F9" s="27">
        <v>2.9</v>
      </c>
      <c r="G9" s="28">
        <v>8.84</v>
      </c>
      <c r="H9" s="27">
        <v>2.7</v>
      </c>
      <c r="I9" s="28">
        <v>8.58</v>
      </c>
      <c r="J9" s="27">
        <v>2.19</v>
      </c>
      <c r="K9" s="28">
        <v>8.82</v>
      </c>
      <c r="W9" s="8" t="s">
        <v>9</v>
      </c>
      <c r="X9" s="3"/>
      <c r="Y9" s="3">
        <v>2.5</v>
      </c>
      <c r="Z9" s="3">
        <v>2.62</v>
      </c>
      <c r="AA9" s="3">
        <v>2.4300000000000002</v>
      </c>
      <c r="AB9" s="3">
        <v>2.48</v>
      </c>
    </row>
    <row r="10" spans="1:28" ht="15" thickBot="1" x14ac:dyDescent="0.4">
      <c r="A10" s="8" t="s">
        <v>8</v>
      </c>
      <c r="B10" s="27">
        <v>3</v>
      </c>
      <c r="C10" s="28">
        <v>8.51</v>
      </c>
      <c r="D10" s="27">
        <v>3.6</v>
      </c>
      <c r="E10" s="28">
        <v>8.39</v>
      </c>
      <c r="F10" s="27">
        <v>3.7</v>
      </c>
      <c r="G10" s="28">
        <v>8.61</v>
      </c>
      <c r="H10" s="27">
        <v>3.5</v>
      </c>
      <c r="I10" s="28">
        <v>8.42</v>
      </c>
      <c r="J10" s="27">
        <v>2.77</v>
      </c>
      <c r="K10" s="28">
        <v>8.51</v>
      </c>
      <c r="W10" s="9" t="s">
        <v>10</v>
      </c>
      <c r="X10" s="5">
        <v>5.7</v>
      </c>
      <c r="Y10" s="5">
        <v>6.2</v>
      </c>
      <c r="Z10" s="5">
        <v>6.6</v>
      </c>
      <c r="AA10" s="5">
        <v>6.8</v>
      </c>
      <c r="AB10" s="5">
        <v>5.78</v>
      </c>
    </row>
    <row r="11" spans="1:28" x14ac:dyDescent="0.35">
      <c r="A11" s="8" t="s">
        <v>9</v>
      </c>
      <c r="B11" s="27" t="s">
        <v>15</v>
      </c>
      <c r="C11" s="28">
        <v>9.1300000000000008</v>
      </c>
      <c r="D11" s="27">
        <v>2.5</v>
      </c>
      <c r="E11" s="28">
        <v>8.9499999999999993</v>
      </c>
      <c r="F11" s="27">
        <v>2.62</v>
      </c>
      <c r="G11" s="28">
        <v>8.9600000000000009</v>
      </c>
      <c r="H11" s="27">
        <v>2.4300000000000002</v>
      </c>
      <c r="I11" s="28">
        <v>8.61</v>
      </c>
      <c r="J11" s="27">
        <v>2.48</v>
      </c>
      <c r="K11" s="28" t="s">
        <v>15</v>
      </c>
    </row>
    <row r="12" spans="1:28" ht="15" thickBot="1" x14ac:dyDescent="0.4">
      <c r="A12" s="9" t="s">
        <v>10</v>
      </c>
      <c r="B12" s="29">
        <v>5.7</v>
      </c>
      <c r="C12" s="30">
        <v>9.2200000000000006</v>
      </c>
      <c r="D12" s="29">
        <v>6.2</v>
      </c>
      <c r="E12" s="30">
        <v>9.1999999999999993</v>
      </c>
      <c r="F12" s="29">
        <v>6.6</v>
      </c>
      <c r="G12" s="30">
        <v>9.1300000000000008</v>
      </c>
      <c r="H12" s="29">
        <v>6.8</v>
      </c>
      <c r="I12" s="30">
        <v>8.76</v>
      </c>
      <c r="J12" s="29">
        <v>5.78</v>
      </c>
      <c r="K12" s="30">
        <v>8.73</v>
      </c>
    </row>
    <row r="13" spans="1:28" x14ac:dyDescent="0.35">
      <c r="W13" s="19" t="s">
        <v>48</v>
      </c>
      <c r="X13">
        <v>0</v>
      </c>
      <c r="Y13">
        <v>7</v>
      </c>
      <c r="Z13">
        <v>14</v>
      </c>
      <c r="AA13">
        <v>21</v>
      </c>
      <c r="AB13">
        <v>35</v>
      </c>
    </row>
    <row r="14" spans="1:28" x14ac:dyDescent="0.35">
      <c r="W14" s="8" t="s">
        <v>4</v>
      </c>
      <c r="X14" s="4">
        <v>9.25</v>
      </c>
      <c r="Y14" s="4">
        <v>9.1199999999999992</v>
      </c>
      <c r="Z14" s="4">
        <v>8.99</v>
      </c>
      <c r="AA14" s="4">
        <v>8.73</v>
      </c>
      <c r="AB14" s="4">
        <v>8.69</v>
      </c>
    </row>
    <row r="15" spans="1:28" x14ac:dyDescent="0.35">
      <c r="A15" s="11" t="s">
        <v>12</v>
      </c>
      <c r="B15" t="s">
        <v>14</v>
      </c>
      <c r="W15" s="8" t="s">
        <v>5</v>
      </c>
      <c r="X15" s="4">
        <v>9.23</v>
      </c>
      <c r="Y15" s="4">
        <v>9.1300000000000008</v>
      </c>
      <c r="Z15" s="4">
        <v>9.06</v>
      </c>
      <c r="AA15" s="4">
        <v>8.7799999999999994</v>
      </c>
      <c r="AB15" s="4">
        <v>8.7899999999999991</v>
      </c>
    </row>
    <row r="16" spans="1:28" x14ac:dyDescent="0.35">
      <c r="W16" s="8" t="s">
        <v>6</v>
      </c>
      <c r="X16" s="4">
        <v>9.24</v>
      </c>
      <c r="Y16" s="4">
        <v>9.0500000000000007</v>
      </c>
      <c r="Z16" s="4">
        <v>9.0500000000000007</v>
      </c>
      <c r="AA16" s="4">
        <v>8.66</v>
      </c>
      <c r="AB16" s="4">
        <v>8.75</v>
      </c>
    </row>
    <row r="17" spans="23:28" x14ac:dyDescent="0.35">
      <c r="W17" s="8" t="s">
        <v>7</v>
      </c>
      <c r="X17" s="4">
        <v>8.4700000000000006</v>
      </c>
      <c r="Y17" s="4">
        <v>8.6300000000000008</v>
      </c>
      <c r="Z17" s="4">
        <v>8.84</v>
      </c>
      <c r="AA17" s="4">
        <v>8.58</v>
      </c>
      <c r="AB17" s="4">
        <v>8.82</v>
      </c>
    </row>
    <row r="18" spans="23:28" x14ac:dyDescent="0.35">
      <c r="W18" s="8" t="s">
        <v>8</v>
      </c>
      <c r="X18" s="4">
        <v>8.51</v>
      </c>
      <c r="Y18" s="4">
        <v>8.39</v>
      </c>
      <c r="Z18" s="4">
        <v>8.61</v>
      </c>
      <c r="AA18" s="4">
        <v>8.42</v>
      </c>
      <c r="AB18" s="4">
        <v>8.51</v>
      </c>
    </row>
    <row r="19" spans="23:28" x14ac:dyDescent="0.35">
      <c r="W19" s="8" t="s">
        <v>9</v>
      </c>
      <c r="X19" s="4">
        <v>9.1300000000000008</v>
      </c>
      <c r="Y19" s="4">
        <v>8.9499999999999993</v>
      </c>
      <c r="Z19" s="4">
        <v>8.9600000000000009</v>
      </c>
      <c r="AA19" s="4">
        <v>8.61</v>
      </c>
      <c r="AB19" s="4"/>
    </row>
    <row r="20" spans="23:28" ht="15" thickBot="1" x14ac:dyDescent="0.4">
      <c r="W20" s="9" t="s">
        <v>10</v>
      </c>
      <c r="X20" s="6">
        <v>9.2200000000000006</v>
      </c>
      <c r="Y20" s="6">
        <v>9.1999999999999993</v>
      </c>
      <c r="Z20" s="6">
        <v>9.1300000000000008</v>
      </c>
      <c r="AA20" s="6">
        <v>8.76</v>
      </c>
      <c r="AB20" s="6">
        <v>8.73</v>
      </c>
    </row>
  </sheetData>
  <mergeCells count="7">
    <mergeCell ref="B5:K5"/>
    <mergeCell ref="A2:K2"/>
    <mergeCell ref="B3:C3"/>
    <mergeCell ref="D3:E3"/>
    <mergeCell ref="F3:G3"/>
    <mergeCell ref="H3:I3"/>
    <mergeCell ref="J3:K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E5CB5-EA48-4820-BE4B-43857540EA09}">
  <dimension ref="A1:AB21"/>
  <sheetViews>
    <sheetView topLeftCell="A49" zoomScale="55" zoomScaleNormal="55" workbookViewId="0">
      <selection activeCell="B3" sqref="B3:C3"/>
    </sheetView>
  </sheetViews>
  <sheetFormatPr defaultRowHeight="14.5" x14ac:dyDescent="0.35"/>
  <cols>
    <col min="1" max="1" width="10.26953125" bestFit="1" customWidth="1"/>
    <col min="23" max="23" width="15" bestFit="1" customWidth="1"/>
  </cols>
  <sheetData>
    <row r="1" spans="1:28" ht="15" thickBot="1" x14ac:dyDescent="0.4">
      <c r="W1" t="s">
        <v>73</v>
      </c>
    </row>
    <row r="2" spans="1:28" ht="19" thickBot="1" x14ac:dyDescent="0.5">
      <c r="A2" s="83" t="s">
        <v>17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28" x14ac:dyDescent="0.35">
      <c r="A3" s="50" t="s">
        <v>68</v>
      </c>
      <c r="B3" s="89">
        <v>0</v>
      </c>
      <c r="C3" s="90"/>
      <c r="D3" s="89">
        <v>7</v>
      </c>
      <c r="E3" s="90"/>
      <c r="F3" s="89">
        <v>14</v>
      </c>
      <c r="G3" s="90"/>
      <c r="H3" s="89">
        <v>21</v>
      </c>
      <c r="I3" s="90"/>
      <c r="J3" s="89">
        <v>35</v>
      </c>
      <c r="K3" s="90"/>
    </row>
    <row r="4" spans="1:28" x14ac:dyDescent="0.35">
      <c r="A4" s="10" t="s">
        <v>0</v>
      </c>
      <c r="B4" s="1" t="s">
        <v>2</v>
      </c>
      <c r="C4" s="2" t="s">
        <v>1</v>
      </c>
      <c r="D4" s="1" t="s">
        <v>2</v>
      </c>
      <c r="E4" s="2" t="s">
        <v>1</v>
      </c>
      <c r="F4" s="1" t="s">
        <v>2</v>
      </c>
      <c r="G4" s="2" t="s">
        <v>1</v>
      </c>
      <c r="H4" s="1" t="s">
        <v>2</v>
      </c>
      <c r="I4" s="2" t="s">
        <v>1</v>
      </c>
      <c r="J4" s="1" t="s">
        <v>2</v>
      </c>
      <c r="K4" s="2" t="s">
        <v>1</v>
      </c>
      <c r="W4" t="s">
        <v>49</v>
      </c>
      <c r="X4">
        <v>0</v>
      </c>
      <c r="Y4">
        <v>7</v>
      </c>
      <c r="Z4">
        <v>14</v>
      </c>
      <c r="AA4">
        <v>21</v>
      </c>
      <c r="AB4">
        <v>35</v>
      </c>
    </row>
    <row r="5" spans="1:28" x14ac:dyDescent="0.35">
      <c r="A5" s="10" t="s">
        <v>3</v>
      </c>
      <c r="B5" s="91"/>
      <c r="C5" s="92"/>
      <c r="D5" s="92"/>
      <c r="E5" s="92"/>
      <c r="F5" s="92"/>
      <c r="G5" s="92"/>
      <c r="H5" s="92"/>
      <c r="I5" s="92"/>
      <c r="J5" s="92"/>
      <c r="K5" s="93"/>
      <c r="W5" s="8" t="s">
        <v>4</v>
      </c>
      <c r="X5" s="3">
        <v>113</v>
      </c>
      <c r="Y5" s="3">
        <v>80.400000000000006</v>
      </c>
      <c r="Z5" s="3">
        <v>67.2</v>
      </c>
      <c r="AA5" s="3">
        <v>80.099999999999994</v>
      </c>
      <c r="AB5" s="3">
        <v>66.5</v>
      </c>
    </row>
    <row r="6" spans="1:28" x14ac:dyDescent="0.35">
      <c r="A6" s="8" t="s">
        <v>4</v>
      </c>
      <c r="B6" s="31">
        <v>113</v>
      </c>
      <c r="C6" s="32">
        <v>10200</v>
      </c>
      <c r="D6" s="31">
        <v>80.400000000000006</v>
      </c>
      <c r="E6" s="32">
        <v>4241</v>
      </c>
      <c r="F6" s="31">
        <v>67.2</v>
      </c>
      <c r="G6" s="32">
        <v>2052</v>
      </c>
      <c r="H6" s="31">
        <v>80.099999999999994</v>
      </c>
      <c r="I6" s="32">
        <v>1253</v>
      </c>
      <c r="J6" s="31">
        <v>66.5</v>
      </c>
      <c r="K6" s="32">
        <v>837</v>
      </c>
      <c r="W6" s="8" t="s">
        <v>5</v>
      </c>
      <c r="X6" s="3">
        <v>261.60000000000002</v>
      </c>
      <c r="Y6" s="3">
        <v>207</v>
      </c>
      <c r="Z6" s="3">
        <v>151.9</v>
      </c>
      <c r="AA6" s="3">
        <v>131.69999999999999</v>
      </c>
      <c r="AB6" s="3">
        <v>130.19999999999999</v>
      </c>
    </row>
    <row r="7" spans="1:28" x14ac:dyDescent="0.35">
      <c r="A7" s="8" t="s">
        <v>5</v>
      </c>
      <c r="B7" s="31">
        <v>261.60000000000002</v>
      </c>
      <c r="C7" s="32">
        <v>10130</v>
      </c>
      <c r="D7" s="31">
        <v>207</v>
      </c>
      <c r="E7" s="32">
        <v>4095</v>
      </c>
      <c r="F7" s="31">
        <v>151.9</v>
      </c>
      <c r="G7" s="32">
        <v>2252</v>
      </c>
      <c r="H7" s="31">
        <v>131.69999999999999</v>
      </c>
      <c r="I7" s="32">
        <v>1494</v>
      </c>
      <c r="J7" s="31">
        <v>130.19999999999999</v>
      </c>
      <c r="K7" s="32">
        <v>779</v>
      </c>
      <c r="W7" s="8" t="s">
        <v>6</v>
      </c>
      <c r="X7" s="3">
        <v>67.2</v>
      </c>
      <c r="Y7" s="3">
        <v>42.2</v>
      </c>
      <c r="Z7" s="3">
        <v>40.700000000000003</v>
      </c>
      <c r="AA7" s="3">
        <v>40.200000000000003</v>
      </c>
      <c r="AB7" s="3">
        <v>34.799999999999997</v>
      </c>
    </row>
    <row r="8" spans="1:28" x14ac:dyDescent="0.35">
      <c r="A8" s="8" t="s">
        <v>6</v>
      </c>
      <c r="B8" s="31">
        <v>67.2</v>
      </c>
      <c r="C8" s="32">
        <v>9100</v>
      </c>
      <c r="D8" s="31">
        <v>42.2</v>
      </c>
      <c r="E8" s="32">
        <v>2706</v>
      </c>
      <c r="F8" s="31">
        <v>40.700000000000003</v>
      </c>
      <c r="G8" s="32">
        <v>1507</v>
      </c>
      <c r="H8" s="31">
        <v>40.200000000000003</v>
      </c>
      <c r="I8" s="32">
        <v>965</v>
      </c>
      <c r="J8" s="31">
        <v>34.799999999999997</v>
      </c>
      <c r="K8" s="32">
        <v>650</v>
      </c>
      <c r="W8" s="8" t="s">
        <v>7</v>
      </c>
      <c r="X8" s="3"/>
      <c r="Y8" s="3">
        <v>603</v>
      </c>
      <c r="Z8" s="3">
        <v>570</v>
      </c>
      <c r="AA8" s="3">
        <v>614</v>
      </c>
      <c r="AB8" s="3">
        <v>536</v>
      </c>
    </row>
    <row r="9" spans="1:28" x14ac:dyDescent="0.35">
      <c r="A9" s="8" t="s">
        <v>7</v>
      </c>
      <c r="B9" s="31" t="s">
        <v>15</v>
      </c>
      <c r="C9" s="32">
        <v>28950</v>
      </c>
      <c r="D9" s="31">
        <v>603</v>
      </c>
      <c r="E9" s="32">
        <v>12160</v>
      </c>
      <c r="F9" s="31">
        <v>570</v>
      </c>
      <c r="G9" s="32">
        <v>6440</v>
      </c>
      <c r="H9" s="31">
        <v>614</v>
      </c>
      <c r="I9" s="32">
        <v>4120</v>
      </c>
      <c r="J9" s="31">
        <v>536</v>
      </c>
      <c r="K9" s="32">
        <v>2384</v>
      </c>
      <c r="W9" s="8" t="s">
        <v>8</v>
      </c>
      <c r="X9" s="3">
        <v>415.1</v>
      </c>
      <c r="Y9" s="3">
        <v>163.6</v>
      </c>
      <c r="Z9" s="3">
        <v>139.5</v>
      </c>
      <c r="AA9" s="3">
        <v>166.8</v>
      </c>
      <c r="AB9" s="3">
        <v>132.69999999999999</v>
      </c>
    </row>
    <row r="10" spans="1:28" x14ac:dyDescent="0.35">
      <c r="A10" s="8" t="s">
        <v>8</v>
      </c>
      <c r="B10" s="31">
        <v>415.1</v>
      </c>
      <c r="C10" s="32">
        <v>34190</v>
      </c>
      <c r="D10" s="31">
        <v>163.6</v>
      </c>
      <c r="E10" s="32">
        <v>16890</v>
      </c>
      <c r="F10" s="31">
        <v>139.5</v>
      </c>
      <c r="G10" s="32">
        <v>6420</v>
      </c>
      <c r="H10" s="31">
        <v>166.8</v>
      </c>
      <c r="I10" s="32">
        <v>3206</v>
      </c>
      <c r="J10" s="31">
        <v>132.69999999999999</v>
      </c>
      <c r="K10" s="32" t="s">
        <v>15</v>
      </c>
      <c r="W10" s="8" t="s">
        <v>9</v>
      </c>
      <c r="X10" s="3"/>
      <c r="Y10" s="3">
        <v>685</v>
      </c>
      <c r="Z10" s="3">
        <v>600</v>
      </c>
      <c r="AA10" s="3">
        <v>554</v>
      </c>
      <c r="AB10" s="3">
        <v>519</v>
      </c>
    </row>
    <row r="11" spans="1:28" ht="15" thickBot="1" x14ac:dyDescent="0.4">
      <c r="A11" s="8" t="s">
        <v>9</v>
      </c>
      <c r="B11" s="31" t="s">
        <v>15</v>
      </c>
      <c r="C11" s="32">
        <v>35060</v>
      </c>
      <c r="D11" s="31">
        <v>685</v>
      </c>
      <c r="E11" s="32" t="s">
        <v>15</v>
      </c>
      <c r="F11" s="31">
        <v>600</v>
      </c>
      <c r="G11" s="32">
        <v>3908</v>
      </c>
      <c r="H11" s="31">
        <v>554</v>
      </c>
      <c r="I11" s="32">
        <v>2061</v>
      </c>
      <c r="J11" s="31">
        <v>519</v>
      </c>
      <c r="K11" s="32" t="s">
        <v>15</v>
      </c>
      <c r="W11" s="9" t="s">
        <v>10</v>
      </c>
      <c r="X11" s="5">
        <v>1584</v>
      </c>
      <c r="Y11" s="5">
        <v>997</v>
      </c>
      <c r="Z11" s="5">
        <v>819</v>
      </c>
      <c r="AA11" s="5">
        <v>627</v>
      </c>
      <c r="AB11" s="5">
        <v>461.3</v>
      </c>
    </row>
    <row r="12" spans="1:28" ht="15" thickBot="1" x14ac:dyDescent="0.4">
      <c r="A12" s="9" t="s">
        <v>10</v>
      </c>
      <c r="B12" s="33">
        <v>1584</v>
      </c>
      <c r="C12" s="34">
        <v>13880</v>
      </c>
      <c r="D12" s="33">
        <v>997</v>
      </c>
      <c r="E12" s="34">
        <v>8560</v>
      </c>
      <c r="F12" s="33">
        <v>819</v>
      </c>
      <c r="G12" s="34">
        <v>5370</v>
      </c>
      <c r="H12" s="33">
        <v>627</v>
      </c>
      <c r="I12" s="34">
        <v>3247</v>
      </c>
      <c r="J12" s="33">
        <v>461.3</v>
      </c>
      <c r="K12" s="34">
        <v>2049</v>
      </c>
    </row>
    <row r="14" spans="1:28" x14ac:dyDescent="0.35">
      <c r="A14" s="11" t="s">
        <v>12</v>
      </c>
      <c r="B14" t="s">
        <v>14</v>
      </c>
      <c r="W14" s="19" t="s">
        <v>48</v>
      </c>
      <c r="X14">
        <v>0</v>
      </c>
      <c r="Y14">
        <v>7</v>
      </c>
      <c r="Z14">
        <v>14</v>
      </c>
      <c r="AA14">
        <v>21</v>
      </c>
      <c r="AB14">
        <v>35</v>
      </c>
    </row>
    <row r="15" spans="1:28" x14ac:dyDescent="0.35">
      <c r="W15" s="8" t="s">
        <v>4</v>
      </c>
      <c r="X15" s="4">
        <v>10200</v>
      </c>
      <c r="Y15" s="4">
        <v>4241</v>
      </c>
      <c r="Z15" s="4">
        <v>2052</v>
      </c>
      <c r="AA15" s="4">
        <v>1253</v>
      </c>
      <c r="AB15" s="4">
        <v>837</v>
      </c>
    </row>
    <row r="16" spans="1:28" x14ac:dyDescent="0.35">
      <c r="W16" s="8" t="s">
        <v>5</v>
      </c>
      <c r="X16" s="4">
        <v>10130</v>
      </c>
      <c r="Y16" s="4">
        <v>4095</v>
      </c>
      <c r="Z16" s="4">
        <v>2252</v>
      </c>
      <c r="AA16" s="4">
        <v>1494</v>
      </c>
      <c r="AB16" s="4">
        <v>779</v>
      </c>
    </row>
    <row r="17" spans="23:28" x14ac:dyDescent="0.35">
      <c r="W17" s="8" t="s">
        <v>6</v>
      </c>
      <c r="X17" s="4">
        <v>9100</v>
      </c>
      <c r="Y17" s="4">
        <v>2706</v>
      </c>
      <c r="Z17" s="4">
        <v>1507</v>
      </c>
      <c r="AA17" s="4">
        <v>965</v>
      </c>
      <c r="AB17" s="4">
        <v>650</v>
      </c>
    </row>
    <row r="18" spans="23:28" x14ac:dyDescent="0.35">
      <c r="W18" s="8" t="s">
        <v>7</v>
      </c>
      <c r="X18" s="4">
        <v>28950</v>
      </c>
      <c r="Y18" s="4">
        <v>12160</v>
      </c>
      <c r="Z18" s="4">
        <v>6440</v>
      </c>
      <c r="AA18" s="4">
        <v>4120</v>
      </c>
      <c r="AB18" s="4">
        <v>2384</v>
      </c>
    </row>
    <row r="19" spans="23:28" x14ac:dyDescent="0.35">
      <c r="W19" s="8" t="s">
        <v>8</v>
      </c>
      <c r="X19" s="4">
        <v>34190</v>
      </c>
      <c r="Y19" s="4">
        <v>16890</v>
      </c>
      <c r="Z19" s="4">
        <v>6420</v>
      </c>
      <c r="AA19" s="4">
        <v>3206</v>
      </c>
      <c r="AB19" s="4"/>
    </row>
    <row r="20" spans="23:28" x14ac:dyDescent="0.35">
      <c r="W20" s="8" t="s">
        <v>9</v>
      </c>
      <c r="X20" s="4">
        <v>35060</v>
      </c>
      <c r="Y20" s="4"/>
      <c r="Z20" s="4">
        <v>3908</v>
      </c>
      <c r="AA20" s="4">
        <v>2061</v>
      </c>
      <c r="AB20" s="4"/>
    </row>
    <row r="21" spans="23:28" ht="15" thickBot="1" x14ac:dyDescent="0.4">
      <c r="W21" s="9" t="s">
        <v>10</v>
      </c>
      <c r="X21" s="6">
        <v>13880</v>
      </c>
      <c r="Y21" s="6">
        <v>8560</v>
      </c>
      <c r="Z21" s="6">
        <v>5370</v>
      </c>
      <c r="AA21" s="6">
        <v>3247</v>
      </c>
      <c r="AB21" s="6">
        <v>2049</v>
      </c>
    </row>
  </sheetData>
  <mergeCells count="7">
    <mergeCell ref="B5:K5"/>
    <mergeCell ref="A2:K2"/>
    <mergeCell ref="B3:C3"/>
    <mergeCell ref="D3:E3"/>
    <mergeCell ref="F3:G3"/>
    <mergeCell ref="H3:I3"/>
    <mergeCell ref="J3:K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CE4F-4F26-4664-8810-11A728D42009}">
  <dimension ref="A1:Z20"/>
  <sheetViews>
    <sheetView topLeftCell="A67" zoomScale="85" zoomScaleNormal="85" workbookViewId="0">
      <selection activeCell="B3" sqref="B3:C3"/>
    </sheetView>
  </sheetViews>
  <sheetFormatPr defaultRowHeight="14.5" x14ac:dyDescent="0.35"/>
  <cols>
    <col min="1" max="1" width="10.26953125" bestFit="1" customWidth="1"/>
    <col min="2" max="2" width="9.26953125" bestFit="1" customWidth="1"/>
    <col min="3" max="3" width="9.54296875" bestFit="1" customWidth="1"/>
    <col min="4" max="4" width="9.26953125" bestFit="1" customWidth="1"/>
    <col min="5" max="5" width="9.54296875" bestFit="1" customWidth="1"/>
    <col min="6" max="6" width="9.26953125" bestFit="1" customWidth="1"/>
    <col min="7" max="7" width="9.54296875" bestFit="1" customWidth="1"/>
    <col min="8" max="8" width="9.26953125" bestFit="1" customWidth="1"/>
    <col min="9" max="9" width="9.54296875" bestFit="1" customWidth="1"/>
    <col min="10" max="10" width="9.26953125" bestFit="1" customWidth="1"/>
    <col min="11" max="11" width="9.54296875" bestFit="1" customWidth="1"/>
    <col min="21" max="21" width="14.7265625" bestFit="1" customWidth="1"/>
  </cols>
  <sheetData>
    <row r="1" spans="1:26" ht="15" thickBot="1" x14ac:dyDescent="0.4">
      <c r="U1" t="s">
        <v>73</v>
      </c>
    </row>
    <row r="2" spans="1:26" ht="21" thickBot="1" x14ac:dyDescent="0.6">
      <c r="A2" s="83" t="s">
        <v>64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26" ht="15" thickBot="1" x14ac:dyDescent="0.4">
      <c r="A3" s="52" t="s">
        <v>68</v>
      </c>
      <c r="B3" s="89">
        <v>0</v>
      </c>
      <c r="C3" s="90"/>
      <c r="D3" s="89">
        <v>7</v>
      </c>
      <c r="E3" s="90"/>
      <c r="F3" s="89">
        <v>14</v>
      </c>
      <c r="G3" s="90"/>
      <c r="H3" s="89">
        <v>21</v>
      </c>
      <c r="I3" s="90"/>
      <c r="J3" s="89">
        <v>35</v>
      </c>
      <c r="K3" s="90"/>
      <c r="U3" t="s">
        <v>49</v>
      </c>
      <c r="V3">
        <v>0</v>
      </c>
      <c r="W3">
        <v>7</v>
      </c>
      <c r="X3">
        <v>14</v>
      </c>
      <c r="Y3">
        <v>21</v>
      </c>
      <c r="Z3">
        <v>35</v>
      </c>
    </row>
    <row r="4" spans="1:26" x14ac:dyDescent="0.35">
      <c r="A4" s="51" t="s">
        <v>0</v>
      </c>
      <c r="B4" s="1" t="s">
        <v>2</v>
      </c>
      <c r="C4" s="2" t="s">
        <v>1</v>
      </c>
      <c r="D4" s="1" t="s">
        <v>2</v>
      </c>
      <c r="E4" s="2" t="s">
        <v>1</v>
      </c>
      <c r="F4" s="1" t="s">
        <v>2</v>
      </c>
      <c r="G4" s="2" t="s">
        <v>1</v>
      </c>
      <c r="H4" s="1" t="s">
        <v>2</v>
      </c>
      <c r="I4" s="2" t="s">
        <v>1</v>
      </c>
      <c r="J4" s="1" t="s">
        <v>2</v>
      </c>
      <c r="K4" s="2" t="s">
        <v>1</v>
      </c>
      <c r="U4" s="8" t="s">
        <v>4</v>
      </c>
      <c r="V4" s="12" t="s">
        <v>15</v>
      </c>
      <c r="W4" s="3" t="s">
        <v>15</v>
      </c>
      <c r="X4" s="3">
        <v>6</v>
      </c>
      <c r="Y4" s="3"/>
      <c r="Z4" s="12"/>
    </row>
    <row r="5" spans="1:26" ht="15" thickBot="1" x14ac:dyDescent="0.4">
      <c r="A5" s="51" t="s">
        <v>3</v>
      </c>
      <c r="B5" s="94"/>
      <c r="C5" s="95"/>
      <c r="D5" s="92"/>
      <c r="E5" s="92"/>
      <c r="F5" s="92"/>
      <c r="G5" s="92"/>
      <c r="H5" s="92"/>
      <c r="I5" s="92"/>
      <c r="J5" s="95"/>
      <c r="K5" s="96"/>
      <c r="U5" s="8" t="s">
        <v>5</v>
      </c>
      <c r="V5" s="3">
        <v>42</v>
      </c>
      <c r="W5" s="3">
        <v>71.999999999999957</v>
      </c>
      <c r="X5" s="3" t="s">
        <v>15</v>
      </c>
      <c r="Y5" s="3">
        <v>77.999999999999972</v>
      </c>
      <c r="Z5" s="3">
        <v>61.999999999999993</v>
      </c>
    </row>
    <row r="6" spans="1:26" x14ac:dyDescent="0.35">
      <c r="A6" s="8" t="s">
        <v>4</v>
      </c>
      <c r="B6" s="35" t="s">
        <v>15</v>
      </c>
      <c r="C6" s="36">
        <f>(5.2-1.7)*1000</f>
        <v>3500</v>
      </c>
      <c r="D6" s="37" t="s">
        <v>15</v>
      </c>
      <c r="E6" s="38">
        <f>(37.8-35.6)*1000</f>
        <v>2199.9999999999959</v>
      </c>
      <c r="F6" s="37">
        <v>6</v>
      </c>
      <c r="G6" s="38">
        <f>(1.8-0.6)*1000</f>
        <v>1200.0000000000002</v>
      </c>
      <c r="H6" s="37">
        <v>0</v>
      </c>
      <c r="I6" s="38">
        <f>(4.2-3.4)*1000</f>
        <v>800.00000000000023</v>
      </c>
      <c r="J6" s="35">
        <v>0</v>
      </c>
      <c r="K6" s="36">
        <f>(2.1-0.1)*0.33*1000</f>
        <v>660</v>
      </c>
      <c r="U6" s="8" t="s">
        <v>6</v>
      </c>
      <c r="V6" s="3" t="s">
        <v>15</v>
      </c>
      <c r="W6" s="3">
        <v>22</v>
      </c>
      <c r="X6" s="3">
        <v>1.1000000000000001</v>
      </c>
      <c r="Y6" s="3">
        <v>1.1000000000000001</v>
      </c>
      <c r="Z6" s="3">
        <v>6</v>
      </c>
    </row>
    <row r="7" spans="1:26" x14ac:dyDescent="0.35">
      <c r="A7" s="8" t="s">
        <v>5</v>
      </c>
      <c r="B7" s="37">
        <f>(3.2-1.1)*0.02*1000</f>
        <v>42</v>
      </c>
      <c r="C7" s="38">
        <f>(8.8-5.6)*1000</f>
        <v>3200.0000000000009</v>
      </c>
      <c r="D7" s="37">
        <f>(26.2-22.6)*0.02*1000</f>
        <v>71.999999999999957</v>
      </c>
      <c r="E7" s="38">
        <f>(39.9-38.1)*1000</f>
        <v>1799.9999999999973</v>
      </c>
      <c r="F7" s="37" t="s">
        <v>15</v>
      </c>
      <c r="G7" s="38">
        <f>(3.1-1.8)*1000</f>
        <v>1300</v>
      </c>
      <c r="H7" s="37">
        <f>(43.4-39.5)*0.02*1000</f>
        <v>77.999999999999972</v>
      </c>
      <c r="I7" s="38">
        <f>(5.4-4.2)*1000</f>
        <v>1200.0000000000002</v>
      </c>
      <c r="J7" s="37">
        <f>(12.1-9)*0.02*1000</f>
        <v>61.999999999999993</v>
      </c>
      <c r="K7" s="38">
        <f>(4.2-2.1)*0.33*1000</f>
        <v>693.00000000000011</v>
      </c>
      <c r="U7" s="8" t="s">
        <v>7</v>
      </c>
      <c r="V7" s="3" t="s">
        <v>15</v>
      </c>
      <c r="W7" s="3"/>
      <c r="X7" s="3"/>
      <c r="Y7" s="3"/>
      <c r="Z7" s="3"/>
    </row>
    <row r="8" spans="1:26" x14ac:dyDescent="0.35">
      <c r="A8" s="8" t="s">
        <v>6</v>
      </c>
      <c r="B8" s="37" t="s">
        <v>15</v>
      </c>
      <c r="C8" s="38">
        <f>(12.1-9.2)*1000</f>
        <v>2900.0000000000005</v>
      </c>
      <c r="D8" s="37">
        <v>22</v>
      </c>
      <c r="E8" s="38">
        <f>(41.4-40)*1000</f>
        <v>1399.9999999999986</v>
      </c>
      <c r="F8" s="37">
        <v>10</v>
      </c>
      <c r="G8" s="38">
        <f>(4.2-3.1)*1000</f>
        <v>1100</v>
      </c>
      <c r="H8" s="37">
        <v>10</v>
      </c>
      <c r="I8" s="38">
        <f>(6.2-5.4)*1000</f>
        <v>799.99999999999977</v>
      </c>
      <c r="J8" s="37">
        <v>6</v>
      </c>
      <c r="K8" s="38">
        <f>(6.2-4.2)*0.33*1000</f>
        <v>660</v>
      </c>
      <c r="U8" s="8" t="s">
        <v>8</v>
      </c>
      <c r="V8" s="3" t="s">
        <v>15</v>
      </c>
      <c r="W8" s="3"/>
      <c r="X8" s="3"/>
      <c r="Y8" s="3"/>
      <c r="Z8" s="3"/>
    </row>
    <row r="9" spans="1:26" x14ac:dyDescent="0.35">
      <c r="A9" s="8" t="s">
        <v>7</v>
      </c>
      <c r="B9" s="37" t="s">
        <v>15</v>
      </c>
      <c r="C9" s="38">
        <f>(16.4-12.4)*1000</f>
        <v>3999.9999999999982</v>
      </c>
      <c r="D9" s="37">
        <v>0</v>
      </c>
      <c r="E9" s="38">
        <f>(44.6-41.7)*1000</f>
        <v>2899.9999999999986</v>
      </c>
      <c r="F9" s="37">
        <v>0</v>
      </c>
      <c r="G9" s="38">
        <f>(6.8-4.4)*1000</f>
        <v>2399.9999999999995</v>
      </c>
      <c r="H9" s="37">
        <v>0</v>
      </c>
      <c r="I9" s="38">
        <f>(8.6-6.2)*1000</f>
        <v>2399.9999999999995</v>
      </c>
      <c r="J9" s="37">
        <v>0</v>
      </c>
      <c r="K9" s="38">
        <f>(11.9-6.2)*0.33*1000</f>
        <v>1881.0000000000002</v>
      </c>
      <c r="U9" s="8" t="s">
        <v>9</v>
      </c>
      <c r="V9" s="3" t="s">
        <v>15</v>
      </c>
      <c r="W9" s="3"/>
      <c r="X9" s="3"/>
      <c r="Y9" s="3"/>
      <c r="Z9" s="3"/>
    </row>
    <row r="10" spans="1:26" ht="15" thickBot="1" x14ac:dyDescent="0.4">
      <c r="A10" s="8" t="s">
        <v>8</v>
      </c>
      <c r="B10" s="37" t="s">
        <v>15</v>
      </c>
      <c r="C10" s="38">
        <f>(22.9-16.8)*1000</f>
        <v>6099.9999999999982</v>
      </c>
      <c r="D10" s="37">
        <v>0</v>
      </c>
      <c r="E10" s="38">
        <f>(30.2-26.5)*1000</f>
        <v>3699.9999999999991</v>
      </c>
      <c r="F10" s="37">
        <v>0</v>
      </c>
      <c r="G10" s="38">
        <f>(9.7-7.2)*1000</f>
        <v>2499.9999999999991</v>
      </c>
      <c r="H10" s="37">
        <v>0</v>
      </c>
      <c r="I10" s="38">
        <f>(10.6-8.6)*1000</f>
        <v>2000</v>
      </c>
      <c r="J10" s="37">
        <v>0</v>
      </c>
      <c r="K10" s="38" t="s">
        <v>15</v>
      </c>
      <c r="U10" s="9" t="s">
        <v>10</v>
      </c>
      <c r="V10" s="5" t="s">
        <v>15</v>
      </c>
      <c r="W10" s="5">
        <v>12</v>
      </c>
      <c r="X10" s="5">
        <v>16</v>
      </c>
      <c r="Y10" s="5">
        <v>32</v>
      </c>
      <c r="Z10" s="5">
        <v>18</v>
      </c>
    </row>
    <row r="11" spans="1:26" x14ac:dyDescent="0.35">
      <c r="A11" s="8" t="s">
        <v>9</v>
      </c>
      <c r="B11" s="37" t="s">
        <v>15</v>
      </c>
      <c r="C11" s="38" t="s">
        <v>15</v>
      </c>
      <c r="D11" s="37">
        <f>(0)*0.02*1000</f>
        <v>0</v>
      </c>
      <c r="E11" s="38" t="s">
        <v>15</v>
      </c>
      <c r="F11" s="37">
        <f>(0)*0.02*1000</f>
        <v>0</v>
      </c>
      <c r="G11" s="38">
        <f>(16.5-13.3)*1000</f>
        <v>3199.9999999999991</v>
      </c>
      <c r="H11" s="37">
        <f>(0)*0.02*1000</f>
        <v>0</v>
      </c>
      <c r="I11" s="38">
        <f>(41.6-39.5)*1000</f>
        <v>2100.0000000000014</v>
      </c>
      <c r="J11" s="37">
        <f>(0)*0.02*1000</f>
        <v>0</v>
      </c>
      <c r="K11" s="38" t="s">
        <v>15</v>
      </c>
    </row>
    <row r="12" spans="1:26" ht="15" thickBot="1" x14ac:dyDescent="0.4">
      <c r="A12" s="9" t="s">
        <v>10</v>
      </c>
      <c r="B12" s="39" t="s">
        <v>15</v>
      </c>
      <c r="C12" s="40">
        <f>(29.2-23.1)*1000</f>
        <v>6099.9999999999982</v>
      </c>
      <c r="D12" s="39">
        <v>12</v>
      </c>
      <c r="E12" s="40">
        <f>(34.7-30.6)*1000</f>
        <v>4100.0000000000018</v>
      </c>
      <c r="F12" s="39">
        <v>16</v>
      </c>
      <c r="G12" s="40">
        <f>(13.2-10.7)*1000</f>
        <v>2500</v>
      </c>
      <c r="H12" s="39">
        <v>32</v>
      </c>
      <c r="I12" s="40">
        <f>(12.2-10.6)*1000</f>
        <v>1599.9999999999995</v>
      </c>
      <c r="J12" s="39">
        <v>18</v>
      </c>
      <c r="K12" s="40">
        <f>(15.2-11.9)*0.33*1000</f>
        <v>1088.9999999999998</v>
      </c>
    </row>
    <row r="13" spans="1:26" ht="15" thickBot="1" x14ac:dyDescent="0.4">
      <c r="U13" s="19" t="s">
        <v>48</v>
      </c>
      <c r="V13">
        <v>0</v>
      </c>
      <c r="W13">
        <v>7</v>
      </c>
      <c r="X13">
        <v>14</v>
      </c>
      <c r="Y13">
        <v>21</v>
      </c>
      <c r="Z13">
        <v>35</v>
      </c>
    </row>
    <row r="14" spans="1:26" x14ac:dyDescent="0.35">
      <c r="A14" s="11" t="s">
        <v>12</v>
      </c>
      <c r="B14" t="s">
        <v>14</v>
      </c>
      <c r="U14" s="8" t="s">
        <v>4</v>
      </c>
      <c r="V14" s="13">
        <v>3500</v>
      </c>
      <c r="W14" s="4">
        <v>2199.9999999999959</v>
      </c>
      <c r="X14" s="4">
        <v>1200.0000000000002</v>
      </c>
      <c r="Y14" s="4">
        <v>800.00000000000023</v>
      </c>
      <c r="Z14" s="13">
        <v>660</v>
      </c>
    </row>
    <row r="15" spans="1:26" x14ac:dyDescent="0.35">
      <c r="B15" t="s">
        <v>18</v>
      </c>
      <c r="U15" s="8" t="s">
        <v>5</v>
      </c>
      <c r="V15" s="4">
        <v>3200.0000000000009</v>
      </c>
      <c r="W15" s="4">
        <v>1799.9999999999973</v>
      </c>
      <c r="X15" s="4">
        <v>1300</v>
      </c>
      <c r="Y15" s="4">
        <v>1200.0000000000002</v>
      </c>
      <c r="Z15" s="4">
        <v>693.00000000000011</v>
      </c>
    </row>
    <row r="16" spans="1:26" x14ac:dyDescent="0.35">
      <c r="U16" s="8" t="s">
        <v>6</v>
      </c>
      <c r="V16" s="4">
        <v>2900.0000000000005</v>
      </c>
      <c r="W16" s="4">
        <v>1399.9999999999986</v>
      </c>
      <c r="X16" s="4">
        <v>1100</v>
      </c>
      <c r="Y16" s="4">
        <v>799.99999999999977</v>
      </c>
      <c r="Z16" s="4">
        <v>660</v>
      </c>
    </row>
    <row r="17" spans="21:26" x14ac:dyDescent="0.35">
      <c r="U17" s="8" t="s">
        <v>7</v>
      </c>
      <c r="V17" s="4">
        <v>3999.9999999999982</v>
      </c>
      <c r="W17" s="4">
        <v>2899.9999999999986</v>
      </c>
      <c r="X17" s="4">
        <v>2399.9999999999995</v>
      </c>
      <c r="Y17" s="4">
        <v>2399.9999999999995</v>
      </c>
      <c r="Z17" s="4">
        <v>1881.0000000000002</v>
      </c>
    </row>
    <row r="18" spans="21:26" x14ac:dyDescent="0.35">
      <c r="U18" s="8" t="s">
        <v>8</v>
      </c>
      <c r="V18" s="4">
        <v>6099.9999999999982</v>
      </c>
      <c r="W18" s="4">
        <v>3699.9999999999991</v>
      </c>
      <c r="X18" s="4">
        <v>2499.9999999999991</v>
      </c>
      <c r="Y18" s="4">
        <v>2000</v>
      </c>
      <c r="Z18" s="4"/>
    </row>
    <row r="19" spans="21:26" x14ac:dyDescent="0.35">
      <c r="U19" s="8" t="s">
        <v>9</v>
      </c>
      <c r="V19" s="4"/>
      <c r="W19" s="4"/>
      <c r="X19" s="4">
        <v>3199.9999999999991</v>
      </c>
      <c r="Y19" s="4">
        <v>2100.0000000000014</v>
      </c>
      <c r="Z19" s="4"/>
    </row>
    <row r="20" spans="21:26" ht="15" thickBot="1" x14ac:dyDescent="0.4">
      <c r="U20" s="9" t="s">
        <v>10</v>
      </c>
      <c r="V20" s="6">
        <v>6099.9999999999982</v>
      </c>
      <c r="W20" s="6">
        <v>4100.0000000000018</v>
      </c>
      <c r="X20" s="6">
        <v>2500</v>
      </c>
      <c r="Y20" s="6">
        <v>1599.9999999999995</v>
      </c>
      <c r="Z20" s="6">
        <v>1088.9999999999998</v>
      </c>
    </row>
  </sheetData>
  <mergeCells count="7">
    <mergeCell ref="B5:K5"/>
    <mergeCell ref="A2:K2"/>
    <mergeCell ref="B3:C3"/>
    <mergeCell ref="D3:E3"/>
    <mergeCell ref="F3:G3"/>
    <mergeCell ref="H3:I3"/>
    <mergeCell ref="J3:K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AB097-3C29-4627-AF04-97AB087B7961}">
  <dimension ref="A1:Z20"/>
  <sheetViews>
    <sheetView topLeftCell="A61" zoomScale="70" zoomScaleNormal="70" workbookViewId="0">
      <selection activeCell="B3" sqref="B3:C3"/>
    </sheetView>
  </sheetViews>
  <sheetFormatPr defaultRowHeight="14.5" x14ac:dyDescent="0.35"/>
  <cols>
    <col min="1" max="1" width="13.1796875" bestFit="1" customWidth="1"/>
  </cols>
  <sheetData>
    <row r="1" spans="1:26" ht="15" thickBot="1" x14ac:dyDescent="0.4">
      <c r="U1" t="s">
        <v>73</v>
      </c>
    </row>
    <row r="2" spans="1:26" ht="22.5" thickBot="1" x14ac:dyDescent="0.6">
      <c r="A2" s="83" t="s">
        <v>65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26" x14ac:dyDescent="0.35">
      <c r="A3" s="50" t="s">
        <v>68</v>
      </c>
      <c r="B3" s="89">
        <v>0</v>
      </c>
      <c r="C3" s="90"/>
      <c r="D3" s="89">
        <v>7</v>
      </c>
      <c r="E3" s="90"/>
      <c r="F3" s="89">
        <v>14</v>
      </c>
      <c r="G3" s="90"/>
      <c r="H3" s="89">
        <v>21</v>
      </c>
      <c r="I3" s="90"/>
      <c r="J3" s="89">
        <v>35</v>
      </c>
      <c r="K3" s="90"/>
      <c r="U3" t="s">
        <v>49</v>
      </c>
      <c r="V3">
        <v>0</v>
      </c>
      <c r="W3">
        <v>7</v>
      </c>
      <c r="X3">
        <v>14</v>
      </c>
      <c r="Y3">
        <v>21</v>
      </c>
      <c r="Z3">
        <v>35</v>
      </c>
    </row>
    <row r="4" spans="1:26" x14ac:dyDescent="0.35">
      <c r="A4" s="10" t="s">
        <v>0</v>
      </c>
      <c r="B4" s="1" t="s">
        <v>2</v>
      </c>
      <c r="C4" s="2" t="s">
        <v>1</v>
      </c>
      <c r="D4" s="1" t="s">
        <v>2</v>
      </c>
      <c r="E4" s="2" t="s">
        <v>1</v>
      </c>
      <c r="F4" s="1" t="s">
        <v>2</v>
      </c>
      <c r="G4" s="2" t="s">
        <v>1</v>
      </c>
      <c r="H4" s="1" t="s">
        <v>2</v>
      </c>
      <c r="I4" s="2" t="s">
        <v>1</v>
      </c>
      <c r="J4" s="1" t="s">
        <v>2</v>
      </c>
      <c r="K4" s="2" t="s">
        <v>1</v>
      </c>
      <c r="U4" s="8" t="s">
        <v>4</v>
      </c>
      <c r="V4" s="3"/>
      <c r="W4" s="3">
        <v>17</v>
      </c>
      <c r="X4" s="3">
        <v>17</v>
      </c>
      <c r="Y4" s="3">
        <v>18</v>
      </c>
      <c r="Z4" s="3">
        <v>18</v>
      </c>
    </row>
    <row r="5" spans="1:26" x14ac:dyDescent="0.35">
      <c r="A5" s="10" t="s">
        <v>3</v>
      </c>
      <c r="B5" s="91"/>
      <c r="C5" s="92"/>
      <c r="D5" s="92"/>
      <c r="E5" s="92"/>
      <c r="F5" s="92"/>
      <c r="G5" s="92"/>
      <c r="H5" s="92"/>
      <c r="I5" s="92"/>
      <c r="J5" s="92"/>
      <c r="K5" s="93"/>
      <c r="U5" s="8" t="s">
        <v>5</v>
      </c>
      <c r="V5" s="3">
        <v>69</v>
      </c>
      <c r="W5" s="3">
        <v>46</v>
      </c>
      <c r="X5" s="3">
        <v>32</v>
      </c>
      <c r="Y5" s="3">
        <v>16</v>
      </c>
      <c r="Z5" s="3">
        <v>23</v>
      </c>
    </row>
    <row r="6" spans="1:26" x14ac:dyDescent="0.35">
      <c r="A6" s="8" t="s">
        <v>4</v>
      </c>
      <c r="B6" s="45" t="s">
        <v>15</v>
      </c>
      <c r="C6" s="46">
        <v>37</v>
      </c>
      <c r="D6" s="45">
        <v>17</v>
      </c>
      <c r="E6" s="46">
        <v>84</v>
      </c>
      <c r="F6" s="45">
        <v>17</v>
      </c>
      <c r="G6" s="46">
        <v>54</v>
      </c>
      <c r="H6" s="45">
        <v>18</v>
      </c>
      <c r="I6" s="46">
        <v>40</v>
      </c>
      <c r="J6" s="45">
        <v>18</v>
      </c>
      <c r="K6" s="46">
        <v>33</v>
      </c>
      <c r="U6" s="8" t="s">
        <v>6</v>
      </c>
      <c r="V6" s="3">
        <v>14</v>
      </c>
      <c r="W6" s="3">
        <v>12</v>
      </c>
      <c r="X6" s="3">
        <v>13</v>
      </c>
      <c r="Y6" s="3">
        <v>14</v>
      </c>
      <c r="Z6" s="3">
        <v>13</v>
      </c>
    </row>
    <row r="7" spans="1:26" x14ac:dyDescent="0.35">
      <c r="A7" s="8" t="s">
        <v>5</v>
      </c>
      <c r="B7" s="45">
        <v>69</v>
      </c>
      <c r="C7" s="46">
        <v>11</v>
      </c>
      <c r="D7" s="45">
        <v>46</v>
      </c>
      <c r="E7" s="46">
        <v>48</v>
      </c>
      <c r="F7" s="45">
        <v>32</v>
      </c>
      <c r="G7" s="46">
        <v>38</v>
      </c>
      <c r="H7" s="45">
        <v>16</v>
      </c>
      <c r="I7" s="46">
        <v>9</v>
      </c>
      <c r="J7" s="45">
        <v>23</v>
      </c>
      <c r="K7" s="46">
        <v>17</v>
      </c>
      <c r="U7" s="8" t="s">
        <v>7</v>
      </c>
      <c r="V7" s="3"/>
      <c r="W7" s="3">
        <v>160</v>
      </c>
      <c r="X7" s="3">
        <v>150</v>
      </c>
      <c r="Y7" s="3">
        <v>165</v>
      </c>
      <c r="Z7" s="3">
        <v>160</v>
      </c>
    </row>
    <row r="8" spans="1:26" x14ac:dyDescent="0.35">
      <c r="A8" s="8" t="s">
        <v>6</v>
      </c>
      <c r="B8" s="45">
        <v>14</v>
      </c>
      <c r="C8" s="46">
        <v>18</v>
      </c>
      <c r="D8" s="45">
        <v>12</v>
      </c>
      <c r="E8" s="46">
        <v>22</v>
      </c>
      <c r="F8" s="45">
        <v>13</v>
      </c>
      <c r="G8" s="46">
        <v>20</v>
      </c>
      <c r="H8" s="45">
        <v>14</v>
      </c>
      <c r="I8" s="46">
        <v>11</v>
      </c>
      <c r="J8" s="45">
        <v>13</v>
      </c>
      <c r="K8" s="46">
        <v>21</v>
      </c>
      <c r="U8" s="8" t="s">
        <v>8</v>
      </c>
      <c r="V8" s="3">
        <v>42</v>
      </c>
      <c r="W8" s="3">
        <v>50.5</v>
      </c>
      <c r="X8" s="3">
        <v>50</v>
      </c>
      <c r="Y8" s="3">
        <v>60</v>
      </c>
      <c r="Z8" s="3">
        <v>50</v>
      </c>
    </row>
    <row r="9" spans="1:26" x14ac:dyDescent="0.35">
      <c r="A9" s="8" t="s">
        <v>7</v>
      </c>
      <c r="B9" s="45" t="s">
        <v>15</v>
      </c>
      <c r="C9" s="46">
        <v>1440</v>
      </c>
      <c r="D9" s="45">
        <v>160</v>
      </c>
      <c r="E9" s="46">
        <v>800</v>
      </c>
      <c r="F9" s="45">
        <v>150</v>
      </c>
      <c r="G9" s="46">
        <v>180</v>
      </c>
      <c r="H9" s="45">
        <v>165</v>
      </c>
      <c r="I9" s="46">
        <v>35</v>
      </c>
      <c r="J9" s="45">
        <v>160</v>
      </c>
      <c r="K9" s="46">
        <v>4</v>
      </c>
      <c r="U9" s="8" t="s">
        <v>9</v>
      </c>
      <c r="V9" s="3">
        <v>146</v>
      </c>
      <c r="W9" s="3">
        <v>136</v>
      </c>
      <c r="X9" s="3">
        <v>105</v>
      </c>
      <c r="Y9" s="3">
        <v>108</v>
      </c>
      <c r="Z9" s="3">
        <v>104</v>
      </c>
    </row>
    <row r="10" spans="1:26" ht="15" thickBot="1" x14ac:dyDescent="0.4">
      <c r="A10" s="8" t="s">
        <v>8</v>
      </c>
      <c r="B10" s="45">
        <v>42</v>
      </c>
      <c r="C10" s="46">
        <v>3400</v>
      </c>
      <c r="D10" s="45">
        <v>50.5</v>
      </c>
      <c r="E10" s="46">
        <v>2100</v>
      </c>
      <c r="F10" s="45">
        <v>50</v>
      </c>
      <c r="G10" s="46">
        <v>720</v>
      </c>
      <c r="H10" s="45">
        <v>60</v>
      </c>
      <c r="I10" s="46">
        <v>280</v>
      </c>
      <c r="J10" s="45">
        <v>50</v>
      </c>
      <c r="K10" s="46">
        <v>27</v>
      </c>
      <c r="U10" s="9" t="s">
        <v>10</v>
      </c>
      <c r="V10" s="5">
        <v>1025</v>
      </c>
      <c r="W10" s="5">
        <v>525</v>
      </c>
      <c r="X10" s="5">
        <v>440</v>
      </c>
      <c r="Y10" s="5">
        <v>330</v>
      </c>
      <c r="Z10" s="5">
        <v>235</v>
      </c>
    </row>
    <row r="11" spans="1:26" x14ac:dyDescent="0.35">
      <c r="A11" s="8" t="s">
        <v>9</v>
      </c>
      <c r="B11" s="45">
        <v>146</v>
      </c>
      <c r="C11" s="46">
        <v>1450</v>
      </c>
      <c r="D11" s="45">
        <v>136</v>
      </c>
      <c r="E11" s="46">
        <v>225</v>
      </c>
      <c r="F11" s="45">
        <v>105</v>
      </c>
      <c r="G11" s="46">
        <v>65</v>
      </c>
      <c r="H11" s="45">
        <v>108</v>
      </c>
      <c r="I11" s="46">
        <v>46</v>
      </c>
      <c r="J11" s="45">
        <v>104</v>
      </c>
      <c r="K11" s="46" t="s">
        <v>15</v>
      </c>
    </row>
    <row r="12" spans="1:26" ht="15" thickBot="1" x14ac:dyDescent="0.4">
      <c r="A12" s="9" t="s">
        <v>10</v>
      </c>
      <c r="B12" s="47">
        <v>1025</v>
      </c>
      <c r="C12" s="48">
        <v>70</v>
      </c>
      <c r="D12" s="47">
        <v>525</v>
      </c>
      <c r="E12" s="48">
        <v>95</v>
      </c>
      <c r="F12" s="47">
        <v>440</v>
      </c>
      <c r="G12" s="48">
        <v>90</v>
      </c>
      <c r="H12" s="47">
        <v>330</v>
      </c>
      <c r="I12" s="48">
        <v>78</v>
      </c>
      <c r="J12" s="47">
        <v>235</v>
      </c>
      <c r="K12" s="48">
        <v>77</v>
      </c>
    </row>
    <row r="13" spans="1:26" x14ac:dyDescent="0.35">
      <c r="U13" t="s">
        <v>48</v>
      </c>
      <c r="V13">
        <v>0</v>
      </c>
      <c r="W13">
        <v>7</v>
      </c>
      <c r="X13">
        <v>14</v>
      </c>
      <c r="Y13">
        <v>21</v>
      </c>
      <c r="Z13">
        <v>35</v>
      </c>
    </row>
    <row r="14" spans="1:26" x14ac:dyDescent="0.35">
      <c r="A14" s="11" t="s">
        <v>12</v>
      </c>
      <c r="B14" t="s">
        <v>14</v>
      </c>
      <c r="U14" s="8" t="s">
        <v>4</v>
      </c>
      <c r="V14" s="4">
        <v>37</v>
      </c>
      <c r="W14" s="4">
        <v>84</v>
      </c>
      <c r="X14" s="4">
        <v>54</v>
      </c>
      <c r="Y14" s="4">
        <v>40</v>
      </c>
      <c r="Z14" s="4">
        <v>33</v>
      </c>
    </row>
    <row r="15" spans="1:26" x14ac:dyDescent="0.35">
      <c r="U15" s="8" t="s">
        <v>5</v>
      </c>
      <c r="V15" s="4">
        <v>11</v>
      </c>
      <c r="W15" s="4">
        <v>48</v>
      </c>
      <c r="X15" s="4">
        <v>38</v>
      </c>
      <c r="Y15" s="4">
        <v>9</v>
      </c>
      <c r="Z15" s="4">
        <v>17</v>
      </c>
    </row>
    <row r="16" spans="1:26" x14ac:dyDescent="0.35">
      <c r="U16" s="8" t="s">
        <v>6</v>
      </c>
      <c r="V16" s="4">
        <v>18</v>
      </c>
      <c r="W16" s="4">
        <v>22</v>
      </c>
      <c r="X16" s="4">
        <v>20</v>
      </c>
      <c r="Y16" s="4">
        <v>11</v>
      </c>
      <c r="Z16" s="4">
        <v>21</v>
      </c>
    </row>
    <row r="17" spans="21:26" x14ac:dyDescent="0.35">
      <c r="U17" s="8" t="s">
        <v>7</v>
      </c>
      <c r="V17" s="4">
        <v>1440</v>
      </c>
      <c r="W17" s="4">
        <v>800</v>
      </c>
      <c r="X17" s="4">
        <v>180</v>
      </c>
      <c r="Y17" s="4">
        <v>35</v>
      </c>
      <c r="Z17" s="4">
        <v>4</v>
      </c>
    </row>
    <row r="18" spans="21:26" x14ac:dyDescent="0.35">
      <c r="U18" s="8" t="s">
        <v>8</v>
      </c>
      <c r="V18" s="4">
        <v>3400</v>
      </c>
      <c r="W18" s="4">
        <v>2100</v>
      </c>
      <c r="X18" s="4">
        <v>720</v>
      </c>
      <c r="Y18" s="4">
        <v>280</v>
      </c>
      <c r="Z18" s="4">
        <v>27</v>
      </c>
    </row>
    <row r="19" spans="21:26" x14ac:dyDescent="0.35">
      <c r="U19" s="8" t="s">
        <v>9</v>
      </c>
      <c r="V19" s="4">
        <v>1450</v>
      </c>
      <c r="W19" s="4">
        <v>225</v>
      </c>
      <c r="X19" s="4">
        <v>65</v>
      </c>
      <c r="Y19" s="4">
        <v>46</v>
      </c>
      <c r="Z19" s="4"/>
    </row>
    <row r="20" spans="21:26" ht="15" thickBot="1" x14ac:dyDescent="0.4">
      <c r="U20" s="9" t="s">
        <v>10</v>
      </c>
      <c r="V20" s="6">
        <v>70</v>
      </c>
      <c r="W20" s="6">
        <v>95</v>
      </c>
      <c r="X20" s="6">
        <v>90</v>
      </c>
      <c r="Y20" s="6">
        <v>78</v>
      </c>
      <c r="Z20" s="6">
        <v>77</v>
      </c>
    </row>
  </sheetData>
  <mergeCells count="7">
    <mergeCell ref="B5:K5"/>
    <mergeCell ref="A2:K2"/>
    <mergeCell ref="B3:C3"/>
    <mergeCell ref="D3:E3"/>
    <mergeCell ref="F3:G3"/>
    <mergeCell ref="H3:I3"/>
    <mergeCell ref="J3:K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45F4-68AF-4CF8-AAD0-32E775276832}">
  <dimension ref="A1:AA21"/>
  <sheetViews>
    <sheetView topLeftCell="A67" zoomScale="70" zoomScaleNormal="70" workbookViewId="0">
      <selection activeCell="B3" sqref="B3:C3"/>
    </sheetView>
  </sheetViews>
  <sheetFormatPr defaultRowHeight="14.5" x14ac:dyDescent="0.35"/>
  <cols>
    <col min="1" max="1" width="10.26953125" bestFit="1" customWidth="1"/>
    <col min="22" max="22" width="15.7265625" bestFit="1" customWidth="1"/>
  </cols>
  <sheetData>
    <row r="1" spans="1:27" ht="15" thickBot="1" x14ac:dyDescent="0.4">
      <c r="V1" t="s">
        <v>73</v>
      </c>
    </row>
    <row r="2" spans="1:27" ht="22.5" thickBot="1" x14ac:dyDescent="0.6">
      <c r="A2" s="83" t="s">
        <v>66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27" x14ac:dyDescent="0.35">
      <c r="A3" s="50" t="s">
        <v>68</v>
      </c>
      <c r="B3" s="89">
        <v>0</v>
      </c>
      <c r="C3" s="90"/>
      <c r="D3" s="89">
        <v>7</v>
      </c>
      <c r="E3" s="90"/>
      <c r="F3" s="89">
        <v>14</v>
      </c>
      <c r="G3" s="90"/>
      <c r="H3" s="89">
        <v>21</v>
      </c>
      <c r="I3" s="90"/>
      <c r="J3" s="89">
        <v>35</v>
      </c>
      <c r="K3" s="90"/>
      <c r="V3" t="s">
        <v>49</v>
      </c>
      <c r="W3">
        <v>0</v>
      </c>
      <c r="X3">
        <v>7</v>
      </c>
      <c r="Y3">
        <v>14</v>
      </c>
      <c r="Z3">
        <v>21</v>
      </c>
      <c r="AA3">
        <v>35</v>
      </c>
    </row>
    <row r="4" spans="1:27" x14ac:dyDescent="0.35">
      <c r="A4" s="10" t="s">
        <v>0</v>
      </c>
      <c r="B4" s="1" t="s">
        <v>2</v>
      </c>
      <c r="C4" s="2" t="s">
        <v>1</v>
      </c>
      <c r="D4" s="1" t="s">
        <v>2</v>
      </c>
      <c r="E4" s="2" t="s">
        <v>1</v>
      </c>
      <c r="F4" s="1" t="s">
        <v>2</v>
      </c>
      <c r="G4" s="2" t="s">
        <v>1</v>
      </c>
      <c r="H4" s="1" t="s">
        <v>2</v>
      </c>
      <c r="I4" s="2" t="s">
        <v>1</v>
      </c>
      <c r="J4" s="1" t="s">
        <v>2</v>
      </c>
      <c r="K4" s="2" t="s">
        <v>1</v>
      </c>
      <c r="V4" s="8" t="s">
        <v>4</v>
      </c>
      <c r="W4" s="41" t="s">
        <v>15</v>
      </c>
      <c r="X4" s="41" t="s">
        <v>15</v>
      </c>
      <c r="Y4" s="41" t="s">
        <v>15</v>
      </c>
      <c r="Z4" s="41" t="s">
        <v>15</v>
      </c>
      <c r="AA4" s="41" t="s">
        <v>15</v>
      </c>
    </row>
    <row r="5" spans="1:27" x14ac:dyDescent="0.35">
      <c r="A5" s="10" t="s">
        <v>3</v>
      </c>
      <c r="B5" s="91"/>
      <c r="C5" s="92"/>
      <c r="D5" s="92"/>
      <c r="E5" s="92"/>
      <c r="F5" s="92"/>
      <c r="G5" s="92"/>
      <c r="H5" s="92"/>
      <c r="I5" s="92"/>
      <c r="J5" s="92"/>
      <c r="K5" s="93"/>
      <c r="V5" s="8" t="s">
        <v>5</v>
      </c>
      <c r="W5" s="41">
        <v>1.1499999999999999</v>
      </c>
      <c r="X5" s="41">
        <v>4.4999999999999998E-2</v>
      </c>
      <c r="Y5" s="41">
        <v>0.10199999999999999</v>
      </c>
      <c r="Z5" s="41">
        <v>0.14399999999999999</v>
      </c>
      <c r="AA5" s="41" t="s">
        <v>30</v>
      </c>
    </row>
    <row r="6" spans="1:27" x14ac:dyDescent="0.35">
      <c r="A6" s="8" t="s">
        <v>4</v>
      </c>
      <c r="B6" s="41" t="s">
        <v>15</v>
      </c>
      <c r="C6" s="42">
        <v>34.5</v>
      </c>
      <c r="D6" s="41" t="s">
        <v>15</v>
      </c>
      <c r="E6" s="42">
        <v>762</v>
      </c>
      <c r="F6" s="41" t="s">
        <v>15</v>
      </c>
      <c r="G6" s="42">
        <v>293.5</v>
      </c>
      <c r="H6" s="41" t="s">
        <v>15</v>
      </c>
      <c r="I6" s="42">
        <v>185</v>
      </c>
      <c r="J6" s="41" t="s">
        <v>15</v>
      </c>
      <c r="K6" s="42">
        <v>130</v>
      </c>
      <c r="V6" s="8" t="s">
        <v>6</v>
      </c>
      <c r="W6" s="41" t="s">
        <v>15</v>
      </c>
      <c r="X6" s="41" t="s">
        <v>15</v>
      </c>
      <c r="Y6" s="41" t="s">
        <v>15</v>
      </c>
      <c r="Z6" s="41" t="s">
        <v>15</v>
      </c>
      <c r="AA6" s="41" t="s">
        <v>15</v>
      </c>
    </row>
    <row r="7" spans="1:27" x14ac:dyDescent="0.35">
      <c r="A7" s="8" t="s">
        <v>5</v>
      </c>
      <c r="B7" s="41">
        <v>1.1499999999999999</v>
      </c>
      <c r="C7" s="42">
        <v>50.4</v>
      </c>
      <c r="D7" s="41">
        <v>4.4999999999999998E-2</v>
      </c>
      <c r="E7" s="42">
        <v>717.5</v>
      </c>
      <c r="F7" s="41">
        <v>0.10199999999999999</v>
      </c>
      <c r="G7" s="42">
        <v>364</v>
      </c>
      <c r="H7" s="41">
        <v>0.14399999999999999</v>
      </c>
      <c r="I7" s="42">
        <v>269.10000000000002</v>
      </c>
      <c r="J7" s="41" t="s">
        <v>30</v>
      </c>
      <c r="K7" s="42">
        <v>125</v>
      </c>
      <c r="V7" s="8" t="s">
        <v>7</v>
      </c>
      <c r="W7" s="41" t="s">
        <v>15</v>
      </c>
      <c r="X7" s="41" t="s">
        <v>15</v>
      </c>
      <c r="Y7" s="41" t="s">
        <v>15</v>
      </c>
      <c r="Z7" s="41" t="s">
        <v>15</v>
      </c>
      <c r="AA7" s="41" t="s">
        <v>15</v>
      </c>
    </row>
    <row r="8" spans="1:27" x14ac:dyDescent="0.35">
      <c r="A8" s="8" t="s">
        <v>6</v>
      </c>
      <c r="B8" s="41" t="s">
        <v>15</v>
      </c>
      <c r="C8" s="42">
        <v>1340</v>
      </c>
      <c r="D8" s="41" t="s">
        <v>15</v>
      </c>
      <c r="E8" s="42">
        <v>437.5</v>
      </c>
      <c r="F8" s="41" t="s">
        <v>15</v>
      </c>
      <c r="G8" s="42">
        <v>238.8</v>
      </c>
      <c r="H8" s="41" t="s">
        <v>15</v>
      </c>
      <c r="I8" s="42">
        <v>178.5</v>
      </c>
      <c r="J8" s="41" t="s">
        <v>15</v>
      </c>
      <c r="K8" s="42">
        <v>110.5</v>
      </c>
      <c r="V8" s="8" t="s">
        <v>8</v>
      </c>
      <c r="W8" s="41" t="s">
        <v>15</v>
      </c>
      <c r="X8" s="41" t="s">
        <v>15</v>
      </c>
      <c r="Y8" s="41" t="s">
        <v>15</v>
      </c>
      <c r="Z8" s="41" t="s">
        <v>15</v>
      </c>
      <c r="AA8" s="41" t="s">
        <v>15</v>
      </c>
    </row>
    <row r="9" spans="1:27" x14ac:dyDescent="0.35">
      <c r="A9" s="8" t="s">
        <v>7</v>
      </c>
      <c r="B9" s="41" t="s">
        <v>15</v>
      </c>
      <c r="C9" s="42">
        <v>14.1</v>
      </c>
      <c r="D9" s="41" t="s">
        <v>15</v>
      </c>
      <c r="E9" s="42">
        <v>1836</v>
      </c>
      <c r="F9" s="41" t="s">
        <v>15</v>
      </c>
      <c r="G9" s="42">
        <v>939</v>
      </c>
      <c r="H9" s="41" t="s">
        <v>15</v>
      </c>
      <c r="I9" s="42">
        <v>636</v>
      </c>
      <c r="J9" s="41" t="s">
        <v>15</v>
      </c>
      <c r="K9" s="42">
        <v>398</v>
      </c>
      <c r="V9" s="8" t="s">
        <v>9</v>
      </c>
      <c r="W9" s="41" t="s">
        <v>15</v>
      </c>
      <c r="X9" s="41">
        <v>0.49099999999999999</v>
      </c>
      <c r="Y9" s="41">
        <v>0.35499999999999998</v>
      </c>
      <c r="Z9" s="41">
        <v>0.36299999999999999</v>
      </c>
      <c r="AA9" s="41" t="s">
        <v>30</v>
      </c>
    </row>
    <row r="10" spans="1:27" ht="15" thickBot="1" x14ac:dyDescent="0.4">
      <c r="A10" s="8" t="s">
        <v>8</v>
      </c>
      <c r="B10" s="41" t="s">
        <v>15</v>
      </c>
      <c r="C10" s="42">
        <v>10.4</v>
      </c>
      <c r="D10" s="41" t="s">
        <v>15</v>
      </c>
      <c r="E10" s="42">
        <v>2502.5</v>
      </c>
      <c r="F10" s="41" t="s">
        <v>15</v>
      </c>
      <c r="G10" s="42">
        <v>1170</v>
      </c>
      <c r="H10" s="41" t="s">
        <v>15</v>
      </c>
      <c r="I10" s="42">
        <v>747</v>
      </c>
      <c r="J10" s="41" t="s">
        <v>15</v>
      </c>
      <c r="K10" s="42">
        <v>759</v>
      </c>
      <c r="V10" s="9" t="s">
        <v>10</v>
      </c>
      <c r="W10" s="43" t="s">
        <v>15</v>
      </c>
      <c r="X10" s="43" t="s">
        <v>15</v>
      </c>
      <c r="Y10" s="43" t="s">
        <v>15</v>
      </c>
      <c r="Z10" s="43" t="s">
        <v>15</v>
      </c>
      <c r="AA10" s="43" t="s">
        <v>15</v>
      </c>
    </row>
    <row r="11" spans="1:27" x14ac:dyDescent="0.35">
      <c r="A11" s="8" t="s">
        <v>9</v>
      </c>
      <c r="B11" s="41" t="s">
        <v>15</v>
      </c>
      <c r="C11" s="42">
        <v>38</v>
      </c>
      <c r="D11" s="41">
        <v>0.49099999999999999</v>
      </c>
      <c r="E11" s="42">
        <v>3195</v>
      </c>
      <c r="F11" s="41">
        <v>0.35499999999999998</v>
      </c>
      <c r="G11" s="42">
        <v>1130</v>
      </c>
      <c r="H11" s="41">
        <v>0.36299999999999999</v>
      </c>
      <c r="I11" s="42">
        <v>585</v>
      </c>
      <c r="J11" s="41" t="s">
        <v>30</v>
      </c>
      <c r="K11" s="42" t="s">
        <v>15</v>
      </c>
      <c r="V11" s="80" t="s">
        <v>74</v>
      </c>
      <c r="W11">
        <v>1.4999999999999999E-2</v>
      </c>
      <c r="X11">
        <v>1.4999999999999999E-2</v>
      </c>
      <c r="Y11">
        <v>1.4999999999999999E-2</v>
      </c>
      <c r="Z11">
        <v>1.4999999999999999E-2</v>
      </c>
      <c r="AA11">
        <v>1.4999999999999999E-2</v>
      </c>
    </row>
    <row r="12" spans="1:27" ht="15" thickBot="1" x14ac:dyDescent="0.4">
      <c r="A12" s="9" t="s">
        <v>10</v>
      </c>
      <c r="B12" s="43" t="s">
        <v>15</v>
      </c>
      <c r="C12" s="44">
        <v>25.2</v>
      </c>
      <c r="D12" s="43" t="s">
        <v>15</v>
      </c>
      <c r="E12" s="44">
        <v>1545</v>
      </c>
      <c r="F12" s="43" t="s">
        <v>15</v>
      </c>
      <c r="G12" s="44">
        <v>1029</v>
      </c>
      <c r="H12" s="43" t="s">
        <v>15</v>
      </c>
      <c r="I12" s="44">
        <v>492</v>
      </c>
      <c r="J12" s="43" t="s">
        <v>15</v>
      </c>
      <c r="K12" s="44">
        <v>294</v>
      </c>
    </row>
    <row r="14" spans="1:27" x14ac:dyDescent="0.35">
      <c r="A14" s="11" t="s">
        <v>12</v>
      </c>
      <c r="B14" t="s">
        <v>14</v>
      </c>
      <c r="V14" t="s">
        <v>48</v>
      </c>
      <c r="W14">
        <v>0</v>
      </c>
      <c r="X14">
        <v>7</v>
      </c>
      <c r="Y14">
        <v>14</v>
      </c>
      <c r="Z14">
        <v>21</v>
      </c>
      <c r="AA14">
        <v>35</v>
      </c>
    </row>
    <row r="15" spans="1:27" x14ac:dyDescent="0.35">
      <c r="B15" t="s">
        <v>67</v>
      </c>
      <c r="V15" s="8" t="s">
        <v>4</v>
      </c>
      <c r="W15" s="4">
        <v>34.5</v>
      </c>
      <c r="X15" s="4">
        <v>762</v>
      </c>
      <c r="Y15" s="4">
        <v>293.5</v>
      </c>
      <c r="Z15" s="4">
        <v>185</v>
      </c>
      <c r="AA15" s="4">
        <v>130</v>
      </c>
    </row>
    <row r="16" spans="1:27" x14ac:dyDescent="0.35">
      <c r="V16" s="8" t="s">
        <v>5</v>
      </c>
      <c r="W16" s="4">
        <v>50.4</v>
      </c>
      <c r="X16" s="4">
        <v>717.5</v>
      </c>
      <c r="Y16" s="4">
        <v>364</v>
      </c>
      <c r="Z16" s="4">
        <v>269.10000000000002</v>
      </c>
      <c r="AA16" s="4">
        <v>125</v>
      </c>
    </row>
    <row r="17" spans="22:27" x14ac:dyDescent="0.35">
      <c r="V17" s="8" t="s">
        <v>6</v>
      </c>
      <c r="W17" s="4">
        <v>1340</v>
      </c>
      <c r="X17" s="4">
        <v>437.5</v>
      </c>
      <c r="Y17" s="4">
        <v>238.8</v>
      </c>
      <c r="Z17" s="4">
        <v>178.5</v>
      </c>
      <c r="AA17" s="4">
        <v>110.5</v>
      </c>
    </row>
    <row r="18" spans="22:27" x14ac:dyDescent="0.35">
      <c r="V18" s="8" t="s">
        <v>7</v>
      </c>
      <c r="W18" s="4">
        <v>14.1</v>
      </c>
      <c r="X18" s="4">
        <v>1836</v>
      </c>
      <c r="Y18" s="4">
        <v>939</v>
      </c>
      <c r="Z18" s="4">
        <v>636</v>
      </c>
      <c r="AA18" s="4">
        <v>398</v>
      </c>
    </row>
    <row r="19" spans="22:27" x14ac:dyDescent="0.35">
      <c r="V19" s="8" t="s">
        <v>8</v>
      </c>
      <c r="W19" s="4">
        <v>10.4</v>
      </c>
      <c r="X19" s="4">
        <v>2502.5</v>
      </c>
      <c r="Y19" s="4">
        <v>1170</v>
      </c>
      <c r="Z19" s="4">
        <v>747</v>
      </c>
      <c r="AA19" s="4">
        <v>759</v>
      </c>
    </row>
    <row r="20" spans="22:27" x14ac:dyDescent="0.35">
      <c r="V20" s="8" t="s">
        <v>9</v>
      </c>
      <c r="W20" s="4">
        <v>38</v>
      </c>
      <c r="X20" s="4">
        <v>3195</v>
      </c>
      <c r="Y20" s="4">
        <v>1130</v>
      </c>
      <c r="Z20" s="4">
        <v>585</v>
      </c>
      <c r="AA20" s="4" t="s">
        <v>15</v>
      </c>
    </row>
    <row r="21" spans="22:27" ht="15" thickBot="1" x14ac:dyDescent="0.4">
      <c r="V21" s="9" t="s">
        <v>10</v>
      </c>
      <c r="W21" s="6">
        <v>25.2</v>
      </c>
      <c r="X21" s="6">
        <v>1545</v>
      </c>
      <c r="Y21" s="6">
        <v>1029</v>
      </c>
      <c r="Z21" s="6">
        <v>492</v>
      </c>
      <c r="AA21" s="6">
        <v>294</v>
      </c>
    </row>
  </sheetData>
  <mergeCells count="7">
    <mergeCell ref="B5:K5"/>
    <mergeCell ref="A2:K2"/>
    <mergeCell ref="B3:C3"/>
    <mergeCell ref="D3:E3"/>
    <mergeCell ref="F3:G3"/>
    <mergeCell ref="H3:I3"/>
    <mergeCell ref="J3:K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64F02-D1C1-426E-AA5F-B5B13846EEB5}">
  <dimension ref="A1:AA78"/>
  <sheetViews>
    <sheetView zoomScale="70" zoomScaleNormal="70" workbookViewId="0">
      <selection activeCell="V87" sqref="V87"/>
    </sheetView>
  </sheetViews>
  <sheetFormatPr defaultRowHeight="14.5" x14ac:dyDescent="0.35"/>
  <cols>
    <col min="1" max="1" width="10.26953125" bestFit="1" customWidth="1"/>
    <col min="2" max="15" width="8.54296875" customWidth="1"/>
    <col min="21" max="21" width="14.7265625" bestFit="1" customWidth="1"/>
    <col min="22" max="22" width="13.81640625" bestFit="1" customWidth="1"/>
  </cols>
  <sheetData>
    <row r="1" spans="1:27" ht="15" thickBot="1" x14ac:dyDescent="0.4">
      <c r="T1" t="s">
        <v>73</v>
      </c>
    </row>
    <row r="2" spans="1:27" ht="19" thickBot="1" x14ac:dyDescent="0.5">
      <c r="A2" s="99" t="s">
        <v>31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1"/>
    </row>
    <row r="3" spans="1:27" ht="15" thickBot="1" x14ac:dyDescent="0.4">
      <c r="A3" s="49" t="s">
        <v>69</v>
      </c>
      <c r="B3" s="97" t="s">
        <v>19</v>
      </c>
      <c r="C3" s="98"/>
      <c r="D3" s="97" t="s">
        <v>20</v>
      </c>
      <c r="E3" s="98"/>
      <c r="F3" s="97" t="s">
        <v>21</v>
      </c>
      <c r="G3" s="98"/>
      <c r="H3" s="97" t="s">
        <v>22</v>
      </c>
      <c r="I3" s="98"/>
      <c r="J3" s="97" t="s">
        <v>23</v>
      </c>
      <c r="K3" s="98"/>
      <c r="L3" s="97" t="s">
        <v>24</v>
      </c>
      <c r="M3" s="98"/>
      <c r="N3" s="97" t="s">
        <v>25</v>
      </c>
      <c r="O3" s="98"/>
    </row>
    <row r="4" spans="1:27" ht="15" thickBot="1" x14ac:dyDescent="0.4">
      <c r="A4" s="10" t="s">
        <v>0</v>
      </c>
      <c r="B4" s="14" t="s">
        <v>2</v>
      </c>
      <c r="C4" s="15" t="s">
        <v>1</v>
      </c>
      <c r="D4" s="14" t="s">
        <v>2</v>
      </c>
      <c r="E4" s="15" t="s">
        <v>1</v>
      </c>
      <c r="F4" s="14" t="s">
        <v>2</v>
      </c>
      <c r="G4" s="15" t="s">
        <v>1</v>
      </c>
      <c r="H4" s="14" t="s">
        <v>2</v>
      </c>
      <c r="I4" s="15" t="s">
        <v>1</v>
      </c>
      <c r="J4" s="14" t="s">
        <v>2</v>
      </c>
      <c r="K4" s="15" t="s">
        <v>1</v>
      </c>
      <c r="L4" s="14" t="s">
        <v>2</v>
      </c>
      <c r="M4" s="15" t="s">
        <v>1</v>
      </c>
      <c r="N4" s="14" t="s">
        <v>2</v>
      </c>
      <c r="O4" s="15" t="s">
        <v>1</v>
      </c>
      <c r="U4" s="102" t="s">
        <v>19</v>
      </c>
      <c r="V4" s="103"/>
    </row>
    <row r="5" spans="1:27" ht="15" thickBot="1" x14ac:dyDescent="0.4">
      <c r="A5" s="10" t="s">
        <v>3</v>
      </c>
      <c r="B5" s="86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/>
      <c r="U5" s="73" t="s">
        <v>49</v>
      </c>
      <c r="V5" s="72" t="s">
        <v>48</v>
      </c>
    </row>
    <row r="6" spans="1:27" x14ac:dyDescent="0.35">
      <c r="A6" s="8" t="s">
        <v>4</v>
      </c>
      <c r="B6" s="53">
        <v>0.127</v>
      </c>
      <c r="C6" s="54">
        <v>1.1599999999999999</v>
      </c>
      <c r="D6" s="53">
        <v>1.27</v>
      </c>
      <c r="E6" s="54">
        <v>859</v>
      </c>
      <c r="F6" s="53">
        <v>5.8000000000000003E-2</v>
      </c>
      <c r="G6" s="54" t="s">
        <v>28</v>
      </c>
      <c r="H6" s="53" t="s">
        <v>26</v>
      </c>
      <c r="I6" s="54" t="s">
        <v>28</v>
      </c>
      <c r="J6" s="53">
        <v>1.03</v>
      </c>
      <c r="K6" s="54">
        <v>0.66600000000000004</v>
      </c>
      <c r="L6" s="53">
        <v>2.4E-2</v>
      </c>
      <c r="M6" s="54">
        <v>0.30399999999999999</v>
      </c>
      <c r="N6" s="53">
        <v>28.5</v>
      </c>
      <c r="O6" s="54">
        <v>83.14</v>
      </c>
      <c r="T6" s="8" t="s">
        <v>4</v>
      </c>
      <c r="U6" s="4">
        <v>0.127</v>
      </c>
      <c r="V6" s="3">
        <v>1.1599999999999999</v>
      </c>
      <c r="X6" s="71"/>
      <c r="Y6" s="71"/>
      <c r="Z6" s="71"/>
      <c r="AA6" s="71"/>
    </row>
    <row r="7" spans="1:27" x14ac:dyDescent="0.35">
      <c r="A7" s="8" t="s">
        <v>5</v>
      </c>
      <c r="B7" s="41">
        <v>0.20200000000000001</v>
      </c>
      <c r="C7" s="42" t="s">
        <v>28</v>
      </c>
      <c r="D7" s="41">
        <v>0.63600000000000001</v>
      </c>
      <c r="E7" s="42">
        <v>913</v>
      </c>
      <c r="F7" s="41">
        <v>5.0999999999999997E-2</v>
      </c>
      <c r="G7" s="42" t="s">
        <v>28</v>
      </c>
      <c r="H7" s="41" t="s">
        <v>26</v>
      </c>
      <c r="I7" s="42" t="s">
        <v>28</v>
      </c>
      <c r="J7" s="41">
        <v>1.5</v>
      </c>
      <c r="K7" s="42">
        <v>0.42799999999999999</v>
      </c>
      <c r="L7" s="41" t="s">
        <v>27</v>
      </c>
      <c r="M7" s="42">
        <v>0.13300000000000001</v>
      </c>
      <c r="N7" s="41">
        <v>54.63</v>
      </c>
      <c r="O7" s="42">
        <v>54.87</v>
      </c>
      <c r="T7" s="8" t="s">
        <v>5</v>
      </c>
      <c r="U7" s="4">
        <v>0.20200000000000001</v>
      </c>
      <c r="V7" s="3">
        <v>0.1</v>
      </c>
      <c r="X7" s="71"/>
      <c r="Y7" s="71"/>
      <c r="Z7" s="71"/>
      <c r="AA7" s="71"/>
    </row>
    <row r="8" spans="1:27" x14ac:dyDescent="0.35">
      <c r="A8" s="8" t="s">
        <v>6</v>
      </c>
      <c r="B8" s="41">
        <v>0.193</v>
      </c>
      <c r="C8" s="42">
        <v>0.47599999999999998</v>
      </c>
      <c r="D8" s="41">
        <v>0.71699999999999997</v>
      </c>
      <c r="E8" s="42">
        <v>587</v>
      </c>
      <c r="F8" s="41">
        <v>3.6999999999999998E-2</v>
      </c>
      <c r="G8" s="42" t="s">
        <v>26</v>
      </c>
      <c r="H8" s="41" t="s">
        <v>26</v>
      </c>
      <c r="I8" s="42">
        <v>0.17599999999999999</v>
      </c>
      <c r="J8" s="41">
        <v>1.06</v>
      </c>
      <c r="K8" s="42">
        <v>5.2999999999999999E-2</v>
      </c>
      <c r="L8" s="41" t="s">
        <v>27</v>
      </c>
      <c r="M8" s="42">
        <v>0.157</v>
      </c>
      <c r="N8" s="41">
        <v>29</v>
      </c>
      <c r="O8" s="42">
        <v>31.86</v>
      </c>
      <c r="T8" s="8" t="s">
        <v>6</v>
      </c>
      <c r="U8" s="4">
        <v>0.193</v>
      </c>
      <c r="V8" s="3">
        <v>0.47599999999999998</v>
      </c>
      <c r="X8" s="71"/>
      <c r="Y8" s="71"/>
      <c r="Z8" s="71"/>
      <c r="AA8" s="71"/>
    </row>
    <row r="9" spans="1:27" x14ac:dyDescent="0.35">
      <c r="A9" s="8" t="s">
        <v>7</v>
      </c>
      <c r="B9" s="41">
        <v>0.64300000000000002</v>
      </c>
      <c r="C9" s="42">
        <v>3.33</v>
      </c>
      <c r="D9" s="41">
        <v>3.66</v>
      </c>
      <c r="E9" s="42">
        <v>2800</v>
      </c>
      <c r="F9" s="41" t="s">
        <v>26</v>
      </c>
      <c r="G9" s="42" t="s">
        <v>29</v>
      </c>
      <c r="H9" s="41" t="s">
        <v>26</v>
      </c>
      <c r="I9" s="42" t="s">
        <v>29</v>
      </c>
      <c r="J9" s="41">
        <v>0.22800000000000001</v>
      </c>
      <c r="K9" s="42">
        <v>0.63</v>
      </c>
      <c r="L9" s="41">
        <v>0.13400000000000001</v>
      </c>
      <c r="M9" s="42">
        <v>3.86</v>
      </c>
      <c r="N9" s="41">
        <v>317</v>
      </c>
      <c r="O9" s="42">
        <v>559</v>
      </c>
      <c r="T9" s="8" t="s">
        <v>7</v>
      </c>
      <c r="U9" s="4">
        <v>0.64300000000000002</v>
      </c>
      <c r="V9" s="3">
        <v>3.33</v>
      </c>
      <c r="X9" s="71"/>
      <c r="Y9" s="71"/>
      <c r="Z9" s="71"/>
      <c r="AA9" s="71"/>
    </row>
    <row r="10" spans="1:27" x14ac:dyDescent="0.35">
      <c r="A10" s="8" t="s">
        <v>8</v>
      </c>
      <c r="B10" s="41">
        <v>0.20799999999999999</v>
      </c>
      <c r="C10" s="42">
        <v>2.2999999999999998</v>
      </c>
      <c r="D10" s="41">
        <v>1.17</v>
      </c>
      <c r="E10" s="42">
        <v>3141</v>
      </c>
      <c r="F10" s="41" t="s">
        <v>26</v>
      </c>
      <c r="G10" s="42" t="s">
        <v>29</v>
      </c>
      <c r="H10" s="41" t="s">
        <v>26</v>
      </c>
      <c r="I10" s="42" t="s">
        <v>29</v>
      </c>
      <c r="J10" s="41">
        <v>2.14</v>
      </c>
      <c r="K10" s="42">
        <v>1.29</v>
      </c>
      <c r="L10" s="41">
        <v>2.8000000000000001E-2</v>
      </c>
      <c r="M10" s="42">
        <v>0.438</v>
      </c>
      <c r="N10" s="41">
        <v>103</v>
      </c>
      <c r="O10" s="42">
        <v>2226</v>
      </c>
      <c r="T10" s="8" t="s">
        <v>8</v>
      </c>
      <c r="U10" s="4">
        <v>0.20799999999999999</v>
      </c>
      <c r="V10" s="3">
        <v>2.2999999999999998</v>
      </c>
      <c r="X10" s="71"/>
      <c r="Y10" s="71"/>
      <c r="Z10" s="71"/>
      <c r="AA10" s="71"/>
    </row>
    <row r="11" spans="1:27" x14ac:dyDescent="0.35">
      <c r="A11" s="8" t="s">
        <v>9</v>
      </c>
      <c r="B11" s="41">
        <v>0.53800000000000003</v>
      </c>
      <c r="C11" s="42">
        <v>3.42</v>
      </c>
      <c r="D11" s="41">
        <v>1.89</v>
      </c>
      <c r="E11" s="42">
        <v>2684</v>
      </c>
      <c r="F11" s="41">
        <v>0.10299999999999999</v>
      </c>
      <c r="G11" s="42" t="s">
        <v>28</v>
      </c>
      <c r="H11" s="41" t="s">
        <v>26</v>
      </c>
      <c r="I11" s="42">
        <v>3.86</v>
      </c>
      <c r="J11" s="41">
        <v>0.753</v>
      </c>
      <c r="K11" s="42">
        <v>0.156</v>
      </c>
      <c r="L11" s="41">
        <v>2.9000000000000001E-2</v>
      </c>
      <c r="M11" s="42">
        <v>0.19500000000000001</v>
      </c>
      <c r="N11" s="41">
        <v>322.8</v>
      </c>
      <c r="O11" s="42">
        <v>551.6</v>
      </c>
      <c r="T11" s="8" t="s">
        <v>9</v>
      </c>
      <c r="U11" s="4">
        <v>0.53800000000000003</v>
      </c>
      <c r="V11" s="3">
        <v>3.42</v>
      </c>
      <c r="X11" s="71"/>
      <c r="Y11" s="71"/>
      <c r="Z11" s="71"/>
      <c r="AA11" s="71"/>
    </row>
    <row r="12" spans="1:27" ht="15" thickBot="1" x14ac:dyDescent="0.4">
      <c r="A12" s="9" t="s">
        <v>10</v>
      </c>
      <c r="B12" s="43">
        <v>1.3</v>
      </c>
      <c r="C12" s="44">
        <v>7.24</v>
      </c>
      <c r="D12" s="43">
        <v>0.91600000000000004</v>
      </c>
      <c r="E12" s="44">
        <v>1.879</v>
      </c>
      <c r="F12" s="43" t="s">
        <v>26</v>
      </c>
      <c r="G12" s="44" t="s">
        <v>28</v>
      </c>
      <c r="H12" s="43" t="s">
        <v>26</v>
      </c>
      <c r="I12" s="44" t="s">
        <v>28</v>
      </c>
      <c r="J12" s="43">
        <v>0.34899999999999998</v>
      </c>
      <c r="K12" s="44">
        <v>0.47399999999999998</v>
      </c>
      <c r="L12" s="43" t="s">
        <v>27</v>
      </c>
      <c r="M12" s="44">
        <v>0.127</v>
      </c>
      <c r="N12" s="43">
        <v>715</v>
      </c>
      <c r="O12" s="44">
        <v>111.6</v>
      </c>
      <c r="T12" s="9" t="s">
        <v>10</v>
      </c>
      <c r="U12" s="6">
        <v>1.3</v>
      </c>
      <c r="V12" s="5">
        <v>7.24</v>
      </c>
      <c r="X12" s="71"/>
      <c r="Y12" s="71"/>
      <c r="Z12" s="71"/>
      <c r="AA12" s="71"/>
    </row>
    <row r="13" spans="1:27" ht="15" thickBot="1" x14ac:dyDescent="0.4"/>
    <row r="14" spans="1:27" x14ac:dyDescent="0.35">
      <c r="A14" s="11" t="s">
        <v>12</v>
      </c>
      <c r="B14" t="s">
        <v>14</v>
      </c>
      <c r="U14" s="97" t="s">
        <v>20</v>
      </c>
      <c r="V14" s="98"/>
    </row>
    <row r="15" spans="1:27" x14ac:dyDescent="0.35">
      <c r="B15" t="s">
        <v>70</v>
      </c>
      <c r="U15" s="14" t="s">
        <v>49</v>
      </c>
      <c r="V15" s="14" t="s">
        <v>48</v>
      </c>
    </row>
    <row r="16" spans="1:27" x14ac:dyDescent="0.35">
      <c r="B16" t="s">
        <v>40</v>
      </c>
      <c r="T16" s="8" t="s">
        <v>4</v>
      </c>
      <c r="U16" s="16">
        <v>1.27</v>
      </c>
      <c r="V16" s="17">
        <v>859</v>
      </c>
    </row>
    <row r="17" spans="2:23" x14ac:dyDescent="0.35">
      <c r="B17" t="s">
        <v>41</v>
      </c>
      <c r="T17" s="8" t="s">
        <v>5</v>
      </c>
      <c r="U17" s="3">
        <v>0.63600000000000001</v>
      </c>
      <c r="V17" s="4">
        <v>913</v>
      </c>
    </row>
    <row r="18" spans="2:23" x14ac:dyDescent="0.35">
      <c r="T18" s="8" t="s">
        <v>6</v>
      </c>
      <c r="U18" s="3">
        <v>0.71699999999999997</v>
      </c>
      <c r="V18" s="4">
        <v>587</v>
      </c>
    </row>
    <row r="19" spans="2:23" x14ac:dyDescent="0.35">
      <c r="T19" s="8" t="s">
        <v>7</v>
      </c>
      <c r="U19" s="3">
        <v>3.66</v>
      </c>
      <c r="V19" s="4">
        <v>2800</v>
      </c>
    </row>
    <row r="20" spans="2:23" x14ac:dyDescent="0.35">
      <c r="T20" s="8" t="s">
        <v>8</v>
      </c>
      <c r="U20" s="3">
        <v>1.17</v>
      </c>
      <c r="V20" s="4">
        <v>3141</v>
      </c>
    </row>
    <row r="21" spans="2:23" x14ac:dyDescent="0.35">
      <c r="T21" s="8" t="s">
        <v>9</v>
      </c>
      <c r="U21" s="3">
        <v>1.89</v>
      </c>
      <c r="V21" s="4">
        <v>2684</v>
      </c>
    </row>
    <row r="22" spans="2:23" ht="15" thickBot="1" x14ac:dyDescent="0.4">
      <c r="T22" s="9" t="s">
        <v>10</v>
      </c>
      <c r="U22" s="5">
        <v>0.91600000000000004</v>
      </c>
      <c r="V22" s="6">
        <v>1.879</v>
      </c>
    </row>
    <row r="24" spans="2:23" ht="15" thickBot="1" x14ac:dyDescent="0.4"/>
    <row r="25" spans="2:23" x14ac:dyDescent="0.35">
      <c r="U25" s="97" t="s">
        <v>21</v>
      </c>
      <c r="V25" s="98"/>
    </row>
    <row r="26" spans="2:23" x14ac:dyDescent="0.35">
      <c r="U26" s="14" t="s">
        <v>49</v>
      </c>
      <c r="V26" s="15" t="s">
        <v>48</v>
      </c>
      <c r="W26" t="s">
        <v>74</v>
      </c>
    </row>
    <row r="27" spans="2:23" x14ac:dyDescent="0.35">
      <c r="T27" s="8" t="s">
        <v>4</v>
      </c>
      <c r="U27" s="74">
        <v>5.8000000000000003E-2</v>
      </c>
      <c r="V27" s="75" t="s">
        <v>28</v>
      </c>
      <c r="W27">
        <v>0.05</v>
      </c>
    </row>
    <row r="28" spans="2:23" x14ac:dyDescent="0.35">
      <c r="T28" s="8" t="s">
        <v>5</v>
      </c>
      <c r="U28" s="76">
        <v>5.0999999999999997E-2</v>
      </c>
      <c r="V28" s="77" t="s">
        <v>28</v>
      </c>
      <c r="W28">
        <v>0.05</v>
      </c>
    </row>
    <row r="29" spans="2:23" x14ac:dyDescent="0.35">
      <c r="N29" s="20"/>
      <c r="T29" s="8" t="s">
        <v>6</v>
      </c>
      <c r="U29" s="76">
        <v>3.6999999999999998E-2</v>
      </c>
      <c r="V29" s="77" t="s">
        <v>26</v>
      </c>
      <c r="W29">
        <v>0.01</v>
      </c>
    </row>
    <row r="30" spans="2:23" x14ac:dyDescent="0.35">
      <c r="T30" s="8" t="s">
        <v>7</v>
      </c>
      <c r="U30" s="76" t="s">
        <v>26</v>
      </c>
      <c r="V30" s="77" t="s">
        <v>29</v>
      </c>
      <c r="W30">
        <v>0.1</v>
      </c>
    </row>
    <row r="31" spans="2:23" x14ac:dyDescent="0.35">
      <c r="T31" s="8" t="s">
        <v>8</v>
      </c>
      <c r="U31" s="76" t="s">
        <v>26</v>
      </c>
      <c r="V31" s="77" t="s">
        <v>29</v>
      </c>
      <c r="W31">
        <v>0.1</v>
      </c>
    </row>
    <row r="32" spans="2:23" x14ac:dyDescent="0.35">
      <c r="T32" s="8" t="s">
        <v>9</v>
      </c>
      <c r="U32" s="76">
        <v>0.10299999999999999</v>
      </c>
      <c r="V32" s="77" t="s">
        <v>28</v>
      </c>
      <c r="W32">
        <v>0.05</v>
      </c>
    </row>
    <row r="33" spans="20:23" ht="15" thickBot="1" x14ac:dyDescent="0.4">
      <c r="T33" s="9" t="s">
        <v>10</v>
      </c>
      <c r="U33" s="78" t="s">
        <v>26</v>
      </c>
      <c r="V33" s="79" t="s">
        <v>28</v>
      </c>
      <c r="W33">
        <v>0.05</v>
      </c>
    </row>
    <row r="35" spans="20:23" ht="15" thickBot="1" x14ac:dyDescent="0.4"/>
    <row r="36" spans="20:23" x14ac:dyDescent="0.35">
      <c r="U36" s="97" t="s">
        <v>22</v>
      </c>
      <c r="V36" s="98"/>
    </row>
    <row r="37" spans="20:23" x14ac:dyDescent="0.35">
      <c r="U37" s="14" t="s">
        <v>49</v>
      </c>
      <c r="V37" s="15" t="s">
        <v>48</v>
      </c>
      <c r="W37" t="s">
        <v>74</v>
      </c>
    </row>
    <row r="38" spans="20:23" x14ac:dyDescent="0.35">
      <c r="T38" s="8" t="s">
        <v>4</v>
      </c>
      <c r="U38" s="16" t="s">
        <v>26</v>
      </c>
      <c r="V38" s="17" t="s">
        <v>28</v>
      </c>
      <c r="W38">
        <v>0.05</v>
      </c>
    </row>
    <row r="39" spans="20:23" x14ac:dyDescent="0.35">
      <c r="T39" s="8" t="s">
        <v>5</v>
      </c>
      <c r="U39" s="3" t="s">
        <v>26</v>
      </c>
      <c r="V39" s="4" t="s">
        <v>28</v>
      </c>
      <c r="W39">
        <v>0.05</v>
      </c>
    </row>
    <row r="40" spans="20:23" x14ac:dyDescent="0.35">
      <c r="T40" s="8" t="s">
        <v>6</v>
      </c>
      <c r="U40" s="3" t="s">
        <v>26</v>
      </c>
      <c r="V40" s="4">
        <v>0.17599999999999999</v>
      </c>
      <c r="W40">
        <v>0.01</v>
      </c>
    </row>
    <row r="41" spans="20:23" x14ac:dyDescent="0.35">
      <c r="T41" s="8" t="s">
        <v>7</v>
      </c>
      <c r="U41" s="3" t="s">
        <v>26</v>
      </c>
      <c r="V41" s="4" t="s">
        <v>29</v>
      </c>
      <c r="W41">
        <v>0.1</v>
      </c>
    </row>
    <row r="42" spans="20:23" x14ac:dyDescent="0.35">
      <c r="T42" s="8" t="s">
        <v>8</v>
      </c>
      <c r="U42" s="3" t="s">
        <v>26</v>
      </c>
      <c r="V42" s="4" t="s">
        <v>29</v>
      </c>
      <c r="W42">
        <v>0.1</v>
      </c>
    </row>
    <row r="43" spans="20:23" x14ac:dyDescent="0.35">
      <c r="T43" s="8" t="s">
        <v>9</v>
      </c>
      <c r="U43" s="3" t="s">
        <v>26</v>
      </c>
      <c r="V43" s="4">
        <v>3.86</v>
      </c>
      <c r="W43">
        <v>0.01</v>
      </c>
    </row>
    <row r="44" spans="20:23" ht="15" thickBot="1" x14ac:dyDescent="0.4">
      <c r="T44" s="9" t="s">
        <v>10</v>
      </c>
      <c r="U44" s="5" t="s">
        <v>26</v>
      </c>
      <c r="V44" s="6" t="s">
        <v>28</v>
      </c>
      <c r="W44">
        <v>0.05</v>
      </c>
    </row>
    <row r="47" spans="20:23" ht="15" thickBot="1" x14ac:dyDescent="0.4"/>
    <row r="48" spans="20:23" x14ac:dyDescent="0.35">
      <c r="U48" s="97" t="s">
        <v>23</v>
      </c>
      <c r="V48" s="98"/>
    </row>
    <row r="49" spans="20:23" x14ac:dyDescent="0.35">
      <c r="U49" s="14" t="s">
        <v>49</v>
      </c>
      <c r="V49" s="15" t="s">
        <v>48</v>
      </c>
    </row>
    <row r="50" spans="20:23" x14ac:dyDescent="0.35">
      <c r="T50" s="8" t="s">
        <v>4</v>
      </c>
      <c r="U50" s="17">
        <v>0.66600000000000004</v>
      </c>
      <c r="V50" s="16">
        <v>1.03</v>
      </c>
    </row>
    <row r="51" spans="20:23" x14ac:dyDescent="0.35">
      <c r="T51" s="8" t="s">
        <v>5</v>
      </c>
      <c r="U51" s="4">
        <v>0.42799999999999999</v>
      </c>
      <c r="V51" s="3">
        <v>1.5</v>
      </c>
    </row>
    <row r="52" spans="20:23" x14ac:dyDescent="0.35">
      <c r="T52" s="8" t="s">
        <v>6</v>
      </c>
      <c r="U52" s="4">
        <v>5.2999999999999999E-2</v>
      </c>
      <c r="V52" s="3">
        <v>1.06</v>
      </c>
    </row>
    <row r="53" spans="20:23" x14ac:dyDescent="0.35">
      <c r="T53" s="8" t="s">
        <v>7</v>
      </c>
      <c r="U53" s="4">
        <v>0.63</v>
      </c>
      <c r="V53" s="3">
        <v>0.22800000000000001</v>
      </c>
    </row>
    <row r="54" spans="20:23" x14ac:dyDescent="0.35">
      <c r="T54" s="8" t="s">
        <v>8</v>
      </c>
      <c r="U54" s="4">
        <v>1.29</v>
      </c>
      <c r="V54" s="3">
        <v>2.14</v>
      </c>
    </row>
    <row r="55" spans="20:23" x14ac:dyDescent="0.35">
      <c r="T55" s="8" t="s">
        <v>9</v>
      </c>
      <c r="U55" s="4">
        <v>0.156</v>
      </c>
      <c r="V55" s="3">
        <v>0.753</v>
      </c>
    </row>
    <row r="56" spans="20:23" ht="15" thickBot="1" x14ac:dyDescent="0.4">
      <c r="T56" s="9" t="s">
        <v>10</v>
      </c>
      <c r="U56" s="6">
        <v>0.47399999999999998</v>
      </c>
      <c r="V56" s="5">
        <v>0.34899999999999998</v>
      </c>
    </row>
    <row r="58" spans="20:23" ht="15" thickBot="1" x14ac:dyDescent="0.4"/>
    <row r="59" spans="20:23" x14ac:dyDescent="0.35">
      <c r="U59" s="97" t="s">
        <v>24</v>
      </c>
      <c r="V59" s="98"/>
    </row>
    <row r="60" spans="20:23" x14ac:dyDescent="0.35">
      <c r="U60" s="14" t="s">
        <v>49</v>
      </c>
      <c r="V60" s="15" t="s">
        <v>48</v>
      </c>
      <c r="W60" t="s">
        <v>74</v>
      </c>
    </row>
    <row r="61" spans="20:23" x14ac:dyDescent="0.35">
      <c r="T61" s="8" t="s">
        <v>4</v>
      </c>
      <c r="U61" s="17">
        <v>0.30399999999999999</v>
      </c>
      <c r="V61" s="16">
        <v>2.4E-2</v>
      </c>
      <c r="W61">
        <v>0.02</v>
      </c>
    </row>
    <row r="62" spans="20:23" x14ac:dyDescent="0.35">
      <c r="T62" s="8" t="s">
        <v>5</v>
      </c>
      <c r="U62" s="4">
        <v>0.13300000000000001</v>
      </c>
      <c r="V62" s="3" t="s">
        <v>27</v>
      </c>
      <c r="W62">
        <v>0.02</v>
      </c>
    </row>
    <row r="63" spans="20:23" x14ac:dyDescent="0.35">
      <c r="T63" s="8" t="s">
        <v>6</v>
      </c>
      <c r="U63" s="4">
        <v>0.157</v>
      </c>
      <c r="V63" s="3" t="s">
        <v>27</v>
      </c>
      <c r="W63">
        <v>0.02</v>
      </c>
    </row>
    <row r="64" spans="20:23" x14ac:dyDescent="0.35">
      <c r="T64" s="8" t="s">
        <v>7</v>
      </c>
      <c r="U64" s="4">
        <v>3.86</v>
      </c>
      <c r="V64" s="3">
        <v>0.13400000000000001</v>
      </c>
      <c r="W64">
        <v>0.02</v>
      </c>
    </row>
    <row r="65" spans="20:23" x14ac:dyDescent="0.35">
      <c r="T65" s="8" t="s">
        <v>8</v>
      </c>
      <c r="U65" s="4">
        <v>0.438</v>
      </c>
      <c r="V65" s="3">
        <v>2.8000000000000001E-2</v>
      </c>
      <c r="W65">
        <v>0.02</v>
      </c>
    </row>
    <row r="66" spans="20:23" x14ac:dyDescent="0.35">
      <c r="T66" s="8" t="s">
        <v>9</v>
      </c>
      <c r="U66" s="4">
        <v>0.19500000000000001</v>
      </c>
      <c r="V66" s="3">
        <v>2.9000000000000001E-2</v>
      </c>
      <c r="W66">
        <v>0.02</v>
      </c>
    </row>
    <row r="67" spans="20:23" ht="15" thickBot="1" x14ac:dyDescent="0.4">
      <c r="T67" s="9" t="s">
        <v>10</v>
      </c>
      <c r="U67" s="6">
        <v>0.127</v>
      </c>
      <c r="V67" s="5" t="s">
        <v>27</v>
      </c>
      <c r="W67">
        <v>0.02</v>
      </c>
    </row>
    <row r="69" spans="20:23" ht="15" thickBot="1" x14ac:dyDescent="0.4"/>
    <row r="70" spans="20:23" x14ac:dyDescent="0.35">
      <c r="U70" s="97" t="s">
        <v>25</v>
      </c>
      <c r="V70" s="98"/>
    </row>
    <row r="71" spans="20:23" x14ac:dyDescent="0.35">
      <c r="U71" s="14" t="s">
        <v>49</v>
      </c>
      <c r="V71" s="15" t="s">
        <v>48</v>
      </c>
    </row>
    <row r="72" spans="20:23" x14ac:dyDescent="0.35">
      <c r="T72" s="8" t="s">
        <v>4</v>
      </c>
      <c r="U72" s="16">
        <v>28.5</v>
      </c>
      <c r="V72" s="17">
        <v>83.14</v>
      </c>
    </row>
    <row r="73" spans="20:23" x14ac:dyDescent="0.35">
      <c r="T73" s="8" t="s">
        <v>5</v>
      </c>
      <c r="U73" s="3">
        <v>54.63</v>
      </c>
      <c r="V73" s="4">
        <v>54.87</v>
      </c>
    </row>
    <row r="74" spans="20:23" x14ac:dyDescent="0.35">
      <c r="T74" s="8" t="s">
        <v>6</v>
      </c>
      <c r="U74" s="3">
        <v>29</v>
      </c>
      <c r="V74" s="4">
        <v>31.86</v>
      </c>
    </row>
    <row r="75" spans="20:23" x14ac:dyDescent="0.35">
      <c r="T75" s="8" t="s">
        <v>7</v>
      </c>
      <c r="U75" s="3">
        <v>317</v>
      </c>
      <c r="V75" s="4">
        <v>559</v>
      </c>
    </row>
    <row r="76" spans="20:23" x14ac:dyDescent="0.35">
      <c r="T76" s="8" t="s">
        <v>8</v>
      </c>
      <c r="U76" s="3">
        <v>103</v>
      </c>
      <c r="V76" s="4">
        <v>2226</v>
      </c>
    </row>
    <row r="77" spans="20:23" x14ac:dyDescent="0.35">
      <c r="T77" s="8" t="s">
        <v>9</v>
      </c>
      <c r="U77" s="3">
        <v>322.8</v>
      </c>
      <c r="V77" s="4">
        <v>551.6</v>
      </c>
    </row>
    <row r="78" spans="20:23" ht="15" thickBot="1" x14ac:dyDescent="0.4">
      <c r="T78" s="9" t="s">
        <v>10</v>
      </c>
      <c r="U78" s="5">
        <v>715</v>
      </c>
      <c r="V78" s="6">
        <v>111.6</v>
      </c>
    </row>
  </sheetData>
  <mergeCells count="16">
    <mergeCell ref="U36:V36"/>
    <mergeCell ref="U48:V48"/>
    <mergeCell ref="U59:V59"/>
    <mergeCell ref="U70:V70"/>
    <mergeCell ref="U4:V4"/>
    <mergeCell ref="U14:V14"/>
    <mergeCell ref="U25:V25"/>
    <mergeCell ref="L3:M3"/>
    <mergeCell ref="N3:O3"/>
    <mergeCell ref="A2:O2"/>
    <mergeCell ref="B5:O5"/>
    <mergeCell ref="B3:C3"/>
    <mergeCell ref="D3:E3"/>
    <mergeCell ref="F3:G3"/>
    <mergeCell ref="H3:I3"/>
    <mergeCell ref="J3:K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42488-3A67-46FF-9E06-3B7AFA545460}">
  <dimension ref="A1:AA29"/>
  <sheetViews>
    <sheetView zoomScale="70" zoomScaleNormal="70" workbookViewId="0">
      <selection activeCell="B3" sqref="B3:C3"/>
    </sheetView>
  </sheetViews>
  <sheetFormatPr defaultRowHeight="14.5" x14ac:dyDescent="0.35"/>
  <cols>
    <col min="1" max="1" width="10.453125" bestFit="1" customWidth="1"/>
  </cols>
  <sheetData>
    <row r="1" spans="1:27" ht="15" thickBot="1" x14ac:dyDescent="0.4">
      <c r="V1" t="s">
        <v>73</v>
      </c>
    </row>
    <row r="2" spans="1:27" ht="19" thickBot="1" x14ac:dyDescent="0.5">
      <c r="A2" s="83" t="s">
        <v>43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27" x14ac:dyDescent="0.35">
      <c r="A3" s="50" t="s">
        <v>68</v>
      </c>
      <c r="B3" s="89">
        <v>0</v>
      </c>
      <c r="C3" s="90"/>
      <c r="D3" s="89">
        <v>7</v>
      </c>
      <c r="E3" s="90"/>
      <c r="F3" s="89">
        <v>14</v>
      </c>
      <c r="G3" s="90"/>
      <c r="H3" s="89">
        <v>21</v>
      </c>
      <c r="I3" s="90"/>
      <c r="J3" s="89">
        <v>35</v>
      </c>
      <c r="K3" s="90"/>
      <c r="V3" s="10" t="s">
        <v>49</v>
      </c>
      <c r="W3">
        <v>0</v>
      </c>
      <c r="X3">
        <v>7</v>
      </c>
      <c r="Y3">
        <v>14</v>
      </c>
      <c r="Z3">
        <v>21</v>
      </c>
      <c r="AA3">
        <v>35</v>
      </c>
    </row>
    <row r="4" spans="1:27" x14ac:dyDescent="0.35">
      <c r="A4" s="10" t="s">
        <v>0</v>
      </c>
      <c r="B4" s="1" t="s">
        <v>2</v>
      </c>
      <c r="C4" s="2" t="s">
        <v>1</v>
      </c>
      <c r="D4" s="1" t="s">
        <v>2</v>
      </c>
      <c r="E4" s="2" t="s">
        <v>1</v>
      </c>
      <c r="F4" s="1" t="s">
        <v>2</v>
      </c>
      <c r="G4" s="2" t="s">
        <v>1</v>
      </c>
      <c r="H4" s="1" t="s">
        <v>2</v>
      </c>
      <c r="I4" s="2" t="s">
        <v>1</v>
      </c>
      <c r="J4" s="1" t="s">
        <v>2</v>
      </c>
      <c r="K4" s="2" t="s">
        <v>1</v>
      </c>
      <c r="V4" s="8" t="s">
        <v>4</v>
      </c>
      <c r="W4" s="3" t="s">
        <v>33</v>
      </c>
      <c r="X4" s="3" t="s">
        <v>33</v>
      </c>
      <c r="Y4" s="3" t="s">
        <v>33</v>
      </c>
      <c r="Z4" s="3" t="s">
        <v>33</v>
      </c>
      <c r="AA4" s="3" t="s">
        <v>33</v>
      </c>
    </row>
    <row r="5" spans="1:27" x14ac:dyDescent="0.35">
      <c r="A5" s="10" t="s">
        <v>3</v>
      </c>
      <c r="B5" s="91"/>
      <c r="C5" s="92"/>
      <c r="D5" s="92"/>
      <c r="E5" s="92"/>
      <c r="F5" s="92"/>
      <c r="G5" s="92"/>
      <c r="H5" s="92"/>
      <c r="I5" s="92"/>
      <c r="J5" s="92"/>
      <c r="K5" s="93"/>
      <c r="V5" s="8" t="s">
        <v>5</v>
      </c>
      <c r="W5" s="3" t="s">
        <v>32</v>
      </c>
      <c r="X5" s="3" t="s">
        <v>32</v>
      </c>
      <c r="Y5" s="3" t="s">
        <v>32</v>
      </c>
      <c r="Z5" s="3" t="s">
        <v>32</v>
      </c>
      <c r="AA5" s="3" t="s">
        <v>32</v>
      </c>
    </row>
    <row r="6" spans="1:27" x14ac:dyDescent="0.35">
      <c r="A6" s="8" t="s">
        <v>4</v>
      </c>
      <c r="B6" s="21" t="s">
        <v>33</v>
      </c>
      <c r="C6" s="22">
        <v>1.1299999999999999E-2</v>
      </c>
      <c r="D6" s="21" t="s">
        <v>33</v>
      </c>
      <c r="E6" s="22">
        <v>6.3400000000000001E-3</v>
      </c>
      <c r="F6" s="21" t="s">
        <v>33</v>
      </c>
      <c r="G6" s="22">
        <v>3.8999999999999998E-3</v>
      </c>
      <c r="H6" s="21" t="s">
        <v>33</v>
      </c>
      <c r="I6" s="22">
        <v>4.1200000000000004E-3</v>
      </c>
      <c r="J6" s="21" t="s">
        <v>33</v>
      </c>
      <c r="K6" s="22">
        <v>3.64E-3</v>
      </c>
      <c r="V6" s="8" t="s">
        <v>6</v>
      </c>
      <c r="W6" s="3" t="s">
        <v>33</v>
      </c>
      <c r="X6" s="3" t="s">
        <v>33</v>
      </c>
      <c r="Y6" s="3" t="s">
        <v>33</v>
      </c>
      <c r="Z6" s="3" t="s">
        <v>33</v>
      </c>
      <c r="AA6" s="3" t="s">
        <v>33</v>
      </c>
    </row>
    <row r="7" spans="1:27" x14ac:dyDescent="0.35">
      <c r="A7" s="8" t="s">
        <v>5</v>
      </c>
      <c r="B7" s="21" t="s">
        <v>32</v>
      </c>
      <c r="C7" s="22" t="s">
        <v>26</v>
      </c>
      <c r="D7" s="21" t="s">
        <v>32</v>
      </c>
      <c r="E7" s="22" t="s">
        <v>33</v>
      </c>
      <c r="F7" s="21" t="s">
        <v>32</v>
      </c>
      <c r="G7" s="22">
        <v>1.41E-3</v>
      </c>
      <c r="H7" s="21" t="s">
        <v>32</v>
      </c>
      <c r="I7" s="22">
        <v>1.5299999999999999E-3</v>
      </c>
      <c r="J7" s="21" t="s">
        <v>32</v>
      </c>
      <c r="K7" s="22">
        <v>1.23E-3</v>
      </c>
      <c r="V7" s="8" t="s">
        <v>7</v>
      </c>
      <c r="W7" s="3" t="s">
        <v>15</v>
      </c>
      <c r="X7" s="3">
        <v>1E-3</v>
      </c>
      <c r="Y7" s="3" t="s">
        <v>37</v>
      </c>
      <c r="Z7" s="3" t="s">
        <v>37</v>
      </c>
      <c r="AA7" s="3" t="s">
        <v>37</v>
      </c>
    </row>
    <row r="8" spans="1:27" x14ac:dyDescent="0.35">
      <c r="A8" s="8" t="s">
        <v>6</v>
      </c>
      <c r="B8" s="21" t="s">
        <v>33</v>
      </c>
      <c r="C8" s="22">
        <v>5.8799999999999998E-3</v>
      </c>
      <c r="D8" s="3" t="s">
        <v>33</v>
      </c>
      <c r="E8" s="22">
        <v>3.4499999999999999E-3</v>
      </c>
      <c r="F8" s="21" t="s">
        <v>33</v>
      </c>
      <c r="G8" s="22">
        <v>2.3800000000000002E-3</v>
      </c>
      <c r="H8" s="21" t="s">
        <v>33</v>
      </c>
      <c r="I8" s="22">
        <v>2.6900000000000001E-3</v>
      </c>
      <c r="J8" s="21" t="s">
        <v>33</v>
      </c>
      <c r="K8" s="22">
        <v>2.7100000000000002E-3</v>
      </c>
      <c r="V8" s="8" t="s">
        <v>8</v>
      </c>
      <c r="W8" s="3" t="s">
        <v>38</v>
      </c>
      <c r="X8" s="3" t="s">
        <v>38</v>
      </c>
      <c r="Y8" s="3" t="s">
        <v>38</v>
      </c>
      <c r="Z8" s="3" t="s">
        <v>38</v>
      </c>
      <c r="AA8" s="3" t="s">
        <v>38</v>
      </c>
    </row>
    <row r="9" spans="1:27" x14ac:dyDescent="0.35">
      <c r="A9" s="8" t="s">
        <v>7</v>
      </c>
      <c r="B9" s="21" t="s">
        <v>15</v>
      </c>
      <c r="C9" s="22">
        <v>1.67E-2</v>
      </c>
      <c r="D9" s="21">
        <v>1E-3</v>
      </c>
      <c r="E9" s="22">
        <v>1.9699999999999999E-2</v>
      </c>
      <c r="F9" s="21" t="s">
        <v>37</v>
      </c>
      <c r="G9" s="22">
        <v>1.9800000000000002E-2</v>
      </c>
      <c r="H9" s="21" t="s">
        <v>37</v>
      </c>
      <c r="I9" s="22">
        <v>2.8799999999999999E-2</v>
      </c>
      <c r="J9" s="21" t="s">
        <v>37</v>
      </c>
      <c r="K9" s="22">
        <v>3.9399999999999998E-2</v>
      </c>
      <c r="V9" s="8" t="s">
        <v>9</v>
      </c>
      <c r="W9" s="3">
        <v>1.1999999999999999E-3</v>
      </c>
      <c r="X9" s="3">
        <v>4.4000000000000002E-4</v>
      </c>
      <c r="Y9" s="3">
        <v>2.7799999999999998E-4</v>
      </c>
      <c r="Z9" s="3">
        <v>2.6499999999999999E-4</v>
      </c>
      <c r="AA9" s="3">
        <v>2.4600000000000002E-4</v>
      </c>
    </row>
    <row r="10" spans="1:27" ht="15" thickBot="1" x14ac:dyDescent="0.4">
      <c r="A10" s="8" t="s">
        <v>8</v>
      </c>
      <c r="B10" s="21" t="s">
        <v>38</v>
      </c>
      <c r="C10" s="22" t="s">
        <v>26</v>
      </c>
      <c r="D10" s="21">
        <v>2.8299999999999999E-4</v>
      </c>
      <c r="E10" s="22" t="s">
        <v>26</v>
      </c>
      <c r="F10" s="21" t="s">
        <v>38</v>
      </c>
      <c r="G10" s="22">
        <v>5.3499999999999997E-3</v>
      </c>
      <c r="H10" s="21" t="s">
        <v>38</v>
      </c>
      <c r="I10" s="22">
        <v>1.4E-2</v>
      </c>
      <c r="J10" s="21" t="s">
        <v>38</v>
      </c>
      <c r="K10" s="22">
        <v>2.0299999999999999E-2</v>
      </c>
      <c r="V10" s="9" t="s">
        <v>10</v>
      </c>
      <c r="W10" s="5" t="s">
        <v>33</v>
      </c>
      <c r="X10" s="5" t="s">
        <v>32</v>
      </c>
      <c r="Y10" s="5" t="s">
        <v>33</v>
      </c>
      <c r="Z10" s="5" t="s">
        <v>33</v>
      </c>
      <c r="AA10" s="5" t="s">
        <v>33</v>
      </c>
    </row>
    <row r="11" spans="1:27" x14ac:dyDescent="0.35">
      <c r="A11" s="8" t="s">
        <v>9</v>
      </c>
      <c r="B11" s="21">
        <v>1.1999999999999999E-3</v>
      </c>
      <c r="C11" s="22">
        <v>1.6899999999999998E-2</v>
      </c>
      <c r="D11" s="21">
        <v>4.4000000000000002E-4</v>
      </c>
      <c r="E11" s="22">
        <v>1.2500000000000001E-2</v>
      </c>
      <c r="F11" s="21">
        <v>2.7799999999999998E-4</v>
      </c>
      <c r="G11" s="22">
        <v>1.32E-2</v>
      </c>
      <c r="H11" s="21">
        <v>2.6499999999999999E-4</v>
      </c>
      <c r="I11" s="22">
        <v>2.1600000000000001E-2</v>
      </c>
      <c r="J11" s="21">
        <v>2.4600000000000002E-4</v>
      </c>
      <c r="K11" s="22" t="s">
        <v>15</v>
      </c>
    </row>
    <row r="12" spans="1:27" ht="15" thickBot="1" x14ac:dyDescent="0.4">
      <c r="A12" s="9" t="s">
        <v>10</v>
      </c>
      <c r="B12" s="23" t="s">
        <v>33</v>
      </c>
      <c r="C12" s="24" t="s">
        <v>26</v>
      </c>
      <c r="D12" s="23" t="s">
        <v>32</v>
      </c>
      <c r="E12" s="24">
        <v>5.0400000000000002E-3</v>
      </c>
      <c r="F12" s="23" t="s">
        <v>33</v>
      </c>
      <c r="G12" s="24">
        <v>2.97E-3</v>
      </c>
      <c r="H12" s="23" t="s">
        <v>33</v>
      </c>
      <c r="I12" s="24">
        <v>1.98E-3</v>
      </c>
      <c r="J12" s="23" t="s">
        <v>33</v>
      </c>
      <c r="K12" s="24">
        <v>1.56E-3</v>
      </c>
      <c r="V12" s="10" t="s">
        <v>48</v>
      </c>
      <c r="W12">
        <v>0</v>
      </c>
      <c r="X12">
        <v>7</v>
      </c>
      <c r="Y12">
        <v>14</v>
      </c>
      <c r="Z12">
        <v>21</v>
      </c>
      <c r="AA12">
        <v>35</v>
      </c>
    </row>
    <row r="13" spans="1:27" x14ac:dyDescent="0.35">
      <c r="V13" s="8" t="s">
        <v>4</v>
      </c>
      <c r="W13" s="4">
        <v>1.1299999999999999E-2</v>
      </c>
      <c r="X13" s="4">
        <v>6.3400000000000001E-3</v>
      </c>
      <c r="Y13" s="4">
        <v>3.8999999999999998E-3</v>
      </c>
      <c r="Z13" s="4">
        <v>4.1200000000000004E-3</v>
      </c>
      <c r="AA13" s="4">
        <v>3.64E-3</v>
      </c>
    </row>
    <row r="14" spans="1:27" x14ac:dyDescent="0.35">
      <c r="A14" s="11" t="s">
        <v>12</v>
      </c>
      <c r="B14" t="s">
        <v>14</v>
      </c>
      <c r="V14" s="8" t="s">
        <v>5</v>
      </c>
      <c r="W14" s="4" t="s">
        <v>26</v>
      </c>
      <c r="X14" s="4" t="s">
        <v>33</v>
      </c>
      <c r="Y14" s="4">
        <v>1.41E-3</v>
      </c>
      <c r="Z14" s="4">
        <v>1.5299999999999999E-3</v>
      </c>
      <c r="AA14" s="4">
        <v>1.23E-3</v>
      </c>
    </row>
    <row r="15" spans="1:27" x14ac:dyDescent="0.35">
      <c r="B15" t="s">
        <v>39</v>
      </c>
      <c r="V15" s="8" t="s">
        <v>6</v>
      </c>
      <c r="W15" s="4">
        <v>5.8799999999999998E-3</v>
      </c>
      <c r="X15" s="4">
        <v>3.4499999999999999E-3</v>
      </c>
      <c r="Y15" s="4">
        <v>2.3800000000000002E-3</v>
      </c>
      <c r="Z15" s="4">
        <v>2.6900000000000001E-3</v>
      </c>
      <c r="AA15" s="4">
        <v>2.7100000000000002E-3</v>
      </c>
    </row>
    <row r="16" spans="1:27" x14ac:dyDescent="0.35">
      <c r="B16" t="s">
        <v>47</v>
      </c>
      <c r="V16" s="8" t="s">
        <v>7</v>
      </c>
      <c r="W16" s="4">
        <v>1.67E-2</v>
      </c>
      <c r="X16" s="4">
        <v>1.9699999999999999E-2</v>
      </c>
      <c r="Y16" s="4">
        <v>1.9800000000000002E-2</v>
      </c>
      <c r="Z16" s="4">
        <v>2.8799999999999999E-2</v>
      </c>
      <c r="AA16" s="4">
        <v>3.9399999999999998E-2</v>
      </c>
    </row>
    <row r="17" spans="22:27" x14ac:dyDescent="0.35">
      <c r="V17" s="8" t="s">
        <v>8</v>
      </c>
      <c r="W17" s="4"/>
      <c r="X17" s="4"/>
      <c r="Y17" s="4">
        <v>5.3499999999999997E-3</v>
      </c>
      <c r="Z17" s="4">
        <v>1.4E-2</v>
      </c>
      <c r="AA17" s="4">
        <v>2.0299999999999999E-2</v>
      </c>
    </row>
    <row r="18" spans="22:27" x14ac:dyDescent="0.35">
      <c r="V18" s="8" t="s">
        <v>9</v>
      </c>
      <c r="W18" s="4">
        <v>1.6899999999999998E-2</v>
      </c>
      <c r="X18" s="4">
        <v>1.2500000000000001E-2</v>
      </c>
      <c r="Y18" s="4">
        <v>1.32E-2</v>
      </c>
      <c r="Z18" s="4">
        <v>2.1600000000000001E-2</v>
      </c>
      <c r="AA18" s="4" t="s">
        <v>15</v>
      </c>
    </row>
    <row r="19" spans="22:27" ht="15" thickBot="1" x14ac:dyDescent="0.4">
      <c r="V19" s="9" t="s">
        <v>10</v>
      </c>
      <c r="W19" s="6" t="s">
        <v>26</v>
      </c>
      <c r="X19" s="6">
        <v>5.0400000000000002E-3</v>
      </c>
      <c r="Y19" s="6">
        <v>2.97E-3</v>
      </c>
      <c r="Z19" s="6">
        <v>1.98E-3</v>
      </c>
      <c r="AA19" s="6">
        <v>1.56E-3</v>
      </c>
    </row>
    <row r="23" spans="22:27" x14ac:dyDescent="0.35">
      <c r="W23">
        <v>0</v>
      </c>
      <c r="X23">
        <v>7</v>
      </c>
      <c r="Y23">
        <v>14</v>
      </c>
      <c r="Z23">
        <v>21</v>
      </c>
      <c r="AA23">
        <v>35</v>
      </c>
    </row>
    <row r="24" spans="22:27" x14ac:dyDescent="0.35">
      <c r="V24" s="19" t="s">
        <v>74</v>
      </c>
      <c r="W24" s="81">
        <v>0.01</v>
      </c>
      <c r="X24" s="81">
        <v>0.01</v>
      </c>
      <c r="Y24" s="81">
        <v>0.01</v>
      </c>
      <c r="Z24" s="81">
        <v>0.01</v>
      </c>
      <c r="AA24" s="81">
        <v>0.01</v>
      </c>
    </row>
    <row r="25" spans="22:27" x14ac:dyDescent="0.35">
      <c r="V25" s="19" t="s">
        <v>74</v>
      </c>
      <c r="W25" s="81">
        <v>4.0000000000000001E-3</v>
      </c>
      <c r="X25" s="81">
        <v>4.0000000000000001E-3</v>
      </c>
      <c r="Y25" s="81">
        <v>4.0000000000000001E-3</v>
      </c>
      <c r="Z25" s="81">
        <v>4.0000000000000001E-3</v>
      </c>
      <c r="AA25" s="81">
        <v>4.0000000000000001E-3</v>
      </c>
    </row>
    <row r="26" spans="22:27" x14ac:dyDescent="0.35">
      <c r="V26" s="19" t="s">
        <v>74</v>
      </c>
      <c r="W26" s="81">
        <v>2E-3</v>
      </c>
      <c r="X26" s="81">
        <v>2E-3</v>
      </c>
      <c r="Y26" s="81">
        <v>2E-3</v>
      </c>
      <c r="Z26" s="81">
        <v>2E-3</v>
      </c>
      <c r="AA26" s="81">
        <v>2E-3</v>
      </c>
    </row>
    <row r="27" spans="22:27" x14ac:dyDescent="0.35">
      <c r="V27" s="19" t="s">
        <v>74</v>
      </c>
      <c r="W27" s="81">
        <v>2.0000000000000001E-4</v>
      </c>
      <c r="X27" s="81">
        <v>2.0000000000000001E-4</v>
      </c>
      <c r="Y27" s="81">
        <v>2.0000000000000001E-4</v>
      </c>
      <c r="Z27" s="81">
        <v>2.0000000000000001E-4</v>
      </c>
      <c r="AA27" s="81">
        <v>2.0000000000000001E-4</v>
      </c>
    </row>
    <row r="28" spans="22:27" x14ac:dyDescent="0.35">
      <c r="V28" s="19" t="s">
        <v>74</v>
      </c>
      <c r="W28" s="81"/>
      <c r="X28" s="81"/>
      <c r="Y28" s="81">
        <v>8.0000000000000002E-3</v>
      </c>
      <c r="Z28" s="81">
        <v>8.0000000000000002E-3</v>
      </c>
      <c r="AA28" s="81">
        <v>8.0000000000000002E-3</v>
      </c>
    </row>
    <row r="29" spans="22:27" x14ac:dyDescent="0.35">
      <c r="V29" s="11" t="s">
        <v>75</v>
      </c>
    </row>
  </sheetData>
  <mergeCells count="7">
    <mergeCell ref="B5:K5"/>
    <mergeCell ref="A2:K2"/>
    <mergeCell ref="B3:C3"/>
    <mergeCell ref="D3:E3"/>
    <mergeCell ref="F3:G3"/>
    <mergeCell ref="H3:I3"/>
    <mergeCell ref="J3:K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A635E-739B-492F-9C6A-BE3586EC398C}">
  <dimension ref="A1:AB36"/>
  <sheetViews>
    <sheetView topLeftCell="A76" zoomScale="85" zoomScaleNormal="85" workbookViewId="0">
      <selection activeCell="W27" sqref="W27:AB36"/>
    </sheetView>
  </sheetViews>
  <sheetFormatPr defaultRowHeight="14.5" x14ac:dyDescent="0.35"/>
  <cols>
    <col min="1" max="1" width="10.26953125" bestFit="1" customWidth="1"/>
  </cols>
  <sheetData>
    <row r="1" spans="1:28" ht="15" thickBot="1" x14ac:dyDescent="0.4">
      <c r="W1" t="s">
        <v>73</v>
      </c>
    </row>
    <row r="2" spans="1:28" ht="19" thickBot="1" x14ac:dyDescent="0.5">
      <c r="A2" s="83" t="s">
        <v>42</v>
      </c>
      <c r="B2" s="84"/>
      <c r="C2" s="84"/>
      <c r="D2" s="84"/>
      <c r="E2" s="84"/>
      <c r="F2" s="104"/>
      <c r="G2" s="104"/>
      <c r="H2" s="104"/>
      <c r="I2" s="104"/>
      <c r="J2" s="84"/>
      <c r="K2" s="85"/>
    </row>
    <row r="3" spans="1:28" x14ac:dyDescent="0.35">
      <c r="A3" s="50" t="s">
        <v>68</v>
      </c>
      <c r="B3" s="89">
        <v>0</v>
      </c>
      <c r="C3" s="90"/>
      <c r="D3" s="89">
        <v>7</v>
      </c>
      <c r="E3" s="105"/>
      <c r="F3" s="97">
        <v>14</v>
      </c>
      <c r="G3" s="98"/>
      <c r="H3" s="97">
        <v>21</v>
      </c>
      <c r="I3" s="98"/>
      <c r="J3" s="106">
        <v>35</v>
      </c>
      <c r="K3" s="98"/>
    </row>
    <row r="4" spans="1:28" x14ac:dyDescent="0.35">
      <c r="A4" s="7" t="s">
        <v>0</v>
      </c>
      <c r="B4" s="1" t="s">
        <v>2</v>
      </c>
      <c r="C4" s="2" t="s">
        <v>1</v>
      </c>
      <c r="D4" s="1" t="s">
        <v>2</v>
      </c>
      <c r="E4" s="65" t="s">
        <v>1</v>
      </c>
      <c r="F4" s="1" t="s">
        <v>2</v>
      </c>
      <c r="G4" s="2" t="s">
        <v>1</v>
      </c>
      <c r="H4" s="1" t="s">
        <v>2</v>
      </c>
      <c r="I4" s="2" t="s">
        <v>1</v>
      </c>
      <c r="J4" s="66" t="s">
        <v>2</v>
      </c>
      <c r="K4" s="2" t="s">
        <v>1</v>
      </c>
      <c r="W4" t="s">
        <v>49</v>
      </c>
      <c r="X4">
        <v>0</v>
      </c>
      <c r="Y4">
        <v>7</v>
      </c>
      <c r="Z4">
        <v>14</v>
      </c>
      <c r="AA4">
        <v>21</v>
      </c>
      <c r="AB4">
        <v>35</v>
      </c>
    </row>
    <row r="5" spans="1:28" x14ac:dyDescent="0.35">
      <c r="A5" s="10" t="s">
        <v>3</v>
      </c>
      <c r="B5" s="62"/>
      <c r="C5" s="63"/>
      <c r="D5" s="63"/>
      <c r="E5" s="63"/>
      <c r="F5" s="69"/>
      <c r="G5" s="70"/>
      <c r="H5" s="69"/>
      <c r="I5" s="70"/>
      <c r="J5" s="63"/>
      <c r="K5" s="64"/>
      <c r="W5" s="8" t="s">
        <v>4</v>
      </c>
      <c r="X5" s="3">
        <v>6.1000000000000004E-3</v>
      </c>
      <c r="Y5" s="3">
        <v>6.9300000000000004E-3</v>
      </c>
      <c r="Z5" s="3">
        <v>5.7999999999999996E-3</v>
      </c>
      <c r="AA5" s="3">
        <v>4.4000000000000003E-3</v>
      </c>
      <c r="AB5" s="3">
        <v>6.4000000000000003E-3</v>
      </c>
    </row>
    <row r="6" spans="1:28" x14ac:dyDescent="0.35">
      <c r="A6" s="8" t="s">
        <v>4</v>
      </c>
      <c r="B6" s="21">
        <v>6.1000000000000004E-3</v>
      </c>
      <c r="C6" s="22" t="s">
        <v>26</v>
      </c>
      <c r="D6" s="21">
        <v>6.9300000000000004E-3</v>
      </c>
      <c r="E6" s="60" t="s">
        <v>33</v>
      </c>
      <c r="F6" s="21">
        <v>5.7999999999999996E-3</v>
      </c>
      <c r="G6" s="22" t="s">
        <v>35</v>
      </c>
      <c r="H6" s="21">
        <v>4.4000000000000003E-3</v>
      </c>
      <c r="I6" s="22" t="s">
        <v>35</v>
      </c>
      <c r="J6" s="67">
        <v>6.4000000000000003E-3</v>
      </c>
      <c r="K6" s="22" t="s">
        <v>32</v>
      </c>
      <c r="W6" s="8" t="s">
        <v>5</v>
      </c>
      <c r="X6" s="3">
        <v>6.3699999999999998E-4</v>
      </c>
      <c r="Y6" s="3">
        <v>2.6899999999999998E-4</v>
      </c>
      <c r="Z6" s="4" t="s">
        <v>32</v>
      </c>
      <c r="AA6" s="4" t="s">
        <v>32</v>
      </c>
      <c r="AB6" s="4" t="s">
        <v>32</v>
      </c>
    </row>
    <row r="7" spans="1:28" x14ac:dyDescent="0.35">
      <c r="A7" s="8" t="s">
        <v>5</v>
      </c>
      <c r="B7" s="21">
        <v>6.3699999999999998E-4</v>
      </c>
      <c r="C7" s="22" t="s">
        <v>26</v>
      </c>
      <c r="D7" s="21">
        <v>2.6899999999999998E-4</v>
      </c>
      <c r="E7" s="60" t="s">
        <v>33</v>
      </c>
      <c r="F7" s="21" t="s">
        <v>32</v>
      </c>
      <c r="G7" s="22" t="s">
        <v>35</v>
      </c>
      <c r="H7" s="21" t="s">
        <v>32</v>
      </c>
      <c r="I7" s="22" t="s">
        <v>35</v>
      </c>
      <c r="J7" s="67" t="s">
        <v>32</v>
      </c>
      <c r="K7" s="22" t="s">
        <v>32</v>
      </c>
      <c r="W7" s="8" t="s">
        <v>6</v>
      </c>
      <c r="X7" s="3">
        <v>1.2800000000000001E-2</v>
      </c>
      <c r="Y7" s="3">
        <v>1.34E-2</v>
      </c>
      <c r="Z7" s="3">
        <v>1.1599999999999999E-2</v>
      </c>
      <c r="AA7" s="3">
        <v>1.0200000000000001E-2</v>
      </c>
      <c r="AB7" s="3">
        <v>8.8000000000000005E-3</v>
      </c>
    </row>
    <row r="8" spans="1:28" x14ac:dyDescent="0.35">
      <c r="A8" s="8" t="s">
        <v>6</v>
      </c>
      <c r="B8" s="21">
        <v>1.2800000000000001E-2</v>
      </c>
      <c r="C8" s="22" t="s">
        <v>33</v>
      </c>
      <c r="D8" s="21">
        <v>1.34E-2</v>
      </c>
      <c r="E8" s="60" t="s">
        <v>34</v>
      </c>
      <c r="F8" s="21">
        <v>1.1599999999999999E-2</v>
      </c>
      <c r="G8" s="22" t="s">
        <v>35</v>
      </c>
      <c r="H8" s="21">
        <v>1.0200000000000001E-2</v>
      </c>
      <c r="I8" s="22" t="s">
        <v>32</v>
      </c>
      <c r="J8" s="67">
        <v>8.8000000000000005E-3</v>
      </c>
      <c r="K8" s="22" t="s">
        <v>32</v>
      </c>
      <c r="W8" s="8" t="s">
        <v>7</v>
      </c>
      <c r="X8" s="3"/>
      <c r="Y8" s="3">
        <v>0.19</v>
      </c>
      <c r="Z8" s="3">
        <v>0.2064</v>
      </c>
      <c r="AA8" s="3">
        <v>0.224</v>
      </c>
      <c r="AB8" s="3">
        <v>0.20519999999999999</v>
      </c>
    </row>
    <row r="9" spans="1:28" x14ac:dyDescent="0.35">
      <c r="A9" s="8" t="s">
        <v>7</v>
      </c>
      <c r="B9" s="21" t="s">
        <v>15</v>
      </c>
      <c r="C9" s="22" t="s">
        <v>26</v>
      </c>
      <c r="D9" s="21">
        <v>0.19</v>
      </c>
      <c r="E9" s="60" t="s">
        <v>26</v>
      </c>
      <c r="F9" s="21">
        <f>4*0.0516</f>
        <v>0.2064</v>
      </c>
      <c r="G9" s="22" t="s">
        <v>33</v>
      </c>
      <c r="H9" s="21">
        <f>4*0.056</f>
        <v>0.224</v>
      </c>
      <c r="I9" s="22" t="s">
        <v>33</v>
      </c>
      <c r="J9" s="67">
        <f>4*0.0513</f>
        <v>0.20519999999999999</v>
      </c>
      <c r="K9" s="22" t="s">
        <v>34</v>
      </c>
      <c r="W9" s="8" t="s">
        <v>8</v>
      </c>
      <c r="X9" s="3">
        <v>0.77</v>
      </c>
      <c r="Y9" s="3">
        <v>5.2400000000000002E-2</v>
      </c>
      <c r="Z9" s="3">
        <v>4.3799999999999999E-2</v>
      </c>
      <c r="AA9" s="3">
        <v>4.3799999999999999E-2</v>
      </c>
      <c r="AB9" s="3">
        <v>4.3799999999999999E-2</v>
      </c>
    </row>
    <row r="10" spans="1:28" x14ac:dyDescent="0.35">
      <c r="A10" s="8" t="s">
        <v>8</v>
      </c>
      <c r="B10" s="21">
        <f>2*0.385</f>
        <v>0.77</v>
      </c>
      <c r="C10" s="22" t="s">
        <v>26</v>
      </c>
      <c r="D10" s="21">
        <v>5.2400000000000002E-2</v>
      </c>
      <c r="E10" s="60" t="s">
        <v>26</v>
      </c>
      <c r="F10" s="21">
        <f>2*0.0219</f>
        <v>4.3799999999999999E-2</v>
      </c>
      <c r="G10" s="22" t="s">
        <v>33</v>
      </c>
      <c r="H10" s="21">
        <f>2*0.0219</f>
        <v>4.3799999999999999E-2</v>
      </c>
      <c r="I10" s="22" t="s">
        <v>34</v>
      </c>
      <c r="J10" s="67">
        <f>2*0.0219</f>
        <v>4.3799999999999999E-2</v>
      </c>
      <c r="K10" s="22" t="s">
        <v>34</v>
      </c>
      <c r="W10" s="8" t="s">
        <v>9</v>
      </c>
      <c r="X10" s="3">
        <v>3.3599999999999998E-2</v>
      </c>
      <c r="Y10" s="3">
        <v>8.0600000000000005E-2</v>
      </c>
      <c r="Z10" s="3">
        <v>6.3299999999999995E-2</v>
      </c>
      <c r="AA10" s="3">
        <v>5.2299999999999999E-2</v>
      </c>
      <c r="AB10" s="3">
        <v>5.2200000000000003E-2</v>
      </c>
    </row>
    <row r="11" spans="1:28" ht="15" thickBot="1" x14ac:dyDescent="0.4">
      <c r="A11" s="8" t="s">
        <v>9</v>
      </c>
      <c r="B11" s="21">
        <v>3.3599999999999998E-2</v>
      </c>
      <c r="C11" s="22" t="s">
        <v>26</v>
      </c>
      <c r="D11" s="21">
        <v>8.0600000000000005E-2</v>
      </c>
      <c r="E11" s="60" t="s">
        <v>33</v>
      </c>
      <c r="F11" s="21">
        <v>6.3299999999999995E-2</v>
      </c>
      <c r="G11" s="22" t="s">
        <v>33</v>
      </c>
      <c r="H11" s="21">
        <v>5.2299999999999999E-2</v>
      </c>
      <c r="I11" s="22" t="s">
        <v>35</v>
      </c>
      <c r="J11" s="67">
        <v>5.2200000000000003E-2</v>
      </c>
      <c r="K11" s="22" t="s">
        <v>15</v>
      </c>
      <c r="W11" s="9" t="s">
        <v>10</v>
      </c>
      <c r="X11" s="5">
        <v>9.3799999999999994E-2</v>
      </c>
      <c r="Y11" s="5">
        <v>6.6600000000000006E-2</v>
      </c>
      <c r="Z11" s="5">
        <v>6.4399999999999999E-2</v>
      </c>
      <c r="AA11" s="5">
        <v>5.9200000000000003E-2</v>
      </c>
      <c r="AB11" s="5">
        <v>4.1799999999999997E-2</v>
      </c>
    </row>
    <row r="12" spans="1:28" ht="15" thickBot="1" x14ac:dyDescent="0.4">
      <c r="A12" s="9" t="s">
        <v>10</v>
      </c>
      <c r="B12" s="23">
        <v>9.3799999999999994E-2</v>
      </c>
      <c r="C12" s="24" t="s">
        <v>26</v>
      </c>
      <c r="D12" s="23">
        <v>6.6600000000000006E-2</v>
      </c>
      <c r="E12" s="61" t="s">
        <v>33</v>
      </c>
      <c r="F12" s="23">
        <v>6.4399999999999999E-2</v>
      </c>
      <c r="G12" s="24" t="s">
        <v>33</v>
      </c>
      <c r="H12" s="23">
        <v>5.9200000000000003E-2</v>
      </c>
      <c r="I12" s="24" t="s">
        <v>34</v>
      </c>
      <c r="J12" s="68">
        <v>4.1799999999999997E-2</v>
      </c>
      <c r="K12" s="24" t="s">
        <v>35</v>
      </c>
    </row>
    <row r="14" spans="1:28" x14ac:dyDescent="0.35">
      <c r="A14" s="11" t="s">
        <v>12</v>
      </c>
      <c r="B14" t="s">
        <v>14</v>
      </c>
    </row>
    <row r="15" spans="1:28" x14ac:dyDescent="0.35">
      <c r="B15" t="s">
        <v>39</v>
      </c>
    </row>
    <row r="16" spans="1:28" x14ac:dyDescent="0.35">
      <c r="B16" t="s">
        <v>47</v>
      </c>
      <c r="W16" t="s">
        <v>48</v>
      </c>
      <c r="X16">
        <v>0</v>
      </c>
      <c r="Y16">
        <v>7</v>
      </c>
      <c r="Z16">
        <v>14</v>
      </c>
      <c r="AA16">
        <v>21</v>
      </c>
      <c r="AB16">
        <v>35</v>
      </c>
    </row>
    <row r="17" spans="23:28" x14ac:dyDescent="0.35">
      <c r="W17" s="8" t="s">
        <v>4</v>
      </c>
      <c r="X17" s="22" t="s">
        <v>26</v>
      </c>
      <c r="Y17" s="4" t="s">
        <v>33</v>
      </c>
      <c r="Z17" s="4" t="s">
        <v>35</v>
      </c>
      <c r="AA17" s="4" t="s">
        <v>35</v>
      </c>
      <c r="AB17" s="4" t="s">
        <v>32</v>
      </c>
    </row>
    <row r="18" spans="23:28" x14ac:dyDescent="0.35">
      <c r="W18" s="8" t="s">
        <v>5</v>
      </c>
      <c r="X18" s="22" t="s">
        <v>26</v>
      </c>
      <c r="Y18" s="4" t="s">
        <v>33</v>
      </c>
      <c r="Z18" s="4" t="s">
        <v>35</v>
      </c>
      <c r="AA18" s="4" t="s">
        <v>35</v>
      </c>
      <c r="AB18" s="4" t="s">
        <v>32</v>
      </c>
    </row>
    <row r="19" spans="23:28" x14ac:dyDescent="0.35">
      <c r="W19" s="8" t="s">
        <v>6</v>
      </c>
      <c r="X19" s="22" t="s">
        <v>33</v>
      </c>
      <c r="Y19" s="4" t="s">
        <v>34</v>
      </c>
      <c r="Z19" s="4" t="s">
        <v>35</v>
      </c>
      <c r="AA19" s="4" t="s">
        <v>32</v>
      </c>
      <c r="AB19" s="4" t="s">
        <v>32</v>
      </c>
    </row>
    <row r="20" spans="23:28" x14ac:dyDescent="0.35">
      <c r="W20" s="8" t="s">
        <v>7</v>
      </c>
      <c r="X20" s="22" t="s">
        <v>26</v>
      </c>
      <c r="Y20" s="4" t="s">
        <v>26</v>
      </c>
      <c r="Z20" s="4" t="s">
        <v>33</v>
      </c>
      <c r="AA20" s="4" t="s">
        <v>33</v>
      </c>
      <c r="AB20" s="4" t="s">
        <v>34</v>
      </c>
    </row>
    <row r="21" spans="23:28" x14ac:dyDescent="0.35">
      <c r="W21" s="8" t="s">
        <v>8</v>
      </c>
      <c r="X21" s="22" t="s">
        <v>26</v>
      </c>
      <c r="Y21" s="4" t="s">
        <v>26</v>
      </c>
      <c r="Z21" s="4" t="s">
        <v>33</v>
      </c>
      <c r="AA21" s="4" t="s">
        <v>34</v>
      </c>
      <c r="AB21" s="4" t="s">
        <v>34</v>
      </c>
    </row>
    <row r="22" spans="23:28" x14ac:dyDescent="0.35">
      <c r="W22" s="8" t="s">
        <v>9</v>
      </c>
      <c r="X22" s="22" t="s">
        <v>26</v>
      </c>
      <c r="Y22" s="4" t="s">
        <v>33</v>
      </c>
      <c r="Z22" s="4" t="s">
        <v>33</v>
      </c>
      <c r="AA22" s="4" t="s">
        <v>35</v>
      </c>
      <c r="AB22" s="4" t="s">
        <v>15</v>
      </c>
    </row>
    <row r="23" spans="23:28" ht="15" thickBot="1" x14ac:dyDescent="0.4">
      <c r="W23" s="9" t="s">
        <v>10</v>
      </c>
      <c r="X23" s="24" t="s">
        <v>26</v>
      </c>
      <c r="Y23" s="6" t="s">
        <v>33</v>
      </c>
      <c r="Z23" s="6" t="s">
        <v>33</v>
      </c>
      <c r="AA23" s="6" t="s">
        <v>34</v>
      </c>
      <c r="AB23" s="6" t="s">
        <v>35</v>
      </c>
    </row>
    <row r="27" spans="23:28" x14ac:dyDescent="0.35">
      <c r="X27">
        <v>0</v>
      </c>
      <c r="Y27">
        <v>7</v>
      </c>
      <c r="Z27">
        <v>14</v>
      </c>
      <c r="AA27">
        <v>21</v>
      </c>
      <c r="AB27">
        <v>35</v>
      </c>
    </row>
    <row r="28" spans="23:28" x14ac:dyDescent="0.35">
      <c r="W28" s="19" t="s">
        <v>74</v>
      </c>
      <c r="X28" s="81">
        <v>0.01</v>
      </c>
      <c r="Y28" s="81">
        <v>0.01</v>
      </c>
      <c r="Z28" s="81">
        <v>0.01</v>
      </c>
      <c r="AA28" s="81">
        <v>0.01</v>
      </c>
      <c r="AB28" s="81">
        <v>0.01</v>
      </c>
    </row>
    <row r="29" spans="23:28" x14ac:dyDescent="0.35">
      <c r="W29" s="19" t="s">
        <v>74</v>
      </c>
      <c r="X29" s="81">
        <v>4.0000000000000001E-3</v>
      </c>
      <c r="Y29" s="81">
        <v>4.0000000000000001E-3</v>
      </c>
      <c r="Z29" s="81">
        <v>4.0000000000000001E-3</v>
      </c>
      <c r="AA29" s="81">
        <v>4.0000000000000001E-3</v>
      </c>
      <c r="AB29" s="81">
        <v>4.0000000000000001E-3</v>
      </c>
    </row>
    <row r="30" spans="23:28" x14ac:dyDescent="0.35">
      <c r="W30" s="19" t="s">
        <v>74</v>
      </c>
      <c r="X30" s="81">
        <v>2E-3</v>
      </c>
      <c r="Y30" s="81">
        <v>2E-3</v>
      </c>
      <c r="Z30" s="81">
        <v>2E-3</v>
      </c>
      <c r="AA30" s="81">
        <v>2E-3</v>
      </c>
      <c r="AB30" s="81">
        <v>2E-3</v>
      </c>
    </row>
    <row r="31" spans="23:28" x14ac:dyDescent="0.35">
      <c r="W31" s="19" t="s">
        <v>74</v>
      </c>
      <c r="X31" s="81">
        <v>2.0000000000000001E-4</v>
      </c>
      <c r="Y31" s="81">
        <v>2.0000000000000001E-4</v>
      </c>
      <c r="Z31" s="81">
        <v>2.0000000000000001E-4</v>
      </c>
      <c r="AA31" s="81">
        <v>2.0000000000000001E-4</v>
      </c>
      <c r="AB31" s="81">
        <v>2.0000000000000001E-4</v>
      </c>
    </row>
    <row r="32" spans="23:28" x14ac:dyDescent="0.35">
      <c r="W32" s="19" t="s">
        <v>74</v>
      </c>
      <c r="X32" s="81"/>
      <c r="Y32" s="81"/>
      <c r="Z32" s="81">
        <v>8.0000000000000002E-3</v>
      </c>
      <c r="AA32" s="81">
        <v>8.0000000000000002E-3</v>
      </c>
      <c r="AB32" s="81">
        <v>8.0000000000000002E-3</v>
      </c>
    </row>
    <row r="33" spans="23:28" x14ac:dyDescent="0.35">
      <c r="X33" s="4">
        <v>5.0000000000000001E-4</v>
      </c>
      <c r="Y33" s="4">
        <v>5.0000000000000001E-4</v>
      </c>
      <c r="Z33" s="4">
        <v>5.0000000000000001E-4</v>
      </c>
      <c r="AA33" s="4">
        <v>5.0000000000000001E-4</v>
      </c>
      <c r="AB33" s="4">
        <v>5.0000000000000001E-4</v>
      </c>
    </row>
    <row r="34" spans="23:28" x14ac:dyDescent="0.35">
      <c r="X34" s="82">
        <v>1E-3</v>
      </c>
      <c r="Y34" s="82">
        <v>1E-3</v>
      </c>
      <c r="Z34" s="82">
        <v>1E-3</v>
      </c>
      <c r="AA34" s="82">
        <v>1E-3</v>
      </c>
      <c r="AB34" s="82">
        <v>1E-3</v>
      </c>
    </row>
    <row r="36" spans="23:28" x14ac:dyDescent="0.35">
      <c r="W36" s="11" t="s">
        <v>75</v>
      </c>
    </row>
  </sheetData>
  <mergeCells count="6">
    <mergeCell ref="A2:K2"/>
    <mergeCell ref="B3:C3"/>
    <mergeCell ref="D3:E3"/>
    <mergeCell ref="F3:G3"/>
    <mergeCell ref="H3:I3"/>
    <mergeCell ref="J3: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Leachate Weight</vt:lpstr>
      <vt:lpstr>pH</vt:lpstr>
      <vt:lpstr>SC</vt:lpstr>
      <vt:lpstr>Alk</vt:lpstr>
      <vt:lpstr>Sulfate</vt:lpstr>
      <vt:lpstr>Ammonium</vt:lpstr>
      <vt:lpstr>MBMG Anions Only Day 7</vt:lpstr>
      <vt:lpstr>Arsenic, As</vt:lpstr>
      <vt:lpstr>Cadmium, Cd</vt:lpstr>
      <vt:lpstr>Copper, Cu</vt:lpstr>
      <vt:lpstr>Lead, Pb</vt:lpstr>
      <vt:lpstr>Zinc, Zn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Loran Brooks</dc:creator>
  <cp:lastModifiedBy>Barth, Edwin</cp:lastModifiedBy>
  <dcterms:created xsi:type="dcterms:W3CDTF">2019-06-30T18:24:22Z</dcterms:created>
  <dcterms:modified xsi:type="dcterms:W3CDTF">2022-05-23T19:30:20Z</dcterms:modified>
</cp:coreProperties>
</file>