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iletic_ivan_epa_gov/Documents/Profile/Documents/Calcs/RXNS/monoterpene autoxidation/2021-07-23/"/>
    </mc:Choice>
  </mc:AlternateContent>
  <xr:revisionPtr revIDLastSave="7147" documentId="13_ncr:1_{B0380E85-2FE4-4FB6-8096-3BA66E174CEF}" xr6:coauthVersionLast="46" xr6:coauthVersionMax="46" xr10:uidLastSave="{3186ED48-0CD2-466D-B2B3-2AFB704044FF}"/>
  <bookViews>
    <workbookView xWindow="-108" yWindow="-108" windowWidth="20376" windowHeight="12216" activeTab="2" xr2:uid="{16D44760-32FC-4DB1-9A37-A1F6003D6046}"/>
  </bookViews>
  <sheets>
    <sheet name="ReadMe" sheetId="3" r:id="rId1"/>
    <sheet name="2nd Gen Rxns" sheetId="1" r:id="rId2"/>
    <sheet name="Calculated Yield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B67" i="2"/>
  <c r="B110" i="2"/>
  <c r="D83" i="1"/>
  <c r="D141" i="1"/>
  <c r="D30" i="1"/>
  <c r="BR83" i="2" l="1"/>
  <c r="BB102" i="2" l="1"/>
  <c r="AV102" i="2"/>
  <c r="BB101" i="2"/>
  <c r="BB103" i="2"/>
  <c r="AV103" i="2"/>
  <c r="AV101" i="2"/>
  <c r="BE129" i="2"/>
  <c r="BB129" i="2"/>
  <c r="AV129" i="2"/>
  <c r="BE128" i="2"/>
  <c r="AV128" i="2"/>
  <c r="BE127" i="2"/>
  <c r="AV127" i="2"/>
  <c r="AV111" i="2"/>
  <c r="AV110" i="2"/>
  <c r="AV109" i="2"/>
  <c r="AE129" i="2"/>
  <c r="Y129" i="2"/>
  <c r="AH129" i="2"/>
  <c r="AH128" i="2"/>
  <c r="AH127" i="2"/>
  <c r="Y128" i="2"/>
  <c r="Y127" i="2"/>
  <c r="K129" i="2"/>
  <c r="K128" i="2"/>
  <c r="K127" i="2"/>
  <c r="H129" i="2"/>
  <c r="B129" i="2"/>
  <c r="B128" i="2"/>
  <c r="B127" i="2"/>
  <c r="Y109" i="2"/>
  <c r="AE102" i="2"/>
  <c r="AE101" i="2"/>
  <c r="AE103" i="2"/>
  <c r="Y103" i="2"/>
  <c r="Y102" i="2"/>
  <c r="Y101" i="2"/>
  <c r="Y111" i="2"/>
  <c r="Y110" i="2"/>
  <c r="AV66" i="2"/>
  <c r="AV60" i="2"/>
  <c r="AV59" i="2"/>
  <c r="AV58" i="2"/>
  <c r="BE86" i="2"/>
  <c r="BB86" i="2"/>
  <c r="AV86" i="2"/>
  <c r="BE85" i="2"/>
  <c r="AV85" i="2"/>
  <c r="BE84" i="2"/>
  <c r="AV84" i="2"/>
  <c r="AV68" i="2"/>
  <c r="AV67" i="2"/>
  <c r="Y58" i="2"/>
  <c r="AH84" i="2"/>
  <c r="AE86" i="2"/>
  <c r="Y86" i="2"/>
  <c r="Y85" i="2"/>
  <c r="Y66" i="2"/>
  <c r="Y23" i="2"/>
  <c r="Y60" i="2"/>
  <c r="Y59" i="2"/>
  <c r="AH86" i="2"/>
  <c r="AH85" i="2"/>
  <c r="Y84" i="2"/>
  <c r="Y68" i="2"/>
  <c r="Y67" i="2"/>
  <c r="AV23" i="2"/>
  <c r="BB17" i="2"/>
  <c r="BB16" i="2"/>
  <c r="BB15" i="2"/>
  <c r="BB14" i="2"/>
  <c r="AV17" i="2"/>
  <c r="AV16" i="2"/>
  <c r="AV15" i="2"/>
  <c r="AV14" i="2"/>
  <c r="BP43" i="2"/>
  <c r="BJ43" i="2"/>
  <c r="BE43" i="2"/>
  <c r="BB43" i="2"/>
  <c r="AV43" i="2"/>
  <c r="BP42" i="2"/>
  <c r="BJ42" i="2"/>
  <c r="BE42" i="2"/>
  <c r="BB42" i="2"/>
  <c r="AV42" i="2"/>
  <c r="BJ41" i="2"/>
  <c r="BE41" i="2"/>
  <c r="AV41" i="2"/>
  <c r="AV25" i="2"/>
  <c r="AV24" i="2"/>
  <c r="AE17" i="2"/>
  <c r="AE16" i="2"/>
  <c r="AE15" i="2"/>
  <c r="AE14" i="2"/>
  <c r="Y17" i="2"/>
  <c r="Y16" i="2"/>
  <c r="Y15" i="2"/>
  <c r="Y14" i="2"/>
  <c r="AS43" i="2"/>
  <c r="AM43" i="2"/>
  <c r="AH43" i="2"/>
  <c r="Y43" i="2"/>
  <c r="AE43" i="2"/>
  <c r="AS42" i="2"/>
  <c r="AM42" i="2"/>
  <c r="AH42" i="2"/>
  <c r="AE42" i="2"/>
  <c r="Y42" i="2"/>
  <c r="AM41" i="2"/>
  <c r="AH41" i="2"/>
  <c r="Y41" i="2"/>
  <c r="Y25" i="2"/>
  <c r="Y24" i="2"/>
  <c r="B111" i="2"/>
  <c r="B109" i="2"/>
  <c r="H104" i="2"/>
  <c r="B104" i="2"/>
  <c r="K86" i="2"/>
  <c r="K85" i="2"/>
  <c r="K84" i="2"/>
  <c r="H86" i="2"/>
  <c r="B86" i="2"/>
  <c r="B85" i="2"/>
  <c r="B84" i="2"/>
  <c r="B68" i="2"/>
  <c r="B66" i="2"/>
  <c r="B61" i="2"/>
  <c r="B62" i="2" s="1"/>
  <c r="V43" i="2"/>
  <c r="P43" i="2"/>
  <c r="V42" i="2"/>
  <c r="P42" i="2"/>
  <c r="P41" i="2"/>
  <c r="K43" i="2"/>
  <c r="K42" i="2"/>
  <c r="K41" i="2"/>
  <c r="H43" i="2"/>
  <c r="H42" i="2"/>
  <c r="B43" i="2"/>
  <c r="B42" i="2"/>
  <c r="B41" i="2"/>
  <c r="B25" i="2"/>
  <c r="B23" i="2"/>
  <c r="H18" i="2"/>
  <c r="B18" i="2"/>
  <c r="B118" i="2" l="1"/>
  <c r="K135" i="2" s="1"/>
  <c r="H115" i="2"/>
  <c r="H116" i="2"/>
  <c r="H118" i="2"/>
  <c r="H120" i="2"/>
  <c r="H114" i="2"/>
  <c r="H119" i="2"/>
  <c r="B32" i="2"/>
  <c r="B33" i="2"/>
  <c r="B75" i="2"/>
  <c r="B76" i="2"/>
  <c r="B114" i="2"/>
  <c r="B132" i="2" s="1"/>
  <c r="B73" i="2"/>
  <c r="B71" i="2"/>
  <c r="B72" i="2"/>
  <c r="B29" i="2"/>
  <c r="B30" i="2"/>
  <c r="H29" i="2"/>
  <c r="H28" i="2"/>
  <c r="H30" i="2"/>
  <c r="B28" i="2"/>
  <c r="AV104" i="2"/>
  <c r="AV120" i="2" s="1"/>
  <c r="Y104" i="2"/>
  <c r="Y114" i="2" s="1"/>
  <c r="Y134" i="2" s="1"/>
  <c r="BB104" i="2"/>
  <c r="BB115" i="2" s="1"/>
  <c r="AE104" i="2"/>
  <c r="AE123" i="2" s="1"/>
  <c r="AV61" i="2"/>
  <c r="AV73" i="2" s="1"/>
  <c r="BB89" i="2" s="1"/>
  <c r="Y61" i="2"/>
  <c r="Y77" i="2" s="1"/>
  <c r="BB18" i="2"/>
  <c r="BB30" i="2" s="1"/>
  <c r="BP46" i="2" s="1"/>
  <c r="AV18" i="2"/>
  <c r="AV34" i="2" s="1"/>
  <c r="Y18" i="2"/>
  <c r="Y37" i="2" s="1"/>
  <c r="AE18" i="2"/>
  <c r="AE29" i="2" s="1"/>
  <c r="B116" i="2"/>
  <c r="H132" i="2" s="1"/>
  <c r="B115" i="2"/>
  <c r="H122" i="2"/>
  <c r="B105" i="2"/>
  <c r="H123" i="2"/>
  <c r="B119" i="2"/>
  <c r="B120" i="2"/>
  <c r="B122" i="2"/>
  <c r="B123" i="2"/>
  <c r="B80" i="2"/>
  <c r="B77" i="2"/>
  <c r="B79" i="2"/>
  <c r="B19" i="2"/>
  <c r="H33" i="2"/>
  <c r="B34" i="2"/>
  <c r="B36" i="2"/>
  <c r="B37" i="2"/>
  <c r="H32" i="2"/>
  <c r="K133" i="2" l="1"/>
  <c r="K132" i="2"/>
  <c r="P92" i="2"/>
  <c r="P90" i="2"/>
  <c r="P89" i="2"/>
  <c r="N132" i="2"/>
  <c r="N133" i="2"/>
  <c r="N137" i="2"/>
  <c r="P48" i="2"/>
  <c r="CD43" i="2"/>
  <c r="CD41" i="2"/>
  <c r="CD42" i="2"/>
  <c r="S48" i="2"/>
  <c r="CE42" i="2"/>
  <c r="CE41" i="2"/>
  <c r="CE43" i="2"/>
  <c r="H48" i="2"/>
  <c r="BW42" i="2"/>
  <c r="BW43" i="2"/>
  <c r="BW41" i="2"/>
  <c r="B134" i="2"/>
  <c r="B135" i="2"/>
  <c r="B137" i="2"/>
  <c r="P132" i="2"/>
  <c r="P135" i="2"/>
  <c r="E49" i="2"/>
  <c r="E51" i="2"/>
  <c r="BU42" i="2"/>
  <c r="BV42" i="2"/>
  <c r="BU41" i="2"/>
  <c r="BU43" i="2"/>
  <c r="BV43" i="2"/>
  <c r="BV41" i="2"/>
  <c r="N89" i="2"/>
  <c r="N90" i="2"/>
  <c r="N94" i="2"/>
  <c r="CE85" i="2"/>
  <c r="CC85" i="2"/>
  <c r="CD85" i="2"/>
  <c r="CC86" i="2"/>
  <c r="CC84" i="2"/>
  <c r="CD84" i="2"/>
  <c r="CD86" i="2"/>
  <c r="CE86" i="2"/>
  <c r="CE84" i="2"/>
  <c r="BV84" i="2"/>
  <c r="BX85" i="2"/>
  <c r="BV85" i="2"/>
  <c r="BX84" i="2"/>
  <c r="BW85" i="2"/>
  <c r="BV86" i="2"/>
  <c r="BW86" i="2"/>
  <c r="BW84" i="2"/>
  <c r="BX86" i="2"/>
  <c r="K89" i="2"/>
  <c r="K90" i="2"/>
  <c r="K92" i="2"/>
  <c r="CA85" i="2"/>
  <c r="BZ86" i="2"/>
  <c r="CB85" i="2"/>
  <c r="BZ84" i="2"/>
  <c r="CB84" i="2"/>
  <c r="BZ85" i="2"/>
  <c r="CA86" i="2"/>
  <c r="CA84" i="2"/>
  <c r="CB86" i="2"/>
  <c r="CG86" i="2"/>
  <c r="CG84" i="2"/>
  <c r="CH86" i="2"/>
  <c r="CH84" i="2"/>
  <c r="CF84" i="2"/>
  <c r="CF85" i="2"/>
  <c r="CF86" i="2"/>
  <c r="CH85" i="2"/>
  <c r="CG85" i="2"/>
  <c r="B91" i="2"/>
  <c r="B92" i="2"/>
  <c r="B94" i="2"/>
  <c r="BS85" i="2"/>
  <c r="BT85" i="2"/>
  <c r="BS86" i="2"/>
  <c r="BU85" i="2"/>
  <c r="BS84" i="2"/>
  <c r="BU84" i="2"/>
  <c r="BT86" i="2"/>
  <c r="BT84" i="2"/>
  <c r="BU86" i="2"/>
  <c r="N47" i="2"/>
  <c r="N46" i="2"/>
  <c r="N49" i="2"/>
  <c r="CB41" i="2"/>
  <c r="CB42" i="2"/>
  <c r="CC41" i="2"/>
  <c r="CA43" i="2"/>
  <c r="CB43" i="2"/>
  <c r="CC43" i="2"/>
  <c r="CC42" i="2"/>
  <c r="CA41" i="2"/>
  <c r="CA42" i="2"/>
  <c r="V46" i="2"/>
  <c r="CF43" i="2"/>
  <c r="CF42" i="2"/>
  <c r="CF41" i="2"/>
  <c r="B51" i="2"/>
  <c r="B46" i="2"/>
  <c r="B49" i="2"/>
  <c r="BS42" i="2"/>
  <c r="BS41" i="2"/>
  <c r="BT42" i="2"/>
  <c r="BS43" i="2"/>
  <c r="BT43" i="2"/>
  <c r="BT41" i="2"/>
  <c r="H89" i="2"/>
  <c r="BY86" i="2"/>
  <c r="BY84" i="2"/>
  <c r="BY85" i="2"/>
  <c r="K47" i="2"/>
  <c r="K51" i="2"/>
  <c r="K46" i="2"/>
  <c r="BX41" i="2"/>
  <c r="BY43" i="2"/>
  <c r="BZ43" i="2"/>
  <c r="BX43" i="2"/>
  <c r="BZ42" i="2"/>
  <c r="BZ41" i="2"/>
  <c r="BY41" i="2"/>
  <c r="BY42" i="2"/>
  <c r="BX42" i="2"/>
  <c r="CD129" i="2"/>
  <c r="CD127" i="2"/>
  <c r="CE129" i="2"/>
  <c r="CE127" i="2"/>
  <c r="CC128" i="2"/>
  <c r="CC129" i="2"/>
  <c r="CE128" i="2"/>
  <c r="CD128" i="2"/>
  <c r="CC127" i="2"/>
  <c r="BZ128" i="2"/>
  <c r="CA128" i="2"/>
  <c r="CB128" i="2"/>
  <c r="BZ127" i="2"/>
  <c r="CA129" i="2"/>
  <c r="CB127" i="2"/>
  <c r="BZ129" i="2"/>
  <c r="CA127" i="2"/>
  <c r="CB129" i="2"/>
  <c r="BV129" i="2"/>
  <c r="BX128" i="2"/>
  <c r="BV127" i="2"/>
  <c r="BW129" i="2"/>
  <c r="BW127" i="2"/>
  <c r="BX129" i="2"/>
  <c r="BW128" i="2"/>
  <c r="BX127" i="2"/>
  <c r="BV128" i="2"/>
  <c r="BS128" i="2"/>
  <c r="BT128" i="2"/>
  <c r="BU128" i="2"/>
  <c r="BT127" i="2"/>
  <c r="BU127" i="2"/>
  <c r="BS129" i="2"/>
  <c r="BS127" i="2"/>
  <c r="BT129" i="2"/>
  <c r="BU129" i="2"/>
  <c r="BY128" i="2"/>
  <c r="BY129" i="2"/>
  <c r="BY127" i="2"/>
  <c r="CF128" i="2"/>
  <c r="CF129" i="2"/>
  <c r="CH128" i="2"/>
  <c r="CF127" i="2"/>
  <c r="CG128" i="2"/>
  <c r="CG129" i="2"/>
  <c r="CG127" i="2"/>
  <c r="CH129" i="2"/>
  <c r="CH127" i="2"/>
  <c r="BY62" i="2"/>
  <c r="BY66" i="2"/>
  <c r="BY70" i="2"/>
  <c r="BY74" i="2"/>
  <c r="BY78" i="2"/>
  <c r="BY64" i="2"/>
  <c r="BY79" i="2"/>
  <c r="BY80" i="2"/>
  <c r="BY75" i="2"/>
  <c r="BY76" i="2"/>
  <c r="BY81" i="2"/>
  <c r="BY63" i="2"/>
  <c r="BY73" i="2"/>
  <c r="BY67" i="2"/>
  <c r="BY83" i="2"/>
  <c r="BY61" i="2"/>
  <c r="BY69" i="2"/>
  <c r="BY82" i="2"/>
  <c r="BY71" i="2"/>
  <c r="BY58" i="2"/>
  <c r="BY59" i="2"/>
  <c r="BY60" i="2"/>
  <c r="BY65" i="2"/>
  <c r="BY68" i="2"/>
  <c r="BY72" i="2"/>
  <c r="BY77" i="2"/>
  <c r="BS102" i="2"/>
  <c r="BS110" i="2"/>
  <c r="BS118" i="2"/>
  <c r="BS126" i="2"/>
  <c r="BS105" i="2"/>
  <c r="BS113" i="2"/>
  <c r="BS121" i="2"/>
  <c r="BS106" i="2"/>
  <c r="BS114" i="2"/>
  <c r="BS122" i="2"/>
  <c r="BU101" i="2"/>
  <c r="BS108" i="2"/>
  <c r="BS116" i="2"/>
  <c r="BS124" i="2"/>
  <c r="BS109" i="2"/>
  <c r="BS125" i="2"/>
  <c r="BU102" i="2"/>
  <c r="BU104" i="2"/>
  <c r="BU106" i="2"/>
  <c r="BU108" i="2"/>
  <c r="BU110" i="2"/>
  <c r="BU112" i="2"/>
  <c r="BU114" i="2"/>
  <c r="BU116" i="2"/>
  <c r="BU118" i="2"/>
  <c r="BU120" i="2"/>
  <c r="BU122" i="2"/>
  <c r="BU124" i="2"/>
  <c r="BU126" i="2"/>
  <c r="BS112" i="2"/>
  <c r="BS115" i="2"/>
  <c r="BT103" i="2"/>
  <c r="BT106" i="2"/>
  <c r="BU109" i="2"/>
  <c r="BT119" i="2"/>
  <c r="BT122" i="2"/>
  <c r="BU125" i="2"/>
  <c r="BT101" i="2"/>
  <c r="BS123" i="2"/>
  <c r="BU103" i="2"/>
  <c r="BT113" i="2"/>
  <c r="BT116" i="2"/>
  <c r="BU119" i="2"/>
  <c r="BS103" i="2"/>
  <c r="BS101" i="2"/>
  <c r="BT107" i="2"/>
  <c r="BT110" i="2"/>
  <c r="BU113" i="2"/>
  <c r="BT123" i="2"/>
  <c r="BT126" i="2"/>
  <c r="BS104" i="2"/>
  <c r="BT104" i="2"/>
  <c r="BU107" i="2"/>
  <c r="BT117" i="2"/>
  <c r="BT120" i="2"/>
  <c r="BU123" i="2"/>
  <c r="BS107" i="2"/>
  <c r="BT111" i="2"/>
  <c r="BT114" i="2"/>
  <c r="BU117" i="2"/>
  <c r="BS111" i="2"/>
  <c r="BT102" i="2"/>
  <c r="BU111" i="2"/>
  <c r="BT121" i="2"/>
  <c r="BT108" i="2"/>
  <c r="BU115" i="2"/>
  <c r="BT125" i="2"/>
  <c r="BT109" i="2"/>
  <c r="BT105" i="2"/>
  <c r="BT112" i="2"/>
  <c r="BU121" i="2"/>
  <c r="BS117" i="2"/>
  <c r="BU105" i="2"/>
  <c r="BS119" i="2"/>
  <c r="BT115" i="2"/>
  <c r="BT124" i="2"/>
  <c r="BS120" i="2"/>
  <c r="BT118" i="2"/>
  <c r="E89" i="2"/>
  <c r="BX65" i="2"/>
  <c r="BX73" i="2"/>
  <c r="BX81" i="2"/>
  <c r="BW63" i="2"/>
  <c r="BW71" i="2"/>
  <c r="BW79" i="2"/>
  <c r="BV61" i="2"/>
  <c r="BV69" i="2"/>
  <c r="BV77" i="2"/>
  <c r="BX60" i="2"/>
  <c r="BX68" i="2"/>
  <c r="BX76" i="2"/>
  <c r="BX58" i="2"/>
  <c r="BW66" i="2"/>
  <c r="BW74" i="2"/>
  <c r="BW82" i="2"/>
  <c r="BV64" i="2"/>
  <c r="BV72" i="2"/>
  <c r="BV80" i="2"/>
  <c r="BX63" i="2"/>
  <c r="BX74" i="2"/>
  <c r="BW59" i="2"/>
  <c r="BW69" i="2"/>
  <c r="BW80" i="2"/>
  <c r="BV65" i="2"/>
  <c r="BV75" i="2"/>
  <c r="BX64" i="2"/>
  <c r="BX75" i="2"/>
  <c r="BW60" i="2"/>
  <c r="BW70" i="2"/>
  <c r="BW81" i="2"/>
  <c r="BV66" i="2"/>
  <c r="BX66" i="2"/>
  <c r="BX77" i="2"/>
  <c r="BW61" i="2"/>
  <c r="BW72" i="2"/>
  <c r="BW83" i="2"/>
  <c r="BV67" i="2"/>
  <c r="BV78" i="2"/>
  <c r="BV59" i="2"/>
  <c r="BX67" i="2"/>
  <c r="BX78" i="2"/>
  <c r="BW62" i="2"/>
  <c r="BW73" i="2"/>
  <c r="BW58" i="2"/>
  <c r="BV68" i="2"/>
  <c r="BV79" i="2"/>
  <c r="BX69" i="2"/>
  <c r="BX79" i="2"/>
  <c r="BW64" i="2"/>
  <c r="BW75" i="2"/>
  <c r="BV70" i="2"/>
  <c r="BV81" i="2"/>
  <c r="BX62" i="2"/>
  <c r="BW67" i="2"/>
  <c r="BV71" i="2"/>
  <c r="BX70" i="2"/>
  <c r="BW68" i="2"/>
  <c r="BV73" i="2"/>
  <c r="BX82" i="2"/>
  <c r="BV60" i="2"/>
  <c r="BX83" i="2"/>
  <c r="BW65" i="2"/>
  <c r="BX71" i="2"/>
  <c r="BW76" i="2"/>
  <c r="BV74" i="2"/>
  <c r="BV62" i="2"/>
  <c r="BV63" i="2"/>
  <c r="BX72" i="2"/>
  <c r="BW77" i="2"/>
  <c r="BV76" i="2"/>
  <c r="BX80" i="2"/>
  <c r="BW78" i="2"/>
  <c r="BV82" i="2"/>
  <c r="BV83" i="2"/>
  <c r="BX59" i="2"/>
  <c r="BV58" i="2"/>
  <c r="BX61" i="2"/>
  <c r="CC105" i="2"/>
  <c r="CD106" i="2"/>
  <c r="CE107" i="2"/>
  <c r="CC113" i="2"/>
  <c r="CD114" i="2"/>
  <c r="CE115" i="2"/>
  <c r="CC121" i="2"/>
  <c r="CD122" i="2"/>
  <c r="CE123" i="2"/>
  <c r="CC102" i="2"/>
  <c r="CD103" i="2"/>
  <c r="CE104" i="2"/>
  <c r="CC110" i="2"/>
  <c r="CD111" i="2"/>
  <c r="CE112" i="2"/>
  <c r="CC118" i="2"/>
  <c r="CD119" i="2"/>
  <c r="CE120" i="2"/>
  <c r="CC126" i="2"/>
  <c r="CD102" i="2"/>
  <c r="CE103" i="2"/>
  <c r="CC109" i="2"/>
  <c r="CD110" i="2"/>
  <c r="CE111" i="2"/>
  <c r="CC117" i="2"/>
  <c r="CD118" i="2"/>
  <c r="CE119" i="2"/>
  <c r="CC125" i="2"/>
  <c r="CD126" i="2"/>
  <c r="CE101" i="2"/>
  <c r="CC107" i="2"/>
  <c r="CD108" i="2"/>
  <c r="CE109" i="2"/>
  <c r="CC115" i="2"/>
  <c r="CD116" i="2"/>
  <c r="CE117" i="2"/>
  <c r="CC123" i="2"/>
  <c r="CD124" i="2"/>
  <c r="CE125" i="2"/>
  <c r="CC101" i="2"/>
  <c r="CC106" i="2"/>
  <c r="CE108" i="2"/>
  <c r="CD115" i="2"/>
  <c r="CC122" i="2"/>
  <c r="CE124" i="2"/>
  <c r="CD104" i="2"/>
  <c r="CC111" i="2"/>
  <c r="CE113" i="2"/>
  <c r="CD120" i="2"/>
  <c r="CE102" i="2"/>
  <c r="CD109" i="2"/>
  <c r="CC116" i="2"/>
  <c r="CE118" i="2"/>
  <c r="CD125" i="2"/>
  <c r="CD107" i="2"/>
  <c r="CC114" i="2"/>
  <c r="CE116" i="2"/>
  <c r="CD123" i="2"/>
  <c r="CE105" i="2"/>
  <c r="CC119" i="2"/>
  <c r="CE110" i="2"/>
  <c r="CC124" i="2"/>
  <c r="CE106" i="2"/>
  <c r="CC120" i="2"/>
  <c r="CC112" i="2"/>
  <c r="CD121" i="2"/>
  <c r="CC103" i="2"/>
  <c r="CD112" i="2"/>
  <c r="CE121" i="2"/>
  <c r="CE114" i="2"/>
  <c r="CD101" i="2"/>
  <c r="CC104" i="2"/>
  <c r="CD117" i="2"/>
  <c r="CE122" i="2"/>
  <c r="CD113" i="2"/>
  <c r="CD105" i="2"/>
  <c r="CE126" i="2"/>
  <c r="CC108" i="2"/>
  <c r="BU59" i="2"/>
  <c r="BU67" i="2"/>
  <c r="BU75" i="2"/>
  <c r="BU83" i="2"/>
  <c r="BT65" i="2"/>
  <c r="BT73" i="2"/>
  <c r="BT81" i="2"/>
  <c r="BS63" i="2"/>
  <c r="BS71" i="2"/>
  <c r="BS79" i="2"/>
  <c r="BU62" i="2"/>
  <c r="BU70" i="2"/>
  <c r="BU78" i="2"/>
  <c r="BT60" i="2"/>
  <c r="BT68" i="2"/>
  <c r="BT76" i="2"/>
  <c r="BT58" i="2"/>
  <c r="BS66" i="2"/>
  <c r="BS74" i="2"/>
  <c r="BS82" i="2"/>
  <c r="BU60" i="2"/>
  <c r="BU71" i="2"/>
  <c r="BU81" i="2"/>
  <c r="BT66" i="2"/>
  <c r="BT77" i="2"/>
  <c r="BS61" i="2"/>
  <c r="BS72" i="2"/>
  <c r="BS83" i="2"/>
  <c r="BU63" i="2"/>
  <c r="BU73" i="2"/>
  <c r="BU58" i="2"/>
  <c r="BT69" i="2"/>
  <c r="BT79" i="2"/>
  <c r="BS64" i="2"/>
  <c r="BS75" i="2"/>
  <c r="BU65" i="2"/>
  <c r="BU64" i="2"/>
  <c r="BU74" i="2"/>
  <c r="BT59" i="2"/>
  <c r="BT70" i="2"/>
  <c r="BT80" i="2"/>
  <c r="BS65" i="2"/>
  <c r="BS76" i="2"/>
  <c r="BU76" i="2"/>
  <c r="BU66" i="2"/>
  <c r="BT61" i="2"/>
  <c r="BT75" i="2"/>
  <c r="BS68" i="2"/>
  <c r="BS58" i="2"/>
  <c r="BU68" i="2"/>
  <c r="BT62" i="2"/>
  <c r="BT78" i="2"/>
  <c r="BS69" i="2"/>
  <c r="BU79" i="2"/>
  <c r="BS60" i="2"/>
  <c r="BU80" i="2"/>
  <c r="BT72" i="2"/>
  <c r="BU82" i="2"/>
  <c r="BS67" i="2"/>
  <c r="BU69" i="2"/>
  <c r="BT63" i="2"/>
  <c r="BT82" i="2"/>
  <c r="BS70" i="2"/>
  <c r="BS62" i="2"/>
  <c r="BT74" i="2"/>
  <c r="BU72" i="2"/>
  <c r="BT64" i="2"/>
  <c r="BT83" i="2"/>
  <c r="BS73" i="2"/>
  <c r="BU77" i="2"/>
  <c r="BT67" i="2"/>
  <c r="BS59" i="2"/>
  <c r="BS77" i="2"/>
  <c r="BT71" i="2"/>
  <c r="BS78" i="2"/>
  <c r="BS80" i="2"/>
  <c r="BU61" i="2"/>
  <c r="BS8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W102" i="2"/>
  <c r="BW103" i="2"/>
  <c r="BW104" i="2"/>
  <c r="BW105" i="2"/>
  <c r="BW106" i="2"/>
  <c r="BW107" i="2"/>
  <c r="BW108" i="2"/>
  <c r="BW109" i="2"/>
  <c r="BW110" i="2"/>
  <c r="BW111" i="2"/>
  <c r="BW112" i="2"/>
  <c r="BW113" i="2"/>
  <c r="BW114" i="2"/>
  <c r="BW115" i="2"/>
  <c r="BW116" i="2"/>
  <c r="BW117" i="2"/>
  <c r="BW118" i="2"/>
  <c r="BW119" i="2"/>
  <c r="BW120" i="2"/>
  <c r="BW121" i="2"/>
  <c r="BW122" i="2"/>
  <c r="BW123" i="2"/>
  <c r="BW124" i="2"/>
  <c r="BW125" i="2"/>
  <c r="BW126" i="2"/>
  <c r="BW101" i="2"/>
  <c r="BX101" i="2"/>
  <c r="BX102" i="2"/>
  <c r="BX104" i="2"/>
  <c r="BX106" i="2"/>
  <c r="BX108" i="2"/>
  <c r="BX110" i="2"/>
  <c r="BX112" i="2"/>
  <c r="BX114" i="2"/>
  <c r="BX116" i="2"/>
  <c r="BX118" i="2"/>
  <c r="BX120" i="2"/>
  <c r="BX122" i="2"/>
  <c r="BX124" i="2"/>
  <c r="BX126" i="2"/>
  <c r="BV101" i="2"/>
  <c r="BX115" i="2"/>
  <c r="BX109" i="2"/>
  <c r="BX125" i="2"/>
  <c r="BX103" i="2"/>
  <c r="BX119" i="2"/>
  <c r="BX113" i="2"/>
  <c r="BX107" i="2"/>
  <c r="BX123" i="2"/>
  <c r="BX111" i="2"/>
  <c r="BX121" i="2"/>
  <c r="BX105" i="2"/>
  <c r="BX117" i="2"/>
  <c r="BY101" i="2"/>
  <c r="BY102" i="2"/>
  <c r="BY103" i="2"/>
  <c r="BY104" i="2"/>
  <c r="BY105" i="2"/>
  <c r="BY106" i="2"/>
  <c r="BY107" i="2"/>
  <c r="BY108" i="2"/>
  <c r="BY109" i="2"/>
  <c r="BY110" i="2"/>
  <c r="BY111" i="2"/>
  <c r="BY112" i="2"/>
  <c r="BY113" i="2"/>
  <c r="BY114" i="2"/>
  <c r="BY115" i="2"/>
  <c r="BY116" i="2"/>
  <c r="BY117" i="2"/>
  <c r="BY118" i="2"/>
  <c r="BY119" i="2"/>
  <c r="BY120" i="2"/>
  <c r="BY121" i="2"/>
  <c r="BY122" i="2"/>
  <c r="BY123" i="2"/>
  <c r="BY124" i="2"/>
  <c r="BY125" i="2"/>
  <c r="BY126" i="2"/>
  <c r="CB59" i="2"/>
  <c r="BZ60" i="2"/>
  <c r="CB63" i="2"/>
  <c r="BZ64" i="2"/>
  <c r="CB67" i="2"/>
  <c r="BZ68" i="2"/>
  <c r="CB71" i="2"/>
  <c r="BZ72" i="2"/>
  <c r="CB75" i="2"/>
  <c r="BZ76" i="2"/>
  <c r="CB79" i="2"/>
  <c r="CA61" i="2"/>
  <c r="CA65" i="2"/>
  <c r="CA69" i="2"/>
  <c r="CA73" i="2"/>
  <c r="CA77" i="2"/>
  <c r="CB61" i="2"/>
  <c r="BZ62" i="2"/>
  <c r="BZ59" i="2"/>
  <c r="CB62" i="2"/>
  <c r="BZ63" i="2"/>
  <c r="CA59" i="2"/>
  <c r="BZ65" i="2"/>
  <c r="CA66" i="2"/>
  <c r="CA67" i="2"/>
  <c r="CB68" i="2"/>
  <c r="CA83" i="2"/>
  <c r="BZ58" i="2"/>
  <c r="BZ61" i="2"/>
  <c r="CB64" i="2"/>
  <c r="BZ77" i="2"/>
  <c r="CA78" i="2"/>
  <c r="CA79" i="2"/>
  <c r="CA80" i="2"/>
  <c r="BZ74" i="2"/>
  <c r="BZ75" i="2"/>
  <c r="CA76" i="2"/>
  <c r="CB77" i="2"/>
  <c r="CB78" i="2"/>
  <c r="CB80" i="2"/>
  <c r="BZ81" i="2"/>
  <c r="CB65" i="2"/>
  <c r="CB70" i="2"/>
  <c r="CA72" i="2"/>
  <c r="BZ67" i="2"/>
  <c r="CB72" i="2"/>
  <c r="CA74" i="2"/>
  <c r="BZ79" i="2"/>
  <c r="BZ83" i="2"/>
  <c r="BZ69" i="2"/>
  <c r="CB74" i="2"/>
  <c r="BZ82" i="2"/>
  <c r="CB83" i="2"/>
  <c r="CB58" i="2"/>
  <c r="CA64" i="2"/>
  <c r="CB69" i="2"/>
  <c r="BZ71" i="2"/>
  <c r="CB76" i="2"/>
  <c r="CA82" i="2"/>
  <c r="CA58" i="2"/>
  <c r="BZ66" i="2"/>
  <c r="CA71" i="2"/>
  <c r="BZ73" i="2"/>
  <c r="BZ78" i="2"/>
  <c r="CA81" i="2"/>
  <c r="CB82" i="2"/>
  <c r="BZ70" i="2"/>
  <c r="CB81" i="2"/>
  <c r="CA68" i="2"/>
  <c r="CA60" i="2"/>
  <c r="CB66" i="2"/>
  <c r="CA70" i="2"/>
  <c r="CA75" i="2"/>
  <c r="CA63" i="2"/>
  <c r="CB60" i="2"/>
  <c r="BZ80" i="2"/>
  <c r="CA62" i="2"/>
  <c r="CB73" i="2"/>
  <c r="CD62" i="2"/>
  <c r="CD66" i="2"/>
  <c r="CD70" i="2"/>
  <c r="CD74" i="2"/>
  <c r="CD78" i="2"/>
  <c r="CE59" i="2"/>
  <c r="CC60" i="2"/>
  <c r="CE63" i="2"/>
  <c r="CC64" i="2"/>
  <c r="CE67" i="2"/>
  <c r="CC68" i="2"/>
  <c r="CE71" i="2"/>
  <c r="CC72" i="2"/>
  <c r="CE75" i="2"/>
  <c r="CC76" i="2"/>
  <c r="CE79" i="2"/>
  <c r="CD60" i="2"/>
  <c r="CD61" i="2"/>
  <c r="CC62" i="2"/>
  <c r="CC69" i="2"/>
  <c r="CC70" i="2"/>
  <c r="CD71" i="2"/>
  <c r="CE72" i="2"/>
  <c r="CE73" i="2"/>
  <c r="CE81" i="2"/>
  <c r="CC82" i="2"/>
  <c r="CD59" i="2"/>
  <c r="CC65" i="2"/>
  <c r="CC66" i="2"/>
  <c r="CD67" i="2"/>
  <c r="CE68" i="2"/>
  <c r="CE69" i="2"/>
  <c r="CE82" i="2"/>
  <c r="CC83" i="2"/>
  <c r="CC61" i="2"/>
  <c r="CD64" i="2"/>
  <c r="CD65" i="2"/>
  <c r="CE66" i="2"/>
  <c r="CC79" i="2"/>
  <c r="CD83" i="2"/>
  <c r="CE58" i="2"/>
  <c r="CE60" i="2"/>
  <c r="CC63" i="2"/>
  <c r="CD75" i="2"/>
  <c r="CC77" i="2"/>
  <c r="CD80" i="2"/>
  <c r="CD58" i="2"/>
  <c r="CD63" i="2"/>
  <c r="CE65" i="2"/>
  <c r="CE70" i="2"/>
  <c r="CD77" i="2"/>
  <c r="CE80" i="2"/>
  <c r="CC58" i="2"/>
  <c r="CE61" i="2"/>
  <c r="CC67" i="2"/>
  <c r="CD72" i="2"/>
  <c r="CE77" i="2"/>
  <c r="CD79" i="2"/>
  <c r="CE74" i="2"/>
  <c r="CC74" i="2"/>
  <c r="CE83" i="2"/>
  <c r="CC59" i="2"/>
  <c r="CE64" i="2"/>
  <c r="CD69" i="2"/>
  <c r="CD76" i="2"/>
  <c r="CD73" i="2"/>
  <c r="CE78" i="2"/>
  <c r="CD82" i="2"/>
  <c r="CC81" i="2"/>
  <c r="CC73" i="2"/>
  <c r="CD68" i="2"/>
  <c r="CD81" i="2"/>
  <c r="CC71" i="2"/>
  <c r="CC75" i="2"/>
  <c r="CE76" i="2"/>
  <c r="CC80" i="2"/>
  <c r="CE62" i="2"/>
  <c r="CC78" i="2"/>
  <c r="CB104" i="2"/>
  <c r="CB112" i="2"/>
  <c r="CB120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01" i="2"/>
  <c r="CB109" i="2"/>
  <c r="CB117" i="2"/>
  <c r="CB125" i="2"/>
  <c r="CB108" i="2"/>
  <c r="CB116" i="2"/>
  <c r="CB124" i="2"/>
  <c r="CB106" i="2"/>
  <c r="CB114" i="2"/>
  <c r="CB122" i="2"/>
  <c r="CB113" i="2"/>
  <c r="BZ103" i="2"/>
  <c r="BZ105" i="2"/>
  <c r="BZ107" i="2"/>
  <c r="BZ109" i="2"/>
  <c r="BZ111" i="2"/>
  <c r="BZ113" i="2"/>
  <c r="BZ115" i="2"/>
  <c r="BZ117" i="2"/>
  <c r="BZ119" i="2"/>
  <c r="BZ121" i="2"/>
  <c r="BZ123" i="2"/>
  <c r="BZ125" i="2"/>
  <c r="CB101" i="2"/>
  <c r="CB102" i="2"/>
  <c r="CB118" i="2"/>
  <c r="CB107" i="2"/>
  <c r="CB123" i="2"/>
  <c r="CB105" i="2"/>
  <c r="CB121" i="2"/>
  <c r="CB110" i="2"/>
  <c r="BZ112" i="2"/>
  <c r="CB115" i="2"/>
  <c r="BZ106" i="2"/>
  <c r="BZ122" i="2"/>
  <c r="CB111" i="2"/>
  <c r="BZ116" i="2"/>
  <c r="CB103" i="2"/>
  <c r="BZ110" i="2"/>
  <c r="BZ126" i="2"/>
  <c r="CB126" i="2"/>
  <c r="BZ104" i="2"/>
  <c r="BZ120" i="2"/>
  <c r="BZ118" i="2"/>
  <c r="BZ102" i="2"/>
  <c r="BZ101" i="2"/>
  <c r="BZ124" i="2"/>
  <c r="CB119" i="2"/>
  <c r="BZ114" i="2"/>
  <c r="BZ108" i="2"/>
  <c r="CH60" i="2"/>
  <c r="CF61" i="2"/>
  <c r="CH64" i="2"/>
  <c r="CF65" i="2"/>
  <c r="CH68" i="2"/>
  <c r="CF69" i="2"/>
  <c r="CH72" i="2"/>
  <c r="CF73" i="2"/>
  <c r="CH76" i="2"/>
  <c r="CF77" i="2"/>
  <c r="CG62" i="2"/>
  <c r="CG66" i="2"/>
  <c r="CG70" i="2"/>
  <c r="CG74" i="2"/>
  <c r="CG78" i="2"/>
  <c r="CF59" i="2"/>
  <c r="CH62" i="2"/>
  <c r="CF63" i="2"/>
  <c r="CH59" i="2"/>
  <c r="CF60" i="2"/>
  <c r="CH63" i="2"/>
  <c r="CG60" i="2"/>
  <c r="CF74" i="2"/>
  <c r="CG75" i="2"/>
  <c r="CG76" i="2"/>
  <c r="CH77" i="2"/>
  <c r="CG80" i="2"/>
  <c r="CH58" i="2"/>
  <c r="CF62" i="2"/>
  <c r="CF70" i="2"/>
  <c r="CG71" i="2"/>
  <c r="CG72" i="2"/>
  <c r="CH73" i="2"/>
  <c r="CG81" i="2"/>
  <c r="CF58" i="2"/>
  <c r="CG59" i="2"/>
  <c r="CF67" i="2"/>
  <c r="CF68" i="2"/>
  <c r="CG69" i="2"/>
  <c r="CH70" i="2"/>
  <c r="CH71" i="2"/>
  <c r="CH81" i="2"/>
  <c r="CF82" i="2"/>
  <c r="CG68" i="2"/>
  <c r="CG73" i="2"/>
  <c r="CH78" i="2"/>
  <c r="CF81" i="2"/>
  <c r="CF75" i="2"/>
  <c r="CG63" i="2"/>
  <c r="CG65" i="2"/>
  <c r="CH75" i="2"/>
  <c r="CF80" i="2"/>
  <c r="CG61" i="2"/>
  <c r="CH65" i="2"/>
  <c r="CG67" i="2"/>
  <c r="CF72" i="2"/>
  <c r="CG77" i="2"/>
  <c r="CF79" i="2"/>
  <c r="CH80" i="2"/>
  <c r="CH61" i="2"/>
  <c r="CH67" i="2"/>
  <c r="CG79" i="2"/>
  <c r="CF83" i="2"/>
  <c r="CG64" i="2"/>
  <c r="CH69" i="2"/>
  <c r="CH74" i="2"/>
  <c r="CF78" i="2"/>
  <c r="CG82" i="2"/>
  <c r="CH79" i="2"/>
  <c r="CH82" i="2"/>
  <c r="CF66" i="2"/>
  <c r="CG83" i="2"/>
  <c r="CH66" i="2"/>
  <c r="CF71" i="2"/>
  <c r="CH83" i="2"/>
  <c r="CF76" i="2"/>
  <c r="CG58" i="2"/>
  <c r="CF64" i="2"/>
  <c r="CH102" i="2"/>
  <c r="CF108" i="2"/>
  <c r="CG109" i="2"/>
  <c r="CH110" i="2"/>
  <c r="CF116" i="2"/>
  <c r="CG117" i="2"/>
  <c r="CH118" i="2"/>
  <c r="CF124" i="2"/>
  <c r="CG125" i="2"/>
  <c r="CH126" i="2"/>
  <c r="CF105" i="2"/>
  <c r="CG106" i="2"/>
  <c r="CH107" i="2"/>
  <c r="CF113" i="2"/>
  <c r="CG114" i="2"/>
  <c r="CH115" i="2"/>
  <c r="CF121" i="2"/>
  <c r="CG122" i="2"/>
  <c r="CH123" i="2"/>
  <c r="CF101" i="2"/>
  <c r="CF104" i="2"/>
  <c r="CG105" i="2"/>
  <c r="CH106" i="2"/>
  <c r="CF112" i="2"/>
  <c r="CG113" i="2"/>
  <c r="CH114" i="2"/>
  <c r="CF120" i="2"/>
  <c r="CG121" i="2"/>
  <c r="CH122" i="2"/>
  <c r="CF102" i="2"/>
  <c r="CG103" i="2"/>
  <c r="CH104" i="2"/>
  <c r="CF110" i="2"/>
  <c r="CG111" i="2"/>
  <c r="CH112" i="2"/>
  <c r="CF118" i="2"/>
  <c r="CG119" i="2"/>
  <c r="CH120" i="2"/>
  <c r="CF126" i="2"/>
  <c r="CH103" i="2"/>
  <c r="CG110" i="2"/>
  <c r="CF117" i="2"/>
  <c r="CH119" i="2"/>
  <c r="CG126" i="2"/>
  <c r="CF106" i="2"/>
  <c r="CH108" i="2"/>
  <c r="CG115" i="2"/>
  <c r="CF122" i="2"/>
  <c r="CH124" i="2"/>
  <c r="CG104" i="2"/>
  <c r="CF111" i="2"/>
  <c r="CH113" i="2"/>
  <c r="CG120" i="2"/>
  <c r="CG102" i="2"/>
  <c r="CF109" i="2"/>
  <c r="CH111" i="2"/>
  <c r="CG118" i="2"/>
  <c r="CF125" i="2"/>
  <c r="CF114" i="2"/>
  <c r="CG123" i="2"/>
  <c r="CH105" i="2"/>
  <c r="CF119" i="2"/>
  <c r="CF115" i="2"/>
  <c r="CG124" i="2"/>
  <c r="CF107" i="2"/>
  <c r="CG116" i="2"/>
  <c r="CH125" i="2"/>
  <c r="CG107" i="2"/>
  <c r="CH116" i="2"/>
  <c r="CH101" i="2"/>
  <c r="CF103" i="2"/>
  <c r="CH117" i="2"/>
  <c r="CH109" i="2"/>
  <c r="CF123" i="2"/>
  <c r="CG101" i="2"/>
  <c r="CG108" i="2"/>
  <c r="CH121" i="2"/>
  <c r="CG112" i="2"/>
  <c r="CE21" i="2"/>
  <c r="CE37" i="2"/>
  <c r="CE16" i="2"/>
  <c r="CE32" i="2"/>
  <c r="CE40" i="2"/>
  <c r="CE35" i="2"/>
  <c r="CE38" i="2"/>
  <c r="CE33" i="2"/>
  <c r="CE15" i="2"/>
  <c r="CE36" i="2"/>
  <c r="CE31" i="2"/>
  <c r="CE39" i="2"/>
  <c r="CE26" i="2"/>
  <c r="CE34" i="2"/>
  <c r="CF26" i="2"/>
  <c r="CF34" i="2"/>
  <c r="CF31" i="2"/>
  <c r="CF21" i="2"/>
  <c r="CF37" i="2"/>
  <c r="CF35" i="2"/>
  <c r="CF15" i="2"/>
  <c r="CF16" i="2"/>
  <c r="CF32" i="2"/>
  <c r="CF40" i="2"/>
  <c r="CF38" i="2"/>
  <c r="CF39" i="2"/>
  <c r="CF33" i="2"/>
  <c r="CF36" i="2"/>
  <c r="CD16" i="2"/>
  <c r="CD32" i="2"/>
  <c r="CD40" i="2"/>
  <c r="CD35" i="2"/>
  <c r="CD37" i="2"/>
  <c r="CD38" i="2"/>
  <c r="CD33" i="2"/>
  <c r="CD21" i="2"/>
  <c r="CD36" i="2"/>
  <c r="CD31" i="2"/>
  <c r="CD39" i="2"/>
  <c r="CD15" i="2"/>
  <c r="CD26" i="2"/>
  <c r="CD34" i="2"/>
  <c r="CC16" i="2"/>
  <c r="CC33" i="2"/>
  <c r="CC15" i="2"/>
  <c r="CB31" i="2"/>
  <c r="CB39" i="2"/>
  <c r="CA21" i="2"/>
  <c r="CA37" i="2"/>
  <c r="CC35" i="2"/>
  <c r="CC36" i="2"/>
  <c r="CC26" i="2"/>
  <c r="CC34" i="2"/>
  <c r="CB16" i="2"/>
  <c r="CB32" i="2"/>
  <c r="CB40" i="2"/>
  <c r="CA38" i="2"/>
  <c r="CB33" i="2"/>
  <c r="CB15" i="2"/>
  <c r="CA31" i="2"/>
  <c r="CA39" i="2"/>
  <c r="CB26" i="2"/>
  <c r="CA16" i="2"/>
  <c r="CA32" i="2"/>
  <c r="CC21" i="2"/>
  <c r="CC31" i="2"/>
  <c r="CC39" i="2"/>
  <c r="CB21" i="2"/>
  <c r="CB37" i="2"/>
  <c r="CA35" i="2"/>
  <c r="CC32" i="2"/>
  <c r="CC40" i="2"/>
  <c r="CB38" i="2"/>
  <c r="CA36" i="2"/>
  <c r="CB34" i="2"/>
  <c r="CA40" i="2"/>
  <c r="CB35" i="2"/>
  <c r="CA15" i="2"/>
  <c r="CB36" i="2"/>
  <c r="CC37" i="2"/>
  <c r="CC38" i="2"/>
  <c r="CA26" i="2"/>
  <c r="CA33" i="2"/>
  <c r="CA34" i="2"/>
  <c r="BT38" i="2"/>
  <c r="BS36" i="2"/>
  <c r="BT31" i="2"/>
  <c r="BT39" i="2"/>
  <c r="BS21" i="2"/>
  <c r="BS37" i="2"/>
  <c r="BT16" i="2"/>
  <c r="BT32" i="2"/>
  <c r="BT40" i="2"/>
  <c r="BS38" i="2"/>
  <c r="BT36" i="2"/>
  <c r="BS26" i="2"/>
  <c r="BS34" i="2"/>
  <c r="BT21" i="2"/>
  <c r="BT37" i="2"/>
  <c r="BS35" i="2"/>
  <c r="BT35" i="2"/>
  <c r="BS32" i="2"/>
  <c r="BT15" i="2"/>
  <c r="BS33" i="2"/>
  <c r="BS16" i="2"/>
  <c r="BS39" i="2"/>
  <c r="BS40" i="2"/>
  <c r="BT26" i="2"/>
  <c r="BS15" i="2"/>
  <c r="BT33" i="2"/>
  <c r="BT34" i="2"/>
  <c r="BS31" i="2"/>
  <c r="BW21" i="2"/>
  <c r="BW37" i="2"/>
  <c r="BW38" i="2"/>
  <c r="BW31" i="2"/>
  <c r="BW39" i="2"/>
  <c r="BW40" i="2"/>
  <c r="BW35" i="2"/>
  <c r="BW36" i="2"/>
  <c r="BW16" i="2"/>
  <c r="BW32" i="2"/>
  <c r="BW33" i="2"/>
  <c r="BW34" i="2"/>
  <c r="BW15" i="2"/>
  <c r="BW26" i="2"/>
  <c r="BZ35" i="2"/>
  <c r="BY33" i="2"/>
  <c r="BY15" i="2"/>
  <c r="BX31" i="2"/>
  <c r="BX39" i="2"/>
  <c r="BZ36" i="2"/>
  <c r="BY26" i="2"/>
  <c r="BY34" i="2"/>
  <c r="BX16" i="2"/>
  <c r="BX32" i="2"/>
  <c r="BX40" i="2"/>
  <c r="BZ21" i="2"/>
  <c r="BZ37" i="2"/>
  <c r="BY35" i="2"/>
  <c r="BX33" i="2"/>
  <c r="BX15" i="2"/>
  <c r="BZ38" i="2"/>
  <c r="BX34" i="2"/>
  <c r="BZ33" i="2"/>
  <c r="BZ15" i="2"/>
  <c r="BY31" i="2"/>
  <c r="BY39" i="2"/>
  <c r="BX21" i="2"/>
  <c r="BX37" i="2"/>
  <c r="BZ26" i="2"/>
  <c r="BZ34" i="2"/>
  <c r="BY16" i="2"/>
  <c r="BY32" i="2"/>
  <c r="BY40" i="2"/>
  <c r="BX38" i="2"/>
  <c r="BY36" i="2"/>
  <c r="BX26" i="2"/>
  <c r="BY21" i="2"/>
  <c r="BZ16" i="2"/>
  <c r="BX35" i="2"/>
  <c r="BX36" i="2"/>
  <c r="BZ31" i="2"/>
  <c r="BY37" i="2"/>
  <c r="BZ32" i="2"/>
  <c r="BY38" i="2"/>
  <c r="BZ39" i="2"/>
  <c r="BZ40" i="2"/>
  <c r="BV35" i="2"/>
  <c r="BU33" i="2"/>
  <c r="BU15" i="2"/>
  <c r="BV36" i="2"/>
  <c r="BU26" i="2"/>
  <c r="BU34" i="2"/>
  <c r="BV21" i="2"/>
  <c r="BV37" i="2"/>
  <c r="BU35" i="2"/>
  <c r="BV38" i="2"/>
  <c r="BV33" i="2"/>
  <c r="BV15" i="2"/>
  <c r="BU31" i="2"/>
  <c r="BU39" i="2"/>
  <c r="BV26" i="2"/>
  <c r="BV34" i="2"/>
  <c r="BU16" i="2"/>
  <c r="BU32" i="2"/>
  <c r="BU40" i="2"/>
  <c r="BU36" i="2"/>
  <c r="BV32" i="2"/>
  <c r="BU38" i="2"/>
  <c r="BV39" i="2"/>
  <c r="BV40" i="2"/>
  <c r="BV16" i="2"/>
  <c r="BU21" i="2"/>
  <c r="BV31" i="2"/>
  <c r="BU37" i="2"/>
  <c r="AV116" i="2"/>
  <c r="BB132" i="2" s="1"/>
  <c r="AV122" i="2"/>
  <c r="AV123" i="2"/>
  <c r="AV114" i="2"/>
  <c r="AV135" i="2" s="1"/>
  <c r="AV118" i="2"/>
  <c r="BE133" i="2" s="1"/>
  <c r="AV115" i="2"/>
  <c r="AY134" i="2" s="1"/>
  <c r="AV119" i="2"/>
  <c r="BH133" i="2" s="1"/>
  <c r="AV105" i="2"/>
  <c r="BB119" i="2"/>
  <c r="BB122" i="2"/>
  <c r="BB120" i="2"/>
  <c r="BB118" i="2"/>
  <c r="BB123" i="2"/>
  <c r="BB116" i="2"/>
  <c r="BB114" i="2"/>
  <c r="Y120" i="2"/>
  <c r="AM132" i="2" s="1"/>
  <c r="Y118" i="2"/>
  <c r="AH133" i="2" s="1"/>
  <c r="Y123" i="2"/>
  <c r="Y135" i="2"/>
  <c r="Y122" i="2"/>
  <c r="Y132" i="2"/>
  <c r="Y137" i="2"/>
  <c r="Y119" i="2"/>
  <c r="AK137" i="2" s="1"/>
  <c r="Y116" i="2"/>
  <c r="AE132" i="2" s="1"/>
  <c r="Y115" i="2"/>
  <c r="AB137" i="2" s="1"/>
  <c r="Y33" i="2"/>
  <c r="AK49" i="2" s="1"/>
  <c r="Y30" i="2"/>
  <c r="AE48" i="2" s="1"/>
  <c r="BJ132" i="2"/>
  <c r="BJ133" i="2"/>
  <c r="BJ135" i="2"/>
  <c r="AE116" i="2"/>
  <c r="AE118" i="2"/>
  <c r="AE122" i="2"/>
  <c r="AE115" i="2"/>
  <c r="AE114" i="2"/>
  <c r="AE120" i="2"/>
  <c r="AE119" i="2"/>
  <c r="Y105" i="2"/>
  <c r="AV72" i="2"/>
  <c r="AY91" i="2" s="1"/>
  <c r="AV75" i="2"/>
  <c r="BE89" i="2" s="1"/>
  <c r="AV77" i="2"/>
  <c r="BJ89" i="2" s="1"/>
  <c r="AV80" i="2"/>
  <c r="AV62" i="2"/>
  <c r="AV76" i="2"/>
  <c r="BH94" i="2" s="1"/>
  <c r="AV71" i="2"/>
  <c r="AV89" i="2" s="1"/>
  <c r="AV79" i="2"/>
  <c r="AM89" i="2"/>
  <c r="AM92" i="2"/>
  <c r="AM90" i="2"/>
  <c r="Y80" i="2"/>
  <c r="Y76" i="2"/>
  <c r="Y71" i="2"/>
  <c r="Y79" i="2"/>
  <c r="Y73" i="2"/>
  <c r="AE89" i="2" s="1"/>
  <c r="Y72" i="2"/>
  <c r="Y75" i="2"/>
  <c r="Y62" i="2"/>
  <c r="BB32" i="2"/>
  <c r="BB29" i="2"/>
  <c r="BM48" i="2" s="1"/>
  <c r="BB28" i="2"/>
  <c r="BJ46" i="2" s="1"/>
  <c r="BB33" i="2"/>
  <c r="AV36" i="2"/>
  <c r="AV30" i="2"/>
  <c r="BB48" i="2" s="1"/>
  <c r="AV32" i="2"/>
  <c r="BE51" i="2" s="1"/>
  <c r="AV37" i="2"/>
  <c r="AV19" i="2"/>
  <c r="AV28" i="2"/>
  <c r="AV48" i="2" s="1"/>
  <c r="AV33" i="2"/>
  <c r="BH47" i="2" s="1"/>
  <c r="AV29" i="2"/>
  <c r="AY46" i="2" s="1"/>
  <c r="Y32" i="2"/>
  <c r="AH47" i="2" s="1"/>
  <c r="Y28" i="2"/>
  <c r="Y49" i="2" s="1"/>
  <c r="Y29" i="2"/>
  <c r="AB46" i="2" s="1"/>
  <c r="Y34" i="2"/>
  <c r="Y36" i="2"/>
  <c r="Y19" i="2"/>
  <c r="AE28" i="2"/>
  <c r="AM46" i="2" s="1"/>
  <c r="AE32" i="2"/>
  <c r="AE30" i="2"/>
  <c r="AS46" i="2" s="1"/>
  <c r="AP48" i="2"/>
  <c r="AP46" i="2"/>
  <c r="AE33" i="2"/>
  <c r="N92" i="2"/>
  <c r="E137" i="2"/>
  <c r="E135" i="2"/>
  <c r="E134" i="2"/>
  <c r="E132" i="2"/>
  <c r="N135" i="2"/>
  <c r="P133" i="2"/>
  <c r="B124" i="2"/>
  <c r="E94" i="2"/>
  <c r="E92" i="2"/>
  <c r="E91" i="2"/>
  <c r="B89" i="2"/>
  <c r="B81" i="2"/>
  <c r="S46" i="2"/>
  <c r="P46" i="2"/>
  <c r="H46" i="2"/>
  <c r="K49" i="2"/>
  <c r="E48" i="2"/>
  <c r="E46" i="2"/>
  <c r="B48" i="2"/>
  <c r="B38" i="2"/>
  <c r="D206" i="1"/>
  <c r="C203" i="1"/>
  <c r="D203" i="1"/>
  <c r="B203" i="1"/>
  <c r="G169" i="1"/>
  <c r="G165" i="1"/>
  <c r="H167" i="1"/>
  <c r="I167" i="1"/>
  <c r="I170" i="1" s="1"/>
  <c r="G167" i="1"/>
  <c r="BR60" i="2"/>
  <c r="BR61" i="2" s="1"/>
  <c r="BR65" i="2"/>
  <c r="BR66" i="2" s="1"/>
  <c r="BR67" i="2" s="1"/>
  <c r="BR70" i="2"/>
  <c r="BR71" i="2" s="1"/>
  <c r="BR75" i="2"/>
  <c r="BR80" i="2"/>
  <c r="BR17" i="2"/>
  <c r="BR18" i="2" s="1"/>
  <c r="CE18" i="2" s="1"/>
  <c r="BR22" i="2"/>
  <c r="BR23" i="2" s="1"/>
  <c r="CA23" i="2" s="1"/>
  <c r="BR27" i="2"/>
  <c r="CF27" i="2" s="1"/>
  <c r="CG41" i="2" l="1"/>
  <c r="CG42" i="2"/>
  <c r="CI84" i="2"/>
  <c r="CI86" i="2"/>
  <c r="CI85" i="2"/>
  <c r="CG43" i="2"/>
  <c r="CI128" i="2"/>
  <c r="CI129" i="2"/>
  <c r="CI127" i="2"/>
  <c r="CI62" i="2"/>
  <c r="CI70" i="2"/>
  <c r="CI60" i="2"/>
  <c r="CI104" i="2"/>
  <c r="CI118" i="2"/>
  <c r="CI59" i="2"/>
  <c r="CI103" i="2"/>
  <c r="CI81" i="2"/>
  <c r="CI119" i="2"/>
  <c r="CI122" i="2"/>
  <c r="CI110" i="2"/>
  <c r="CI63" i="2"/>
  <c r="CI73" i="2"/>
  <c r="CI69" i="2"/>
  <c r="CI107" i="2"/>
  <c r="CI114" i="2"/>
  <c r="CI102" i="2"/>
  <c r="CI80" i="2"/>
  <c r="CI83" i="2"/>
  <c r="CI82" i="2"/>
  <c r="CI117" i="2"/>
  <c r="CI125" i="2"/>
  <c r="CI106" i="2"/>
  <c r="CI78" i="2"/>
  <c r="CI67" i="2"/>
  <c r="CI76" i="2"/>
  <c r="CI75" i="2"/>
  <c r="CI72" i="2"/>
  <c r="CI74" i="2"/>
  <c r="CI123" i="2"/>
  <c r="CI115" i="2"/>
  <c r="CI109" i="2"/>
  <c r="CI121" i="2"/>
  <c r="CI126" i="2"/>
  <c r="CI65" i="2"/>
  <c r="CI64" i="2"/>
  <c r="CI61" i="2"/>
  <c r="CI66" i="2"/>
  <c r="CI79" i="2"/>
  <c r="CI112" i="2"/>
  <c r="CI124" i="2"/>
  <c r="CI113" i="2"/>
  <c r="CI68" i="2"/>
  <c r="CI108" i="2"/>
  <c r="CI77" i="2"/>
  <c r="CI58" i="2"/>
  <c r="CI71" i="2"/>
  <c r="CI120" i="2"/>
  <c r="CI111" i="2"/>
  <c r="CI101" i="2"/>
  <c r="CI116" i="2"/>
  <c r="CI105" i="2"/>
  <c r="AV137" i="2"/>
  <c r="BX22" i="2"/>
  <c r="CD23" i="2"/>
  <c r="BV23" i="2"/>
  <c r="BW23" i="2"/>
  <c r="BT27" i="2"/>
  <c r="CG32" i="2"/>
  <c r="CB27" i="2"/>
  <c r="BH135" i="2"/>
  <c r="BX27" i="2"/>
  <c r="BW22" i="2"/>
  <c r="BS22" i="2"/>
  <c r="BU22" i="2"/>
  <c r="CD22" i="2"/>
  <c r="BZ27" i="2"/>
  <c r="BT22" i="2"/>
  <c r="BV18" i="2"/>
  <c r="CB18" i="2"/>
  <c r="CC17" i="2"/>
  <c r="BH137" i="2"/>
  <c r="BV22" i="2"/>
  <c r="BX17" i="2"/>
  <c r="BW27" i="2"/>
  <c r="CG34" i="2"/>
  <c r="CG21" i="2"/>
  <c r="CB17" i="2"/>
  <c r="CF17" i="2"/>
  <c r="CE17" i="2"/>
  <c r="CG38" i="2"/>
  <c r="CG35" i="2"/>
  <c r="CC27" i="2"/>
  <c r="CF23" i="2"/>
  <c r="CE23" i="2"/>
  <c r="BX18" i="2"/>
  <c r="BU23" i="2"/>
  <c r="BU27" i="2"/>
  <c r="BZ23" i="2"/>
  <c r="BY27" i="2"/>
  <c r="CG16" i="2"/>
  <c r="BS27" i="2"/>
  <c r="BS18" i="2"/>
  <c r="CC23" i="2"/>
  <c r="CG39" i="2"/>
  <c r="BV27" i="2"/>
  <c r="BY23" i="2"/>
  <c r="BX23" i="2"/>
  <c r="CG15" i="2"/>
  <c r="BT23" i="2"/>
  <c r="CA18" i="2"/>
  <c r="CA27" i="2"/>
  <c r="CC22" i="2"/>
  <c r="CC18" i="2"/>
  <c r="CB23" i="2"/>
  <c r="CD18" i="2"/>
  <c r="CD17" i="2"/>
  <c r="CE27" i="2"/>
  <c r="BY17" i="2"/>
  <c r="BS17" i="2"/>
  <c r="BU17" i="2"/>
  <c r="CG26" i="2"/>
  <c r="BY22" i="2"/>
  <c r="BZ22" i="2"/>
  <c r="BS23" i="2"/>
  <c r="CG33" i="2"/>
  <c r="CG36" i="2"/>
  <c r="CA22" i="2"/>
  <c r="CF22" i="2"/>
  <c r="CF18" i="2"/>
  <c r="BZ17" i="2"/>
  <c r="BU18" i="2"/>
  <c r="BZ18" i="2"/>
  <c r="BY18" i="2"/>
  <c r="BW18" i="2"/>
  <c r="CG31" i="2"/>
  <c r="CA17" i="2"/>
  <c r="CD27" i="2"/>
  <c r="BV17" i="2"/>
  <c r="BW17" i="2"/>
  <c r="CG40" i="2"/>
  <c r="BT18" i="2"/>
  <c r="BT17" i="2"/>
  <c r="CG37" i="2"/>
  <c r="CB22" i="2"/>
  <c r="CE22" i="2"/>
  <c r="AY132" i="2"/>
  <c r="AY137" i="2"/>
  <c r="AV132" i="2"/>
  <c r="AE46" i="2"/>
  <c r="AY135" i="2"/>
  <c r="AM135" i="2"/>
  <c r="BH132" i="2"/>
  <c r="AV134" i="2"/>
  <c r="BE135" i="2"/>
  <c r="AM133" i="2"/>
  <c r="BE132" i="2"/>
  <c r="AK132" i="2"/>
  <c r="AK133" i="2"/>
  <c r="AV124" i="2"/>
  <c r="AK135" i="2"/>
  <c r="AB132" i="2"/>
  <c r="AB135" i="2"/>
  <c r="AB134" i="2"/>
  <c r="AH135" i="2"/>
  <c r="AH132" i="2"/>
  <c r="AK46" i="2"/>
  <c r="AK47" i="2"/>
  <c r="Y124" i="2"/>
  <c r="BE92" i="2"/>
  <c r="AV94" i="2"/>
  <c r="BE90" i="2"/>
  <c r="AY92" i="2"/>
  <c r="AY94" i="2"/>
  <c r="AY89" i="2"/>
  <c r="AV91" i="2"/>
  <c r="AV92" i="2"/>
  <c r="BH92" i="2"/>
  <c r="BH90" i="2"/>
  <c r="BH89" i="2"/>
  <c r="AV81" i="2"/>
  <c r="BJ90" i="2"/>
  <c r="BJ92" i="2"/>
  <c r="AK94" i="2"/>
  <c r="AK92" i="2"/>
  <c r="AK90" i="2"/>
  <c r="AK89" i="2"/>
  <c r="Y94" i="2"/>
  <c r="Y89" i="2"/>
  <c r="Y91" i="2"/>
  <c r="Y92" i="2"/>
  <c r="AB94" i="2"/>
  <c r="AB89" i="2"/>
  <c r="AB92" i="2"/>
  <c r="AB91" i="2"/>
  <c r="AH90" i="2"/>
  <c r="AH92" i="2"/>
  <c r="AH89" i="2"/>
  <c r="Y81" i="2"/>
  <c r="BH46" i="2"/>
  <c r="BJ48" i="2"/>
  <c r="BM46" i="2"/>
  <c r="AY51" i="2"/>
  <c r="AY49" i="2"/>
  <c r="BH49" i="2"/>
  <c r="AY48" i="2"/>
  <c r="BB46" i="2"/>
  <c r="AV49" i="2"/>
  <c r="BE49" i="2"/>
  <c r="AV46" i="2"/>
  <c r="AV38" i="2"/>
  <c r="BE46" i="2"/>
  <c r="AV51" i="2"/>
  <c r="BE47" i="2"/>
  <c r="AB49" i="2"/>
  <c r="AB51" i="2"/>
  <c r="AH49" i="2"/>
  <c r="AH46" i="2"/>
  <c r="AH51" i="2"/>
  <c r="AB48" i="2"/>
  <c r="Y51" i="2"/>
  <c r="Y48" i="2"/>
  <c r="Y46" i="2"/>
  <c r="AM48" i="2"/>
  <c r="Y38" i="2"/>
  <c r="B138" i="2"/>
  <c r="B95" i="2"/>
  <c r="B52" i="2"/>
  <c r="BR72" i="2"/>
  <c r="BR68" i="2"/>
  <c r="BR62" i="2"/>
  <c r="BR76" i="2"/>
  <c r="BR28" i="2"/>
  <c r="BR24" i="2"/>
  <c r="BR19" i="2"/>
  <c r="BR123" i="2"/>
  <c r="BR118" i="2"/>
  <c r="BR113" i="2"/>
  <c r="BR108" i="2"/>
  <c r="BR103" i="2"/>
  <c r="BR81" i="2"/>
  <c r="BR82" i="2" s="1"/>
  <c r="CG23" i="2" l="1"/>
  <c r="CG22" i="2"/>
  <c r="CF19" i="2"/>
  <c r="CD19" i="2"/>
  <c r="CC19" i="2"/>
  <c r="BU19" i="2"/>
  <c r="CE19" i="2"/>
  <c r="CA19" i="2"/>
  <c r="BV19" i="2"/>
  <c r="BW19" i="2"/>
  <c r="BS19" i="2"/>
  <c r="BT19" i="2"/>
  <c r="BY19" i="2"/>
  <c r="BX19" i="2"/>
  <c r="CB19" i="2"/>
  <c r="BZ19" i="2"/>
  <c r="CA24" i="2"/>
  <c r="BV24" i="2"/>
  <c r="BT24" i="2"/>
  <c r="BY24" i="2"/>
  <c r="BW24" i="2"/>
  <c r="BU24" i="2"/>
  <c r="CE24" i="2"/>
  <c r="CF24" i="2"/>
  <c r="CD24" i="2"/>
  <c r="CC24" i="2"/>
  <c r="BX24" i="2"/>
  <c r="BS24" i="2"/>
  <c r="CB24" i="2"/>
  <c r="BZ24" i="2"/>
  <c r="CG17" i="2"/>
  <c r="BR29" i="2"/>
  <c r="BS28" i="2"/>
  <c r="BW28" i="2"/>
  <c r="BZ28" i="2"/>
  <c r="CF28" i="2"/>
  <c r="CB28" i="2"/>
  <c r="BT28" i="2"/>
  <c r="CE28" i="2"/>
  <c r="BX28" i="2"/>
  <c r="BV28" i="2"/>
  <c r="CA28" i="2"/>
  <c r="BY28" i="2"/>
  <c r="CD28" i="2"/>
  <c r="BU28" i="2"/>
  <c r="CC28" i="2"/>
  <c r="CG18" i="2"/>
  <c r="CG27" i="2"/>
  <c r="AV138" i="2"/>
  <c r="C139" i="2" s="1"/>
  <c r="Y138" i="2"/>
  <c r="C138" i="2" s="1"/>
  <c r="Y95" i="2"/>
  <c r="C95" i="2" s="1"/>
  <c r="AV95" i="2"/>
  <c r="C96" i="2" s="1"/>
  <c r="AV52" i="2"/>
  <c r="C53" i="2" s="1"/>
  <c r="Y52" i="2"/>
  <c r="C52" i="2" s="1"/>
  <c r="BR109" i="2"/>
  <c r="BR114" i="2"/>
  <c r="BR119" i="2"/>
  <c r="BR124" i="2"/>
  <c r="BR104" i="2"/>
  <c r="BR73" i="2"/>
  <c r="BR77" i="2"/>
  <c r="BR63" i="2"/>
  <c r="BR25" i="2"/>
  <c r="BR20" i="2"/>
  <c r="CG19" i="2" l="1"/>
  <c r="BS20" i="2"/>
  <c r="BW20" i="2"/>
  <c r="CF20" i="2"/>
  <c r="BT20" i="2"/>
  <c r="BX20" i="2"/>
  <c r="CE20" i="2"/>
  <c r="BV20" i="2"/>
  <c r="CA20" i="2"/>
  <c r="BU20" i="2"/>
  <c r="CD20" i="2"/>
  <c r="BY20" i="2"/>
  <c r="CC20" i="2"/>
  <c r="CB20" i="2"/>
  <c r="BZ20" i="2"/>
  <c r="CG28" i="2"/>
  <c r="BR30" i="2"/>
  <c r="CF29" i="2"/>
  <c r="CB29" i="2"/>
  <c r="BT29" i="2"/>
  <c r="BZ29" i="2"/>
  <c r="CE29" i="2"/>
  <c r="BV29" i="2"/>
  <c r="BU29" i="2"/>
  <c r="BX29" i="2"/>
  <c r="CC29" i="2"/>
  <c r="BW29" i="2"/>
  <c r="BS29" i="2"/>
  <c r="BY29" i="2"/>
  <c r="CD29" i="2"/>
  <c r="CA29" i="2"/>
  <c r="CC25" i="2"/>
  <c r="BY25" i="2"/>
  <c r="BZ25" i="2"/>
  <c r="BV25" i="2"/>
  <c r="CA25" i="2"/>
  <c r="BW25" i="2"/>
  <c r="BX25" i="2"/>
  <c r="CD25" i="2"/>
  <c r="BS25" i="2"/>
  <c r="BT25" i="2"/>
  <c r="BU25" i="2"/>
  <c r="CE25" i="2"/>
  <c r="CF25" i="2"/>
  <c r="CB25" i="2"/>
  <c r="CG24" i="2"/>
  <c r="BR115" i="2"/>
  <c r="BR120" i="2"/>
  <c r="BR125" i="2"/>
  <c r="BR105" i="2"/>
  <c r="BR110" i="2"/>
  <c r="BR78" i="2"/>
  <c r="CG25" i="2" l="1"/>
  <c r="CD30" i="2"/>
  <c r="BY30" i="2"/>
  <c r="CE30" i="2"/>
  <c r="CB30" i="2"/>
  <c r="BX30" i="2"/>
  <c r="CF30" i="2"/>
  <c r="CA30" i="2"/>
  <c r="BZ30" i="2"/>
  <c r="BV30" i="2"/>
  <c r="BU30" i="2"/>
  <c r="CC30" i="2"/>
  <c r="BT30" i="2"/>
  <c r="BS30" i="2"/>
  <c r="BW30" i="2"/>
  <c r="CG29" i="2"/>
  <c r="CG20" i="2"/>
  <c r="BR121" i="2"/>
  <c r="BR126" i="2"/>
  <c r="BR106" i="2"/>
  <c r="BR111" i="2"/>
  <c r="BR116" i="2"/>
  <c r="CG30" i="2" l="1"/>
  <c r="H165" i="1" l="1"/>
  <c r="I165" i="1"/>
  <c r="L204" i="1"/>
  <c r="L202" i="1"/>
  <c r="N204" i="1"/>
  <c r="M204" i="1"/>
  <c r="N202" i="1"/>
  <c r="N205" i="1" s="1"/>
  <c r="M202" i="1"/>
  <c r="H203" i="1"/>
  <c r="I203" i="1"/>
  <c r="I206" i="1" s="1"/>
  <c r="G203" i="1"/>
  <c r="H205" i="1"/>
  <c r="I205" i="1"/>
  <c r="G205" i="1"/>
  <c r="C205" i="1"/>
  <c r="D205" i="1"/>
  <c r="B205" i="1"/>
  <c r="L158" i="1"/>
  <c r="L160" i="1"/>
  <c r="L103" i="1"/>
  <c r="L101" i="1"/>
  <c r="G27" i="1"/>
  <c r="G25" i="1"/>
  <c r="N183" i="1"/>
  <c r="L183" i="1"/>
  <c r="M101" i="1"/>
  <c r="N101" i="1"/>
  <c r="M183" i="1"/>
  <c r="H186" i="1"/>
  <c r="I186" i="1"/>
  <c r="G186" i="1"/>
  <c r="R157" i="1"/>
  <c r="S157" i="1"/>
  <c r="Q157" i="1"/>
  <c r="R119" i="1"/>
  <c r="S119" i="1"/>
  <c r="Q119" i="1"/>
  <c r="M118" i="1"/>
  <c r="N118" i="1"/>
  <c r="L118" i="1"/>
  <c r="H118" i="1"/>
  <c r="I118" i="1"/>
  <c r="G118" i="1"/>
  <c r="S101" i="1"/>
  <c r="M62" i="1"/>
  <c r="N62" i="1"/>
  <c r="L62" i="1"/>
  <c r="R62" i="1"/>
  <c r="S62" i="1"/>
  <c r="Q62" i="1"/>
  <c r="H62" i="1"/>
  <c r="I62" i="1"/>
  <c r="G62" i="1"/>
  <c r="S43" i="1"/>
  <c r="R43" i="1"/>
  <c r="Q43" i="1"/>
  <c r="M103" i="1"/>
  <c r="N103" i="1"/>
  <c r="R103" i="1"/>
  <c r="S103" i="1"/>
  <c r="Q103" i="1"/>
  <c r="H169" i="1"/>
  <c r="I169" i="1"/>
  <c r="H47" i="1" l="1"/>
  <c r="I47" i="1"/>
  <c r="G47" i="1"/>
  <c r="E139" i="1"/>
  <c r="E57" i="1"/>
  <c r="E41" i="1"/>
  <c r="E98" i="1"/>
  <c r="M43" i="1"/>
  <c r="N43" i="1"/>
  <c r="L43" i="1"/>
  <c r="N141" i="1"/>
  <c r="M141" i="1"/>
  <c r="L141" i="1"/>
  <c r="E156" i="1" l="1"/>
  <c r="M83" i="1"/>
  <c r="N83" i="1"/>
  <c r="L83" i="1"/>
  <c r="M143" i="1"/>
  <c r="N143" i="1"/>
  <c r="L143" i="1"/>
  <c r="M85" i="1"/>
  <c r="N85" i="1"/>
  <c r="L85" i="1"/>
  <c r="I45" i="1"/>
  <c r="M27" i="1" l="1"/>
  <c r="N27" i="1"/>
  <c r="L27" i="1"/>
  <c r="M29" i="1"/>
  <c r="N29" i="1"/>
  <c r="L29" i="1"/>
  <c r="E178" i="1" l="1"/>
  <c r="E115" i="1"/>
  <c r="E80" i="1"/>
  <c r="H97" i="1" l="1"/>
  <c r="I97" i="1"/>
  <c r="G97" i="1"/>
  <c r="Q185" i="1"/>
  <c r="L185" i="1"/>
  <c r="M158" i="1"/>
  <c r="N158" i="1"/>
  <c r="R101" i="1"/>
  <c r="Q101" i="1"/>
  <c r="G81" i="1"/>
  <c r="R187" i="1" l="1"/>
  <c r="S187" i="1"/>
  <c r="Q187" i="1"/>
  <c r="R159" i="1"/>
  <c r="S159" i="1"/>
  <c r="Q159" i="1"/>
  <c r="R121" i="1"/>
  <c r="S121" i="1"/>
  <c r="Q121" i="1"/>
  <c r="Q64" i="1"/>
  <c r="Q28" i="1"/>
  <c r="Q45" i="1"/>
  <c r="L45" i="1"/>
  <c r="M64" i="1"/>
  <c r="N64" i="1"/>
  <c r="L64" i="1"/>
  <c r="H64" i="1"/>
  <c r="I64" i="1"/>
  <c r="G64" i="1"/>
  <c r="R45" i="1"/>
  <c r="S45" i="1"/>
  <c r="M45" i="1"/>
  <c r="N45" i="1"/>
  <c r="R28" i="1"/>
  <c r="S28" i="1"/>
  <c r="L120" i="1" l="1"/>
  <c r="G120" i="1"/>
  <c r="H120" i="1"/>
  <c r="I120" i="1"/>
  <c r="G99" i="1"/>
  <c r="I83" i="1"/>
  <c r="G83" i="1"/>
  <c r="N185" i="1" l="1"/>
  <c r="M185" i="1"/>
  <c r="S185" i="1"/>
  <c r="S188" i="1" s="1"/>
  <c r="R185" i="1"/>
  <c r="N186" i="1"/>
  <c r="I184" i="1"/>
  <c r="I187" i="1" s="1"/>
  <c r="H184" i="1"/>
  <c r="G184" i="1"/>
  <c r="N160" i="1"/>
  <c r="M160" i="1"/>
  <c r="S160" i="1"/>
  <c r="N161" i="1"/>
  <c r="I140" i="1"/>
  <c r="H140" i="1"/>
  <c r="G140" i="1"/>
  <c r="N144" i="1"/>
  <c r="I138" i="1"/>
  <c r="I141" i="1" s="1"/>
  <c r="H138" i="1"/>
  <c r="G138" i="1"/>
  <c r="N120" i="1"/>
  <c r="M120" i="1"/>
  <c r="S122" i="1"/>
  <c r="N121" i="1"/>
  <c r="I121" i="1"/>
  <c r="S104" i="1"/>
  <c r="I99" i="1"/>
  <c r="H99" i="1"/>
  <c r="N104" i="1"/>
  <c r="I100" i="1"/>
  <c r="H83" i="1"/>
  <c r="N86" i="1"/>
  <c r="I81" i="1"/>
  <c r="I84" i="1" s="1"/>
  <c r="H81" i="1"/>
  <c r="S64" i="1" l="1"/>
  <c r="R64" i="1"/>
  <c r="S65" i="1"/>
  <c r="S46" i="1"/>
  <c r="N65" i="1"/>
  <c r="N46" i="1"/>
  <c r="I65" i="1"/>
  <c r="I48" i="1"/>
  <c r="H45" i="1"/>
  <c r="G45" i="1"/>
  <c r="S26" i="1"/>
  <c r="S29" i="1" s="1"/>
  <c r="R26" i="1"/>
  <c r="Q26" i="1"/>
  <c r="N30" i="1"/>
  <c r="H27" i="1"/>
  <c r="I27" i="1"/>
  <c r="H25" i="1"/>
  <c r="I25" i="1"/>
  <c r="I28" i="1" s="1"/>
</calcChain>
</file>

<file path=xl/sharedStrings.xml><?xml version="1.0" encoding="utf-8"?>
<sst xmlns="http://schemas.openxmlformats.org/spreadsheetml/2006/main" count="1783" uniqueCount="475">
  <si>
    <t>H (H)</t>
  </si>
  <si>
    <t>G (H)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</si>
  <si>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theme="1"/>
        <rFont val="Calibri"/>
        <family val="2"/>
        <scheme val="minor"/>
      </rPr>
      <t>ZPE</t>
    </r>
    <r>
      <rPr>
        <vertAlign val="superscript"/>
        <sz val="11"/>
        <color theme="1"/>
        <rFont val="Calibri"/>
        <family val="2"/>
      </rPr>
      <t>‡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</si>
  <si>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theme="1"/>
        <rFont val="Calibri"/>
        <family val="2"/>
        <scheme val="minor"/>
      </rPr>
      <t>ZPE, rxn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</si>
  <si>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</rPr>
      <t>‡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</si>
  <si>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</rPr>
      <t>‡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</si>
  <si>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bscript"/>
        <sz val="11"/>
        <color theme="1"/>
        <rFont val="Calibri"/>
        <family val="2"/>
        <scheme val="minor"/>
      </rPr>
      <t>rxn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</si>
  <si>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rxn</t>
    </r>
    <r>
      <rPr>
        <sz val="9.9"/>
        <color theme="1"/>
        <rFont val="Calibri"/>
        <family val="2"/>
      </rPr>
      <t xml:space="preserve"> (kcal/mol)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</si>
  <si>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(H)</t>
    </r>
  </si>
  <si>
    <t>T</t>
  </si>
  <si>
    <t>h</t>
  </si>
  <si>
    <t>k_B</t>
  </si>
  <si>
    <t>P</t>
  </si>
  <si>
    <t>K</t>
  </si>
  <si>
    <t>J*s</t>
  </si>
  <si>
    <t>J/K</t>
  </si>
  <si>
    <t>Pa</t>
  </si>
  <si>
    <t>N_A</t>
  </si>
  <si>
    <t>molecules/mol</t>
  </si>
  <si>
    <t>mol/L</t>
  </si>
  <si>
    <t>R</t>
  </si>
  <si>
    <t>kcal/mol/K</t>
  </si>
  <si>
    <r>
      <t>molecules/cm</t>
    </r>
    <r>
      <rPr>
        <vertAlign val="superscript"/>
        <sz val="11"/>
        <color theme="1"/>
        <rFont val="Calibri"/>
        <family val="2"/>
        <scheme val="minor"/>
      </rPr>
      <t>3</t>
    </r>
  </si>
  <si>
    <t>CONSTANTS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</si>
  <si>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TST</t>
    </r>
    <r>
      <rPr>
        <b/>
        <sz val="11"/>
        <color theme="1"/>
        <rFont val="Calibri"/>
        <family val="2"/>
        <scheme val="minor"/>
      </rPr>
      <t xml:space="preserve"> 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</si>
  <si>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u/>
        <sz val="11"/>
        <color theme="1"/>
        <rFont val="Symbol"/>
        <family val="1"/>
        <charset val="2"/>
      </rPr>
      <t>a</t>
    </r>
    <r>
      <rPr>
        <b/>
        <u/>
        <sz val="11"/>
        <color theme="1"/>
        <rFont val="Calibri"/>
        <family val="2"/>
        <scheme val="minor"/>
      </rPr>
      <t xml:space="preserve">-pinene+ </t>
    </r>
  </si>
  <si>
    <t>TS.out</t>
  </si>
  <si>
    <r>
      <rPr>
        <b/>
        <u/>
        <sz val="11"/>
        <color theme="1"/>
        <rFont val="Symbol"/>
        <family val="1"/>
        <charset val="2"/>
      </rPr>
      <t>b</t>
    </r>
    <r>
      <rPr>
        <b/>
        <u/>
        <sz val="11"/>
        <color theme="1"/>
        <rFont val="Calibri"/>
        <family val="2"/>
        <scheme val="minor"/>
      </rPr>
      <t>-pinene+</t>
    </r>
  </si>
  <si>
    <t xml:space="preserve">limonene+ </t>
  </si>
  <si>
    <t>wB97XD</t>
  </si>
  <si>
    <t>Calculations based on work done by Xu et al. JPCA 2019 and Moller et al. JPCA 2020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</si>
  <si>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MESMER</t>
    </r>
    <r>
      <rPr>
        <b/>
        <sz val="11"/>
        <color theme="1"/>
        <rFont val="Calibri"/>
        <family val="2"/>
        <scheme val="minor"/>
      </rPr>
      <t xml:space="preserve"> 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</si>
  <si>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wB97XD/6-311++G**</t>
  </si>
  <si>
    <r>
      <t>Summary Monoterpene-OO</t>
    </r>
    <r>
      <rPr>
        <b/>
        <sz val="20"/>
        <color theme="1"/>
        <rFont val="Calibri"/>
        <family val="2"/>
      </rPr>
      <t>∙</t>
    </r>
    <r>
      <rPr>
        <b/>
        <sz val="20"/>
        <color theme="1"/>
        <rFont val="Calibri"/>
        <family val="2"/>
        <scheme val="minor"/>
      </rPr>
      <t xml:space="preserve"> 1 2nd Gen Calculations</t>
    </r>
  </si>
  <si>
    <t>peroxy1</t>
  </si>
  <si>
    <t>Peroxy Reactant Conformers</t>
  </si>
  <si>
    <t>2OOH3OH8RO2_1.out</t>
  </si>
  <si>
    <t>2OOH3OH8RO2_2.out</t>
  </si>
  <si>
    <t>2OOH3OH8RO2_3.out</t>
  </si>
  <si>
    <t>2OOH3OH8RO2_4.out</t>
  </si>
  <si>
    <t>3OH6OOH8RO2_1.out</t>
  </si>
  <si>
    <t>3OH6OOH8RO2_2.out</t>
  </si>
  <si>
    <t>3OH6OOH8RO2_3.out</t>
  </si>
  <si>
    <t>3OH6OOH8RO2_4.out</t>
  </si>
  <si>
    <t>3OH7OOH8RO2_1.out</t>
  </si>
  <si>
    <t>3OH7OOH8RO2_2.out</t>
  </si>
  <si>
    <t>3OH7OOH8RO2_3.out</t>
  </si>
  <si>
    <t>3OH7OOH8RO2_4.out</t>
  </si>
  <si>
    <t>1OH2OOH8RO2_1.out</t>
  </si>
  <si>
    <t>peroxy2</t>
  </si>
  <si>
    <t>peroxy3</t>
  </si>
  <si>
    <t>1OH2OOH8RO2_2.out</t>
  </si>
  <si>
    <t>1OH2OOH8RO2_3.out</t>
  </si>
  <si>
    <t>1OH2OOH8RO2_4.out</t>
  </si>
  <si>
    <t>1OH6OOH8RO2_1.out</t>
  </si>
  <si>
    <t>1OH6OOH8RO2_2.out</t>
  </si>
  <si>
    <t>1OH6OOH8RO2_3.out</t>
  </si>
  <si>
    <t>1OH6OOH8RO2_4.out</t>
  </si>
  <si>
    <t>1OH7OOH8RO2_1.out</t>
  </si>
  <si>
    <t>1OH7OOH8RO2_2.out</t>
  </si>
  <si>
    <t>1OH7OOH8RO2_3.out</t>
  </si>
  <si>
    <t>1OH7OOH8RO2_4.out</t>
  </si>
  <si>
    <t>2OOH8RO29OH_1.out</t>
  </si>
  <si>
    <t>2OOH8RO29OH_2.out</t>
  </si>
  <si>
    <t>2OOH8RO29OH_3.out</t>
  </si>
  <si>
    <t>2OOH8RO29OH_4.out</t>
  </si>
  <si>
    <t>6OOH8RO29OH_1.out</t>
  </si>
  <si>
    <t>6OOH8RO29OH_2.out</t>
  </si>
  <si>
    <t>6OOH8RO29OH_3.out</t>
  </si>
  <si>
    <t>6OOH8RO29OH_4.out</t>
  </si>
  <si>
    <t>7OOH8RO29OH_1.out</t>
  </si>
  <si>
    <t>7OOH8RO29OH_2.out</t>
  </si>
  <si>
    <t>7OOH8RO29OH_3.out</t>
  </si>
  <si>
    <t>7OOH8RO29OH_4.out</t>
  </si>
  <si>
    <t>2OOH3OH8RO2_5.out</t>
  </si>
  <si>
    <t>1OH2OOH8RO2_5.out</t>
  </si>
  <si>
    <t>3OH6OOH8RO2_5.out</t>
  </si>
  <si>
    <t>3OH7OOH8RO2_5.out</t>
  </si>
  <si>
    <t>1OH6OOH8RO2_5.out</t>
  </si>
  <si>
    <t>1OH7OOH8RO2_5.out</t>
  </si>
  <si>
    <t>2OOH8RO29OH_5.out</t>
  </si>
  <si>
    <t>6OOH8RO29OH_5.out</t>
  </si>
  <si>
    <t>7OOH8RO29OH_5.out</t>
  </si>
  <si>
    <t>&lt;-- Minimum</t>
  </si>
  <si>
    <t>Reaction at C3 (1,6-H shift)</t>
  </si>
  <si>
    <t>2OOH3OH3rad8ROOH_1.out</t>
  </si>
  <si>
    <t>2OOH3OH6OO8ring_1.out</t>
  </si>
  <si>
    <t>Reaction at C7 (Endo cyclization - 6 membered ring)</t>
  </si>
  <si>
    <t>2OOH3OH7OO8ring_1.out</t>
  </si>
  <si>
    <t>3OH3rad6OOH8ROOH_1.out</t>
  </si>
  <si>
    <t>Reaction at C6 (1,5-H shift)</t>
  </si>
  <si>
    <t>3OH6OOH6rad8ROOH_1.out</t>
  </si>
  <si>
    <t>3OH6OOH7OO8ring_1.out</t>
  </si>
  <si>
    <t>Reaction at C3 (Endo cyclization - 6 membered ring)</t>
  </si>
  <si>
    <t>2rad3OH3OO8ring7OOH_1.out</t>
  </si>
  <si>
    <t>Reaction at C4 (1,5-H shift)</t>
  </si>
  <si>
    <t>3OH4rad7OOH8OOH_1.out</t>
  </si>
  <si>
    <t>Reaction at C7 (1,6-H shift)</t>
  </si>
  <si>
    <t>3OH7OOH7rad8OOH_1.out</t>
  </si>
  <si>
    <t>1OH2OOH3OO8ring_1.out</t>
  </si>
  <si>
    <t>1OH2OOH4OO8ring_1.out</t>
  </si>
  <si>
    <t>1OH4OOH4rad8OOH_1.out</t>
  </si>
  <si>
    <t>1OH4OOH7rad8OOH_1.out</t>
  </si>
  <si>
    <t>1OH3OO8ring4OOH_1.out</t>
  </si>
  <si>
    <t>1OH3OO8ring7OOH_1.out</t>
  </si>
  <si>
    <t>1OH4rad7OOH8OOH_1.out</t>
  </si>
  <si>
    <t>1OH7OOH7rad8OOH_1.out</t>
  </si>
  <si>
    <t>2OOH3OO8ring9OH_1.out</t>
  </si>
  <si>
    <t>2OOH4OO8ring9OH_1.out</t>
  </si>
  <si>
    <t>3rad6OOH8OOH9OH_1.out</t>
  </si>
  <si>
    <t>6OOH6rad8OOH9OH_1.out</t>
  </si>
  <si>
    <t>6OOH7OO8ring9OH_1.out</t>
  </si>
  <si>
    <t>3OO8ring7OOH9OH_1.out</t>
  </si>
  <si>
    <t>4rad7OOH8OOH9OH_1.out</t>
  </si>
  <si>
    <t>7OOH7rad8OOH9OH_1.out</t>
  </si>
  <si>
    <t>1OH7ketone8OOH+OH_1.out</t>
  </si>
  <si>
    <t>3OH7ketone8OOH+OH_1.out</t>
  </si>
  <si>
    <t>7ketone8OOH9OH+OH_1.out</t>
  </si>
  <si>
    <t>2OOH3OH8RO2_6.out</t>
  </si>
  <si>
    <t>3OH6OOH8RO2_6.out</t>
  </si>
  <si>
    <t>3OH7OOH8RO2_6.out</t>
  </si>
  <si>
    <t>1OH2OOH8RO2_6.out</t>
  </si>
  <si>
    <t>1OH6OOH8RO2_6.out</t>
  </si>
  <si>
    <t>1OH7OOH8RO2_6.out</t>
  </si>
  <si>
    <t>2OOH8RO29OH_6.out</t>
  </si>
  <si>
    <t>6OOH8RO29OH_6.out</t>
  </si>
  <si>
    <t>7OOH8RO29OH_6.out</t>
  </si>
  <si>
    <t>TS2.out</t>
  </si>
  <si>
    <t>2OOH3OH3rad8ROOH_2.out</t>
  </si>
  <si>
    <t>3OH3rad6OOH8ROOH_2.out</t>
  </si>
  <si>
    <t>2rad3OH3OO8ring7OOH_2.out</t>
  </si>
  <si>
    <t>2OOH3OH6OO8ring_2.out</t>
  </si>
  <si>
    <t>3OH6OOH6rad8ROOH_2.out</t>
  </si>
  <si>
    <t>3OH4rad7OOH8OOH_2.out</t>
  </si>
  <si>
    <t>2OOH3OH7OO8ring_2.out</t>
  </si>
  <si>
    <t>3OH6OOH7OO8ring_2.out</t>
  </si>
  <si>
    <t>1OH2OOH3OO8ring_2.out</t>
  </si>
  <si>
    <t>1OH3OO8ring4OOH_2.out</t>
  </si>
  <si>
    <t>1OH3OO8ring7OOH_2.out</t>
  </si>
  <si>
    <t>1OH2OOH4OO8ring_2.out</t>
  </si>
  <si>
    <t>1OH4OOH4rad8OOH_2.out</t>
  </si>
  <si>
    <t>1OH4rad7OOH8OOH_2.out</t>
  </si>
  <si>
    <t>1OH4OOH7rad8OOH_2.out</t>
  </si>
  <si>
    <t>2OOH3OO8ring9OH_2.out</t>
  </si>
  <si>
    <t>2OOH4OO8ring9OH_2.out</t>
  </si>
  <si>
    <t>3rad6OOH8OOH9OH_2.out</t>
  </si>
  <si>
    <t>6OOH6rad8OOH9OH_2.out</t>
  </si>
  <si>
    <t>6OOH7OO8ring9OH_2.out</t>
  </si>
  <si>
    <t>4rad7OOH8OOH9OH_2.out</t>
  </si>
  <si>
    <t>3OO8ring7OOH9OH_2.out</t>
  </si>
  <si>
    <t>1OH7ketone8OOH+OH_2.out</t>
  </si>
  <si>
    <t>3OH7ketone8OOH+OH_2.out</t>
  </si>
  <si>
    <t>7ketone8OOH9OH+OH_2.out</t>
  </si>
  <si>
    <t>2OOH3OH6OO8ring_3.out</t>
  </si>
  <si>
    <t>TS3.out</t>
  </si>
  <si>
    <t>NO GO</t>
  </si>
  <si>
    <t>2OOH8RO29OH_7.out</t>
  </si>
  <si>
    <t>/MESMER1</t>
  </si>
  <si>
    <t>/MESMER2</t>
  </si>
  <si>
    <t>&lt;-- used ketone as product even though may be a carbon radical intermediate</t>
  </si>
  <si>
    <t>&lt;-- set energy of ketone product to zero</t>
  </si>
  <si>
    <t>2OOH3OH8RO2_7.out</t>
  </si>
  <si>
    <t>2OOH3OH6OO8ring_4.out</t>
  </si>
  <si>
    <t>2OOH3OH8RO2_8.out</t>
  </si>
  <si>
    <t>2OOH3OH7OO8ring_3.out</t>
  </si>
  <si>
    <t>2OOH3OH3rad8ROOH_3.out</t>
  </si>
  <si>
    <t>1OH2OOH8RO2_7.out</t>
  </si>
  <si>
    <t>1OH2OOH4OO8ring_3.out</t>
  </si>
  <si>
    <t>1OH6OOH8RO2_7.out</t>
  </si>
  <si>
    <t>3OH6OOH8RO2_7.out</t>
  </si>
  <si>
    <t>6OOH8RO29OH_7.out</t>
  </si>
  <si>
    <t>2OOH4OO8ring9OH_3.out</t>
  </si>
  <si>
    <t>1OH6OOH8RO2_8.out</t>
  </si>
  <si>
    <t>3OH6OOH8RO2_8.out</t>
  </si>
  <si>
    <t>3OH6OOH8RO2_9.out</t>
  </si>
  <si>
    <t>3OH6OOH8RO2_10.out</t>
  </si>
  <si>
    <t>2OOH3OH8RO2_9.out</t>
  </si>
  <si>
    <t>2OOH3OH8RO2_10.out</t>
  </si>
  <si>
    <t>2OOH3OH8RO2_11.out</t>
  </si>
  <si>
    <t>2OOH8RO29OH_8.out</t>
  </si>
  <si>
    <t>3OH3rad6OOH8ROOH_3.out</t>
  </si>
  <si>
    <t>3rad6OOH8OOH9OH_3.out</t>
  </si>
  <si>
    <t>1OH4OOH7rad8OOH_3.out</t>
  </si>
  <si>
    <t>TS4.out</t>
  </si>
  <si>
    <t>same as TS.out</t>
  </si>
  <si>
    <t>1OH4OOH7rad8OOH_4.out</t>
  </si>
  <si>
    <t>3OH6OOH6rad8ROOH_3.out</t>
  </si>
  <si>
    <t>1OH4OOH4rad8OOH_3.out</t>
  </si>
  <si>
    <t>6OOH6rad8OOH9OH_3.out</t>
  </si>
  <si>
    <t>same as *_2.out</t>
  </si>
  <si>
    <t>DONE</t>
  </si>
  <si>
    <t>3OH6OOH7OO8ring_3.out</t>
  </si>
  <si>
    <t>3OH3rad6OOH8ROOH_4.out</t>
  </si>
  <si>
    <t>2rad3OH3OO8ring7OOH_3.out</t>
  </si>
  <si>
    <t>3OH4rad7OOH8OOH_3.out</t>
  </si>
  <si>
    <t>3OO8ring7OOH9OH_3.out</t>
  </si>
  <si>
    <t>1OH6OOH8RO2_9.out</t>
  </si>
  <si>
    <t>TS5.out</t>
  </si>
  <si>
    <t>TS6.out</t>
  </si>
  <si>
    <t>/MESMER3</t>
  </si>
  <si>
    <t>Other Reactions</t>
  </si>
  <si>
    <r>
      <t>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Dissociation</t>
    </r>
  </si>
  <si>
    <t>2RO23OH8OOH.out</t>
  </si>
  <si>
    <t>2rad3OH8OOH.out</t>
  </si>
  <si>
    <t>O2.out</t>
  </si>
  <si>
    <t>1,6-H shift</t>
  </si>
  <si>
    <t>Boat.out</t>
  </si>
  <si>
    <t>2OOH3OH5rad8OOH.out</t>
  </si>
  <si>
    <t>TS_16Hshift.out</t>
  </si>
  <si>
    <t>5-bicyclo Formation</t>
  </si>
  <si>
    <t>TS_5bicyclo.out</t>
  </si>
  <si>
    <t>5bicyclo.out</t>
  </si>
  <si>
    <t>Reactant.out</t>
  </si>
  <si>
    <t>Product.out</t>
  </si>
  <si>
    <t>TS7.out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</si>
  <si>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theme="1"/>
        <rFont val="Calibri"/>
        <family val="2"/>
        <scheme val="minor"/>
      </rPr>
      <t>ZPE, chairflip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</si>
  <si>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chairflip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</si>
  <si>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bscript"/>
        <sz val="11"/>
        <color theme="1"/>
        <rFont val="Calibri"/>
        <family val="2"/>
        <scheme val="minor"/>
      </rPr>
      <t>chairflip</t>
    </r>
    <r>
      <rPr>
        <sz val="9.9"/>
        <color theme="1"/>
        <rFont val="Calibri"/>
        <family val="2"/>
      </rPr>
      <t xml:space="preserve"> (kcal/mol)</t>
    </r>
  </si>
  <si>
    <t>Calculated Yields</t>
  </si>
  <si>
    <t>OH addition vs abstraction was determined by Vereecken et al.</t>
  </si>
  <si>
    <t>Addition at site 1 vs 2 of a-pinene alkene determined by MCM</t>
  </si>
  <si>
    <t>Fraction of ring opening determined by work done on 2021-05-03</t>
  </si>
  <si>
    <r>
      <t>k</t>
    </r>
    <r>
      <rPr>
        <vertAlign val="subscript"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/molec*s)</t>
    </r>
  </si>
  <si>
    <t>[NO] (ppb)</t>
  </si>
  <si>
    <r>
      <t>k</t>
    </r>
    <r>
      <rPr>
        <vertAlign val="subscript"/>
        <sz val="11"/>
        <color theme="1"/>
        <rFont val="Calibri"/>
        <family val="2"/>
        <scheme val="minor"/>
      </rPr>
      <t>HO2</t>
    </r>
    <r>
      <rPr>
        <sz val="11"/>
        <color theme="1"/>
        <rFont val="Calibri"/>
        <family val="2"/>
        <scheme val="minor"/>
      </rPr>
      <t xml:space="preserve">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/molec*s)</t>
    </r>
  </si>
  <si>
    <r>
      <t>Conc Conv. (molec/cm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to ppb)</t>
    </r>
  </si>
  <si>
    <r>
      <t>Conc Conv. (molec/cm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to ppt)</t>
    </r>
  </si>
  <si>
    <r>
      <t>[HO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 (ppt)</t>
    </r>
  </si>
  <si>
    <r>
      <t>k</t>
    </r>
    <r>
      <rPr>
        <vertAlign val="subscript"/>
        <sz val="11"/>
        <color theme="1"/>
        <rFont val="Calibri"/>
        <family val="2"/>
        <scheme val="minor"/>
      </rPr>
      <t>15Hshift</t>
    </r>
    <r>
      <rPr>
        <sz val="11"/>
        <color theme="1"/>
        <rFont val="Calibri"/>
        <family val="2"/>
        <scheme val="minor"/>
      </rPr>
      <t xml:space="preserve"> (s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</si>
  <si>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16Hshift</t>
    </r>
    <r>
      <rPr>
        <sz val="11"/>
        <color theme="1"/>
        <rFont val="Calibri"/>
        <family val="2"/>
        <scheme val="minor"/>
      </rPr>
      <t xml:space="preserve"> (s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</si>
  <si>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1,5-H shift</t>
  </si>
  <si>
    <t>General constants/variables</t>
  </si>
  <si>
    <t>For 1OH, 8RO2:</t>
  </si>
  <si>
    <t>NO (ppb)</t>
  </si>
  <si>
    <t>Total RO7 Yield</t>
  </si>
  <si>
    <t>Metadata</t>
  </si>
  <si>
    <t>Title:</t>
  </si>
  <si>
    <t>Description:</t>
  </si>
  <si>
    <t>Units:</t>
  </si>
  <si>
    <t>Variables:</t>
  </si>
  <si>
    <t>Time of data collection:</t>
  </si>
  <si>
    <t>J - Joules (energy)</t>
  </si>
  <si>
    <r>
      <t>E</t>
    </r>
    <r>
      <rPr>
        <vertAlign val="subscript"/>
        <sz val="9"/>
        <color theme="1"/>
        <rFont val="Calibri"/>
        <family val="2"/>
        <scheme val="minor"/>
      </rPr>
      <t>ZPE</t>
    </r>
    <r>
      <rPr>
        <sz val="9"/>
        <color theme="1"/>
        <rFont val="Calibri"/>
        <family val="2"/>
        <scheme val="minor"/>
      </rPr>
      <t xml:space="preserve"> - zero point energy</t>
    </r>
  </si>
  <si>
    <t>kcal/mol - kilocalories/mole (energy)</t>
  </si>
  <si>
    <t>H - enthalpy</t>
  </si>
  <si>
    <t>H - Hartrees (energy)</t>
  </si>
  <si>
    <t>G - Gibbs free energy</t>
  </si>
  <si>
    <t>K - Kelvin (temperature)</t>
  </si>
  <si>
    <t>q_t - translational partition function</t>
  </si>
  <si>
    <t>Pa - pascal (pressure)</t>
  </si>
  <si>
    <t>q_r - rotational partition function</t>
  </si>
  <si>
    <t>mol - moles (quantity)</t>
  </si>
  <si>
    <t>q_v - vibrational partition function</t>
  </si>
  <si>
    <r>
      <t>cm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centimeters cubed (volume)</t>
    </r>
  </si>
  <si>
    <t>q_e - electronic partition function</t>
  </si>
  <si>
    <t>kg - kilograms (mass)</t>
  </si>
  <si>
    <t>Q_tot - total partition function</t>
  </si>
  <si>
    <t>m - mass</t>
  </si>
  <si>
    <t>k - rate constant</t>
  </si>
  <si>
    <r>
      <t>Energetics and Kinetics of 2nd Generation ROO</t>
    </r>
    <r>
      <rPr>
        <sz val="9"/>
        <color theme="1"/>
        <rFont val="Calibri"/>
        <family val="2"/>
      </rPr>
      <t>∙</t>
    </r>
    <r>
      <rPr>
        <sz val="9"/>
        <color theme="1"/>
        <rFont val="Calibri"/>
        <family val="2"/>
        <scheme val="minor"/>
      </rPr>
      <t xml:space="preserve"> H-Shift and Cyclization Reactions with (+)-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>-pinene, (+)-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>-pinene and (+) limonene</t>
    </r>
  </si>
  <si>
    <r>
      <t>Rates of 2nd generation ROO</t>
    </r>
    <r>
      <rPr>
        <sz val="9"/>
        <color theme="1"/>
        <rFont val="Calibri"/>
        <family val="2"/>
      </rPr>
      <t>∙</t>
    </r>
    <r>
      <rPr>
        <sz val="9"/>
        <color theme="1"/>
        <rFont val="Calibri"/>
        <family val="2"/>
        <scheme val="minor"/>
      </rPr>
      <t xml:space="preserve"> H-shifts and cyclizations in 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 xml:space="preserve">-pinene, 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 xml:space="preserve">-pinene and limonene finding multiple conformers with wB97XD/6-311++G** and aug-cc-pVTZ, transition state theory (TST) and master equation (MESMER).  </t>
    </r>
  </si>
  <si>
    <t>07/23/2021 - 08/12/2021</t>
  </si>
  <si>
    <t>B.R. OH addition vs abstraction</t>
  </si>
  <si>
    <t>Fraction of ring opening</t>
  </si>
  <si>
    <t>&lt;-- Minimum (Conducted on 2021-11-22 using conformers closer to transition state)</t>
  </si>
  <si>
    <t xml:space="preserve">&lt;-- Conducted on 2021-11-22 </t>
  </si>
  <si>
    <t>TS_2.out</t>
  </si>
  <si>
    <r>
      <t>k</t>
    </r>
    <r>
      <rPr>
        <vertAlign val="subscript"/>
        <sz val="11"/>
        <color theme="1"/>
        <rFont val="Calibri"/>
        <family val="2"/>
        <scheme val="minor"/>
      </rPr>
      <t>exo cyc</t>
    </r>
    <r>
      <rPr>
        <sz val="11"/>
        <color theme="1"/>
        <rFont val="Calibri"/>
        <family val="2"/>
        <scheme val="minor"/>
      </rPr>
      <t xml:space="preserve"> (s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</si>
  <si>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For 3R-OH, 8RO2:</t>
  </si>
  <si>
    <t>Assume OH addition at site 2 (creating tertiary radical) is favored 2:1</t>
  </si>
  <si>
    <t>Yield (3R-OH, 8RO2) =</t>
  </si>
  <si>
    <t>B.R. addition at site 3 vs 2 (using paper convention) of double bond</t>
  </si>
  <si>
    <t>Addition at site 3 vs 2 of a-pinene alkene determined by MCM</t>
  </si>
  <si>
    <t>Assume OH addition at site 3 away from methyl groups is favored 2:1</t>
  </si>
  <si>
    <t>Total autoxidizable RO3 yield</t>
  </si>
  <si>
    <t>Assume all H shifts between peroxy-hydroperoxy groups are rapid</t>
  </si>
  <si>
    <t>For 3R-OH, 8RO2 products:</t>
  </si>
  <si>
    <t>Yield (3R-OH, 6R-OOH, 8RO2) =</t>
  </si>
  <si>
    <t>Yield (3R-OH, 6S-OOH, 8RO2) =</t>
  </si>
  <si>
    <t>Yield (2R-OOH, 3R-OH, 8RO2) =</t>
  </si>
  <si>
    <t>For 3S-OH, 8RO2:</t>
  </si>
  <si>
    <t>Yield (3S-OH, 8RO2) =</t>
  </si>
  <si>
    <t>Yield (3 ketone, 8OOH) =</t>
  </si>
  <si>
    <t>Exo. Cyclization</t>
  </si>
  <si>
    <t>Yield (2S-RO2, 3R-OH, 7OO8 ring) =</t>
  </si>
  <si>
    <t>Yield (2R-RO2, 3R-OH, 7OO8 ring) =</t>
  </si>
  <si>
    <t>&lt;-- assume yields are split unevenly with ketone favored 2:1 because it can be produced by O2 addition above and below radical plane</t>
  </si>
  <si>
    <t>&lt;-- assume yields are split evenly after exo cyclization</t>
  </si>
  <si>
    <t>&lt;-- assume yields are split evenly after 1,5 H-shifts</t>
  </si>
  <si>
    <t>For 3S-OH, 8RO2 products:</t>
  </si>
  <si>
    <t>B.R. OH addition above double bond plane (away from methyl groups) vs below plane</t>
  </si>
  <si>
    <t>B.R. OH addition below double bond plane (toward methyl groups) vs above plane</t>
  </si>
  <si>
    <t>Yield (3S-OH, 6R-OOH, 8RO2) =</t>
  </si>
  <si>
    <t>Yield (3S-OH, 6S-OOH, 8RO2) =</t>
  </si>
  <si>
    <t>Yield (2R-OOH, 3S-OH, 8RO2) =</t>
  </si>
  <si>
    <r>
      <t>1st Gen. RO</t>
    </r>
    <r>
      <rPr>
        <b/>
        <u/>
        <vertAlign val="subscript"/>
        <sz val="11"/>
        <color theme="1"/>
        <rFont val="Calibri"/>
        <family val="2"/>
        <scheme val="minor"/>
      </rPr>
      <t>3</t>
    </r>
  </si>
  <si>
    <r>
      <t>2nd Gen. RO</t>
    </r>
    <r>
      <rPr>
        <b/>
        <u/>
        <vertAlign val="subscript"/>
        <sz val="11"/>
        <color theme="1"/>
        <rFont val="Calibri"/>
        <family val="2"/>
        <scheme val="minor"/>
      </rPr>
      <t>5</t>
    </r>
  </si>
  <si>
    <t>Yield (2S-RO2, 3S-OH, 7OO8 ring) =</t>
  </si>
  <si>
    <t>Yield (2R-RO2, 3S-OH, 7OO8 ring) =</t>
  </si>
  <si>
    <t>Total autoxidizable RO5 yield</t>
  </si>
  <si>
    <r>
      <t>3rd Gen. RO</t>
    </r>
    <r>
      <rPr>
        <b/>
        <u/>
        <vertAlign val="subscript"/>
        <sz val="11"/>
        <color theme="1"/>
        <rFont val="Calibri"/>
        <family val="2"/>
        <scheme val="minor"/>
      </rPr>
      <t>7</t>
    </r>
  </si>
  <si>
    <t>For 3R-OH, 6R-OOH, 8RO2 products:</t>
  </si>
  <si>
    <t>Yield (3R-OH, 6 ketone, 8OOH) =</t>
  </si>
  <si>
    <t>Yield (3 ketone, 6R-OOH, 8OOH) =</t>
  </si>
  <si>
    <t>Yield (3R-OH, 6R-OOH, 7RO2, 8OOH) =</t>
  </si>
  <si>
    <t>Yield (2RO2, 3R-OH, 6R-OOH, 7OO8 ring) =</t>
  </si>
  <si>
    <t>For 2R-OOH, 3R-OH, 8RO2 products:</t>
  </si>
  <si>
    <t>Yield (2R-OOH, 3 ketone, 8OOH) =</t>
  </si>
  <si>
    <t>Yield (2R-OOH, 3R-OH, 6OO8 ring, 7RO2) =</t>
  </si>
  <si>
    <t>For 3R-OH, 6S-OOH, 8RO2 products:</t>
  </si>
  <si>
    <t>Yield (3 ketone, 6S-OOH, 8OOH) =</t>
  </si>
  <si>
    <t>Yield (3R-OH, 6S-OOH, 7RO2, 8OOH) =</t>
  </si>
  <si>
    <t>Yield (2RO2, 3R-OH, 6S-OOH, 7OO8 ring) =</t>
  </si>
  <si>
    <t>For 3OH, 7S-OOH, 8RO2 products:</t>
  </si>
  <si>
    <t>Yield (3OH, 4RO2, 7S-OOH, 8OOH) =</t>
  </si>
  <si>
    <t>Yield (2RO2, 3OH, 7S-OOH, 8OOH) =</t>
  </si>
  <si>
    <t>Yield (3OH, 7 ketone, 8OOH) =</t>
  </si>
  <si>
    <t>Yield (2RO2, 3OH, 3OO8 ring, 7S-OOH) =</t>
  </si>
  <si>
    <t>For 3OH, 7R-OOH, 8RO2 products:</t>
  </si>
  <si>
    <t>Yield (3OH, 7S-OOH, 8RO2) =</t>
  </si>
  <si>
    <t>Yield (3OH, 7R-OOH, 8RO2) =</t>
  </si>
  <si>
    <t>For 3S-OH, 6R-OOH, 8RO2 products:</t>
  </si>
  <si>
    <t>For 3S-OH, 6S-OOH, 8RO2 products:</t>
  </si>
  <si>
    <t>Yield (3S-OH, 6 ketone, 8OOH) =</t>
  </si>
  <si>
    <t>Yield (2RO2, 3S-OH, 6R-OOH, 7OO8 ring) =</t>
  </si>
  <si>
    <t>Yield (2RO2, 3S-OH, 6S-OOH, 7OO8 ring) =</t>
  </si>
  <si>
    <t>Total autoxidizable RO7 yield</t>
  </si>
  <si>
    <t>B.R. addition at site 1 vs 2 (using paper convention) of double bond</t>
  </si>
  <si>
    <t>Yield (1OH, 8RO2) =</t>
  </si>
  <si>
    <t>For 1OH, 8RO2 products:</t>
  </si>
  <si>
    <t>Yield (1OH, 6R-OOH, 8RO2) =</t>
  </si>
  <si>
    <t>Yield (1OH, 6S-OOH, 8RO2) =</t>
  </si>
  <si>
    <t>Yield (1OH, 2S-OOH, 8RO2) =</t>
  </si>
  <si>
    <t>Yield (1OH, 3S-OOH, 8RO2) =</t>
  </si>
  <si>
    <t>Yield (1OH, 7S-OOH, 8RO2) =</t>
  </si>
  <si>
    <t>Yield (1OH, 7R-OOH, 8RO2) =</t>
  </si>
  <si>
    <t>&lt;-- assume yields are split evenly after 1,6 H-shifts</t>
  </si>
  <si>
    <t>Yield (1OH, 2R-RO2, 7OO8 ring) =</t>
  </si>
  <si>
    <t>Yield (1OH, 2S-RO2, 7OO8 ring) =</t>
  </si>
  <si>
    <t>For 1OH, 6R-OOH, 8RO2 products:</t>
  </si>
  <si>
    <t>Yield (1OH, 6 ketone, 8OOH) =</t>
  </si>
  <si>
    <t>Yield (1OH, 3RO2, 6R-OOH, 8OOH) =</t>
  </si>
  <si>
    <t>Yield (1OH, 6R-OOH, 7RO2, 8OOH) =</t>
  </si>
  <si>
    <t>For 1OH, 6S-OOH, 8RO2 products:</t>
  </si>
  <si>
    <t>Yield (1OH, 3RO2, 6S-OOH, 8OOH) =</t>
  </si>
  <si>
    <t>Yield (1OH, 6S-OOH, 7RO2, 8OOH) =</t>
  </si>
  <si>
    <t>For 1OH, 2S-OOH, 8RO2 products:</t>
  </si>
  <si>
    <t>Yield (1OH, 2R-OOH, 6OO8 ring, 7RO2) =</t>
  </si>
  <si>
    <t>For 1OH, 3S-OOH, 8RO2 products:</t>
  </si>
  <si>
    <t>Yield (1OH, 3S-OOH, 6RO2, 8OOH) =</t>
  </si>
  <si>
    <t>Yield (1OH, 2RO2, 3S-OOH, 8OOH) =</t>
  </si>
  <si>
    <t>Yield (1OH, 3S-OOH, 7OO8 ring) =</t>
  </si>
  <si>
    <t>For 1OH, 7S-OOH, 8RO2 products:</t>
  </si>
  <si>
    <t>Yield (1OH, 4RO2, 7S-OOH, 8OOH) =</t>
  </si>
  <si>
    <t>Yield (1OH, 2RO2, 7S-OOH, 8OOH) =</t>
  </si>
  <si>
    <t>Yield (1OH, 7 ketone, 8OOH) =</t>
  </si>
  <si>
    <t>Yield (1OH, 2RO2, 3OO8 ring, 7S-OOH) =</t>
  </si>
  <si>
    <t>For 1OH, 7R-OOH, 8RO2 products:</t>
  </si>
  <si>
    <t>Yield (1OH, 4RO2, 7R-OOH, 8OOH) =</t>
  </si>
  <si>
    <t>Yield (1OH, 2RO2, 7R-OOH, 8OOH) =</t>
  </si>
  <si>
    <t>Yield (1OH, 2RO2, 3OO8 ring, 7R-OOH) =</t>
  </si>
  <si>
    <t>limonene+</t>
  </si>
  <si>
    <t>For 8R-RO2, 9OH:</t>
  </si>
  <si>
    <t>OH addition vs abstraction was determined by Braure T. et al. 2014, JPCA</t>
  </si>
  <si>
    <t>B.R. addition at site 9 vs 2 or 7 (using paper convention) of double bond</t>
  </si>
  <si>
    <t>Addition at site 9 vs 2 or 7 determined by MCM</t>
  </si>
  <si>
    <t>Yield (8R-RO2, 9OH) =</t>
  </si>
  <si>
    <t>B.R. addition above (give 8R isomer) vs below radical plane at site 8</t>
  </si>
  <si>
    <t>Assume a 50:50 split between how O2 adds at radical</t>
  </si>
  <si>
    <t>For 8S-RO2, 9OH:</t>
  </si>
  <si>
    <t>B.R. addition below (give 8S isomer) vs above radical plane at site 8</t>
  </si>
  <si>
    <t>For 8R-RO2 products:</t>
  </si>
  <si>
    <t>Yield (6R-OOH, 8R-RO2, 9OH) =</t>
  </si>
  <si>
    <t>Yield (6S-OOH, 8R-RO2, 9OH) =</t>
  </si>
  <si>
    <t>Yield (2S-OOH, 8R-RO2, 9OH) =</t>
  </si>
  <si>
    <t>Yield (3S-OOH, 8R-RO2, 9OH) =</t>
  </si>
  <si>
    <t>Yield (7S-OOH, 8R-RO2, 9OH) =</t>
  </si>
  <si>
    <t>Yield (7R-OOH, 8R-RO2, 9OH) =</t>
  </si>
  <si>
    <t>Yield (2S-RO2, 7OO8 ring, 9OH) =</t>
  </si>
  <si>
    <t>Yield (2R-RO2, 7OO8 ring, 9OH) =</t>
  </si>
  <si>
    <t>For 8S-RO2 products:</t>
  </si>
  <si>
    <t>Yield (6R-OOH, 8S-RO2, 9OH) =</t>
  </si>
  <si>
    <t>Yield (6S-OOH, 8S-RO2, 9OH) =</t>
  </si>
  <si>
    <t>Yield (2S-OOH, 8S-RO2, 9OH) =</t>
  </si>
  <si>
    <t>Yield (3S-OOH, 8S-RO2, 9OH) =</t>
  </si>
  <si>
    <t>Yield (7S-OOH, 8S-RO2, 9OH) =</t>
  </si>
  <si>
    <t>Yield (7R-OOH, 8S-RO2, 9OH) =</t>
  </si>
  <si>
    <t>For 6R-OOH, 8R-RO2, 9OH products:</t>
  </si>
  <si>
    <t>Yield (6 ketone, 8R-OOH, 9OH) =</t>
  </si>
  <si>
    <t>Yield (3RO2, 6R-OOH, 8R-OOH, 9OH) =</t>
  </si>
  <si>
    <t>Yield (6S-OOH, 7RO2, 8R-OOH, 9OH) =</t>
  </si>
  <si>
    <t>Yield (2RO2, 6S-OOH, 7OO8 ring, 9OH) =</t>
  </si>
  <si>
    <t>For 6S-OOH, 8R-RO2, 9OH products:</t>
  </si>
  <si>
    <t>Yield (3RO2, 6S-OOH, 8R-OOH, 9OH) =</t>
  </si>
  <si>
    <t>Yield (6R-OOH, 7RO2, 8R-OOH, 9OH) =</t>
  </si>
  <si>
    <t>Yield (2RO2, 6R-OOH, 7OO8 ring, 9OH) =</t>
  </si>
  <si>
    <t>For 2S-OOH, 8R-RO2, 9OH products:</t>
  </si>
  <si>
    <t>Yield (2S-OOH, 6OO8 ring, 7RO2, 9OH) =</t>
  </si>
  <si>
    <t>For 3S-OOH, 8R-RO2, 9OH products:</t>
  </si>
  <si>
    <t>For 7S-OOH, 8R-RO2, 9OH products:</t>
  </si>
  <si>
    <t>For 7R-OOH, 8R-RO2, 9OH products:</t>
  </si>
  <si>
    <t>Reaction at C3 (Exo cyclization - 6 membered ring)</t>
  </si>
  <si>
    <t>Reaction at C4 (Exo cyclization - 5 membered ring)</t>
  </si>
  <si>
    <t>Reaction at C7 (Exo cyclization - 6 membered ring)</t>
  </si>
  <si>
    <t>Reaction at C6 (Exo cyclization - 5 membered ring)</t>
  </si>
  <si>
    <t>Yield (4RO2, 7S-OOH, 8R-OOH, 9OH) =</t>
  </si>
  <si>
    <t>Yield (2RO2, 7S-OOH, 8R-OOH, 9OH) =</t>
  </si>
  <si>
    <t>Yield (7 ketone, 8R-OOH, 9OH) =</t>
  </si>
  <si>
    <t>Yield (2RO2, 3OO8 ring, 7S-OOH, 9OH) =</t>
  </si>
  <si>
    <t>Yield (4RO2, 7R-OOH, 8R-OOH, 9OH) =</t>
  </si>
  <si>
    <t>Yield (2RO2, 7R-OOH, 8R-OOH, 9OH) =</t>
  </si>
  <si>
    <t>Yield (2RO2, 3OO8 ring, 7R-OOH, 9OH) =</t>
  </si>
  <si>
    <t>Yield (3S-OOH, 6RO2, 8R-OOH, 9OH) =</t>
  </si>
  <si>
    <t>Yield (2RO2, 3S-OOH, 8R-OOH, 9OH) =</t>
  </si>
  <si>
    <t>Yield (2RO2, 3S-OOH, 7OO8 ring, 9OH) =</t>
  </si>
  <si>
    <t>&lt;-- THIS ASSUMES SAME REACTIONS AND YIELDS FOR 8S-RO2 PRODUCTS (i.e. multiplied by 2)</t>
  </si>
  <si>
    <t>CALCULATION</t>
  </si>
  <si>
    <t>HIGHER BOUND ERROR</t>
  </si>
  <si>
    <t>B.R. error =</t>
  </si>
  <si>
    <t xml:space="preserve">k error factor = </t>
  </si>
  <si>
    <t>LOWER BOUND ERROR</t>
  </si>
  <si>
    <t>NOx Dependence</t>
  </si>
  <si>
    <t>RO7 Yields</t>
  </si>
  <si>
    <t>3R-OH, 6R-OOH, 7RO2, 8OOH</t>
  </si>
  <si>
    <t>2RO2, 3R-OH, 6R-OOH, 7OO8 ring</t>
  </si>
  <si>
    <t>3R-OH, 6S-OOH, 7RO2, 8OOH</t>
  </si>
  <si>
    <t>2RO2, 3R-OH, 6S-OOH, 7OO8 ring</t>
  </si>
  <si>
    <t>2R-OOH, 3R-OH, 6OO8 ring, 7RO2</t>
  </si>
  <si>
    <t>3OH, 4RO2, 7S-OOH, 8OOH</t>
  </si>
  <si>
    <t>2RO2, 3OH, 7S-OOH, 8OOH</t>
  </si>
  <si>
    <t>2RO2, 3OH, 3OO8 ring, 7S-OOH</t>
  </si>
  <si>
    <t>2RO2, 3S-OH, 6R-OOH, 7OO8 ring</t>
  </si>
  <si>
    <t>2RO2, 3S-OH, 6S-OOH, 7OO8 ring</t>
  </si>
  <si>
    <t>1OH, 2RO2, 3OO8 ring, 7R-OOH</t>
  </si>
  <si>
    <t>1OH, 2RO2, 7R-OOH, 8OOH</t>
  </si>
  <si>
    <t>1OH, 4RO2, 7R-OOH, 8OOH</t>
  </si>
  <si>
    <t>1OH, 2RO2, 3OO8 ring, 7S-OOH</t>
  </si>
  <si>
    <t>1OH, 2RO2, 7S-OOH, 8OOH</t>
  </si>
  <si>
    <t>1OH, 4RO2, 7S-OOH, 8OOH</t>
  </si>
  <si>
    <t>1OH, 3S-OOH, 7OO8 ring</t>
  </si>
  <si>
    <t>1OH, 2RO2, 3S-OOH, 8OOH</t>
  </si>
  <si>
    <t>1OH, 3S-OOH, 6RO2, 8OOH</t>
  </si>
  <si>
    <t>1OH, 2R-OOH, 6OO8 ring, 7RO2</t>
  </si>
  <si>
    <t>1OH, 3RO2, 6S-OOH, 8OOH</t>
  </si>
  <si>
    <t>1OH, 6S-OOH, 7RO2, 8OOH</t>
  </si>
  <si>
    <t>1OH, 3RO2, 6R-OOH, 8OOH</t>
  </si>
  <si>
    <t>1OH, 6R-OOH, 7RO2, 8OOH</t>
  </si>
  <si>
    <t>3RO2, 6R-OOH, 8R-OOH, 9OH</t>
  </si>
  <si>
    <t>6S-OOH, 7RO2, 8R-OOH, 9OH</t>
  </si>
  <si>
    <t>2RO2, 6S-OOH, 7OO8 ring, 9OH</t>
  </si>
  <si>
    <t>3RO2, 6S-OOH, 8R-OOH, 9OH</t>
  </si>
  <si>
    <t>6R-OOH, 7RO2, 8R-OOH, 9OH</t>
  </si>
  <si>
    <t>2RO2, 6R-OOH, 7OO8 ring, 9OH</t>
  </si>
  <si>
    <t>2S-OOH, 6OO8 ring, 7RO2, 9OH</t>
  </si>
  <si>
    <t>3S-OOH, 6RO2, 8R-OOH, 9OH</t>
  </si>
  <si>
    <t>2RO2, 3S-OOH, 8R-OOH, 9OH</t>
  </si>
  <si>
    <t>2RO2, 3S-OOH, 7OO8 ring, 9OH</t>
  </si>
  <si>
    <t>4RO2, 7S-OOH, 8R-OOH, 9OH</t>
  </si>
  <si>
    <t>2RO2, 7S-OOH, 8R-OOH, 9OH</t>
  </si>
  <si>
    <t>2RO2, 3OO8 ring, 7S-OOH, 9OH</t>
  </si>
  <si>
    <t>4RO2, 7R-OOH, 8R-OOH, 9OH</t>
  </si>
  <si>
    <t>2RO2, 7R-OOH, 8R-OOH, 9OH</t>
  </si>
  <si>
    <t>2RO2, 3OO8 ring, 7R-OOH, 9OH</t>
  </si>
  <si>
    <t>Yield (1OH, 2RO2, 6R-OOH, 8OOH) =</t>
  </si>
  <si>
    <t>Yield (8S-RO2, 9OH) =</t>
  </si>
  <si>
    <t>2OOH3OH8RO2_7_axial.out</t>
  </si>
  <si>
    <t>1OH2OOH8RO2_6_axial.out</t>
  </si>
  <si>
    <t>2OOH8RO29OH_8_axial.out</t>
  </si>
  <si>
    <t>2OOH3OH8RO2_7_axial_2.out</t>
  </si>
  <si>
    <t>1OH2OOH8RO2_6_axial_2.out</t>
  </si>
  <si>
    <t>2OOH8RO29OH_8_axial_2.out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</si>
  <si>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bscript"/>
        <sz val="11"/>
        <color theme="1"/>
        <rFont val="Calibri"/>
        <family val="2"/>
        <scheme val="minor"/>
      </rPr>
      <t>conf</t>
    </r>
    <r>
      <rPr>
        <sz val="9.9"/>
        <color theme="1"/>
        <rFont val="Calibri"/>
        <family val="2"/>
      </rPr>
      <t xml:space="preserve"> (kcal/mol)</t>
    </r>
  </si>
  <si>
    <t>/MESMER4 (without tunneling)</t>
  </si>
  <si>
    <r>
      <t>k</t>
    </r>
    <r>
      <rPr>
        <b/>
        <vertAlign val="subscript"/>
        <sz val="11"/>
        <color rgb="FFFF0000"/>
        <rFont val="Calibri"/>
        <family val="2"/>
        <scheme val="minor"/>
      </rPr>
      <t>MESMER</t>
    </r>
    <r>
      <rPr>
        <b/>
        <sz val="11"/>
        <color rgb="FFFF0000"/>
        <rFont val="Calibri"/>
        <family val="2"/>
        <scheme val="minor"/>
      </rPr>
      <t xml:space="preserve"> (s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>)</t>
    </r>
  </si>
  <si>
    <r>
      <t>k</t>
    </r>
    <r>
      <rPr>
        <b/>
        <vertAlign val="subscript"/>
        <sz val="11"/>
        <color rgb="FFFF0000"/>
        <rFont val="Calibri"/>
        <family val="2"/>
        <scheme val="minor"/>
      </rPr>
      <t>TST</t>
    </r>
    <r>
      <rPr>
        <b/>
        <sz val="11"/>
        <color rgb="FFFF0000"/>
        <rFont val="Calibri"/>
        <family val="2"/>
        <scheme val="minor"/>
      </rPr>
      <t xml:space="preserve"> (s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</si>
</sst>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"/>
    <numFmt numFmtId="166" formatCode="0.0E+00"/>
    <numFmt numFmtId="167" formatCode="0.0%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.9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1"/>
      <charset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theme="1"/>
      <name val="Symbol"/>
      <family val="1"/>
      <charset val="2"/>
    </font>
    <font>
      <b/>
      <u/>
      <sz val="11"/>
      <color theme="1"/>
      <name val="Calibri"/>
      <family val="1"/>
      <charset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Symbol"/>
      <family val="1"/>
      <charset val="2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u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5" fillId="3" borderId="0" xfId="0" applyFont="1" applyFill="1"/>
    <xf numFmtId="0" fontId="15" fillId="4" borderId="0" xfId="0" applyFont="1" applyFill="1"/>
    <xf numFmtId="0" fontId="2" fillId="5" borderId="0" xfId="0" applyFont="1" applyFill="1"/>
    <xf numFmtId="165" fontId="0" fillId="2" borderId="0" xfId="0" applyNumberForma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1" fillId="6" borderId="0" xfId="0" applyFont="1" applyFill="1"/>
    <xf numFmtId="0" fontId="16" fillId="0" borderId="0" xfId="0" applyFont="1"/>
    <xf numFmtId="166" fontId="0" fillId="7" borderId="0" xfId="0" applyNumberForma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8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/>
    <xf numFmtId="0" fontId="1" fillId="9" borderId="0" xfId="0" applyFont="1" applyFill="1" applyAlignment="1">
      <alignment horizontal="center"/>
    </xf>
    <xf numFmtId="0" fontId="2" fillId="10" borderId="0" xfId="0" applyFont="1" applyFill="1"/>
    <xf numFmtId="0" fontId="18" fillId="0" borderId="0" xfId="0" applyFont="1"/>
    <xf numFmtId="0" fontId="19" fillId="0" borderId="0" xfId="1"/>
    <xf numFmtId="0" fontId="2" fillId="0" borderId="0" xfId="0" applyFont="1"/>
    <xf numFmtId="166" fontId="0" fillId="0" borderId="0" xfId="0" applyNumberForma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Alignment="1">
      <alignment wrapText="1"/>
    </xf>
    <xf numFmtId="167" fontId="13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3" fillId="0" borderId="0" xfId="0" applyFont="1" applyFill="1"/>
    <xf numFmtId="167" fontId="23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0" applyFont="1"/>
    <xf numFmtId="0" fontId="2" fillId="0" borderId="0" xfId="0" applyFont="1" applyFill="1"/>
    <xf numFmtId="166" fontId="0" fillId="0" borderId="0" xfId="0" applyNumberFormat="1" applyFill="1" applyAlignment="1">
      <alignment horizontal="left"/>
    </xf>
    <xf numFmtId="167" fontId="13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11" borderId="0" xfId="0" applyFill="1"/>
    <xf numFmtId="0" fontId="0" fillId="4" borderId="0" xfId="0" applyFill="1"/>
    <xf numFmtId="0" fontId="2" fillId="12" borderId="0" xfId="0" applyFont="1" applyFill="1"/>
    <xf numFmtId="0" fontId="0" fillId="12" borderId="0" xfId="0" applyFill="1"/>
    <xf numFmtId="166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7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6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31" fillId="0" borderId="0" xfId="0" applyFont="1"/>
    <xf numFmtId="167" fontId="3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7" fontId="24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wrapText="1"/>
    </xf>
    <xf numFmtId="0" fontId="20" fillId="0" borderId="0" xfId="0" applyFont="1" applyFill="1"/>
    <xf numFmtId="167" fontId="23" fillId="0" borderId="0" xfId="0" applyNumberFormat="1" applyFont="1" applyFill="1"/>
    <xf numFmtId="0" fontId="31" fillId="0" borderId="0" xfId="0" applyFont="1" applyFill="1"/>
    <xf numFmtId="166" fontId="0" fillId="0" borderId="0" xfId="0" applyNumberFormat="1" applyFont="1" applyFill="1" applyAlignment="1">
      <alignment horizontal="left"/>
    </xf>
    <xf numFmtId="167" fontId="12" fillId="12" borderId="0" xfId="0" applyNumberFormat="1" applyFont="1" applyFill="1" applyAlignment="1">
      <alignment horizontal="center"/>
    </xf>
    <xf numFmtId="0" fontId="23" fillId="12" borderId="0" xfId="0" applyFont="1" applyFill="1"/>
    <xf numFmtId="167" fontId="23" fillId="12" borderId="0" xfId="0" applyNumberFormat="1" applyFont="1" applyFill="1" applyAlignment="1">
      <alignment horizontal="center"/>
    </xf>
    <xf numFmtId="0" fontId="31" fillId="12" borderId="0" xfId="0" applyFont="1" applyFill="1"/>
    <xf numFmtId="0" fontId="15" fillId="2" borderId="0" xfId="0" applyFont="1" applyFill="1"/>
    <xf numFmtId="0" fontId="15" fillId="13" borderId="0" xfId="0" applyFont="1" applyFill="1"/>
    <xf numFmtId="0" fontId="15" fillId="11" borderId="0" xfId="0" applyFont="1" applyFill="1"/>
    <xf numFmtId="9" fontId="15" fillId="13" borderId="0" xfId="0" applyNumberFormat="1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right"/>
    </xf>
    <xf numFmtId="0" fontId="0" fillId="13" borderId="0" xfId="0" applyFill="1" applyAlignment="1">
      <alignment horizontal="center"/>
    </xf>
    <xf numFmtId="167" fontId="12" fillId="13" borderId="0" xfId="0" applyNumberFormat="1" applyFont="1" applyFill="1" applyAlignment="1">
      <alignment horizontal="center"/>
    </xf>
    <xf numFmtId="166" fontId="0" fillId="13" borderId="0" xfId="0" applyNumberFormat="1" applyFill="1" applyAlignment="1">
      <alignment horizontal="center"/>
    </xf>
    <xf numFmtId="9" fontId="15" fillId="11" borderId="0" xfId="0" applyNumberFormat="1" applyFont="1" applyFill="1" applyAlignment="1">
      <alignment horizontal="center"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center"/>
    </xf>
    <xf numFmtId="166" fontId="0" fillId="11" borderId="0" xfId="0" applyNumberFormat="1" applyFill="1" applyAlignment="1">
      <alignment horizontal="center"/>
    </xf>
    <xf numFmtId="167" fontId="12" fillId="11" borderId="0" xfId="0" applyNumberFormat="1" applyFont="1" applyFill="1" applyAlignment="1">
      <alignment horizontal="center"/>
    </xf>
    <xf numFmtId="0" fontId="12" fillId="13" borderId="0" xfId="0" applyFont="1" applyFill="1"/>
    <xf numFmtId="0" fontId="12" fillId="11" borderId="0" xfId="0" applyFont="1" applyFill="1"/>
    <xf numFmtId="167" fontId="0" fillId="2" borderId="0" xfId="0" applyNumberFormat="1" applyFill="1"/>
    <xf numFmtId="167" fontId="0" fillId="0" borderId="0" xfId="0" applyNumberFormat="1" applyFill="1"/>
    <xf numFmtId="0" fontId="34" fillId="0" borderId="0" xfId="0" applyFont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0" fillId="14" borderId="0" xfId="0" applyFont="1" applyFill="1"/>
    <xf numFmtId="164" fontId="0" fillId="14" borderId="0" xfId="0" applyNumberFormat="1" applyFill="1" applyAlignment="1">
      <alignment horizontal="center"/>
    </xf>
    <xf numFmtId="0" fontId="0" fillId="14" borderId="0" xfId="0" applyFill="1"/>
    <xf numFmtId="0" fontId="6" fillId="15" borderId="0" xfId="0" applyFont="1" applyFill="1" applyAlignment="1">
      <alignment horizontal="center"/>
    </xf>
    <xf numFmtId="165" fontId="0" fillId="15" borderId="0" xfId="0" applyNumberFormat="1" applyFill="1" applyAlignment="1">
      <alignment horizontal="center"/>
    </xf>
    <xf numFmtId="11" fontId="0" fillId="0" borderId="0" xfId="0" applyNumberFormat="1"/>
    <xf numFmtId="165" fontId="36" fillId="0" borderId="0" xfId="0" applyNumberFormat="1" applyFont="1" applyAlignment="1">
      <alignment horizontal="center"/>
    </xf>
    <xf numFmtId="166" fontId="35" fillId="0" borderId="0" xfId="0" applyNumberFormat="1" applyFont="1" applyFill="1" applyAlignment="1">
      <alignment horizontal="center"/>
    </xf>
    <xf numFmtId="165" fontId="35" fillId="0" borderId="0" xfId="0" applyNumberFormat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3600">
                <a:solidFill>
                  <a:schemeClr val="tx1"/>
                </a:solidFill>
              </a:rPr>
              <a:t>RO</a:t>
            </a:r>
            <a:r>
              <a:rPr lang="en-US" sz="3600" baseline="-25000">
                <a:solidFill>
                  <a:schemeClr val="tx1"/>
                </a:solidFill>
              </a:rPr>
              <a:t>7</a:t>
            </a:r>
            <a:r>
              <a:rPr lang="en-US" sz="3600">
                <a:solidFill>
                  <a:schemeClr val="tx1"/>
                </a:solidFill>
              </a:rPr>
              <a:t> Yields</a:t>
            </a:r>
          </a:p>
        </c:rich>
      </c:tx>
      <c:layout>
        <c:manualLayout>
          <c:xMode val="edge"/>
          <c:yMode val="edge"/>
          <c:x val="0.37733866193013615"/>
          <c:y val="3.6680421824850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7"/>
          <c:order val="0"/>
          <c:tx>
            <c:v>b-pinene</c:v>
          </c:tx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'Calculated Yields'!$BR$58:$BR$86</c:f>
              <c:numCache>
                <c:formatCode>General</c:formatCode>
                <c:ptCount val="29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0.60000000000000009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  <c:pt idx="21">
                  <c:v>20</c:v>
                </c:pt>
                <c:pt idx="22">
                  <c:v>40</c:v>
                </c:pt>
                <c:pt idx="23">
                  <c:v>60</c:v>
                </c:pt>
                <c:pt idx="24">
                  <c:v>80</c:v>
                </c:pt>
                <c:pt idx="25">
                  <c:v>100</c:v>
                </c:pt>
                <c:pt idx="26">
                  <c:v>200</c:v>
                </c:pt>
                <c:pt idx="27">
                  <c:v>400</c:v>
                </c:pt>
                <c:pt idx="28">
                  <c:v>600</c:v>
                </c:pt>
              </c:numCache>
            </c:numRef>
          </c:xVal>
          <c:yVal>
            <c:numRef>
              <c:f>'Calculated Yields'!$CI$58:$CI$86</c:f>
              <c:numCache>
                <c:formatCode>0.0%</c:formatCode>
                <c:ptCount val="29"/>
                <c:pt idx="0">
                  <c:v>3.8508724802879875E-2</c:v>
                </c:pt>
                <c:pt idx="1">
                  <c:v>3.8508159015739403E-2</c:v>
                </c:pt>
                <c:pt idx="2">
                  <c:v>3.8507027576150744E-2</c:v>
                </c:pt>
                <c:pt idx="3">
                  <c:v>3.850589631610786E-2</c:v>
                </c:pt>
                <c:pt idx="4">
                  <c:v>3.8504765235558035E-2</c:v>
                </c:pt>
                <c:pt idx="5">
                  <c:v>3.850363433444854E-2</c:v>
                </c:pt>
                <c:pt idx="6">
                  <c:v>3.8497982518662058E-2</c:v>
                </c:pt>
                <c:pt idx="7">
                  <c:v>3.8486692314858649E-2</c:v>
                </c:pt>
                <c:pt idx="8">
                  <c:v>3.8475419971040786E-2</c:v>
                </c:pt>
                <c:pt idx="9">
                  <c:v>3.8464165434947559E-2</c:v>
                </c:pt>
                <c:pt idx="10">
                  <c:v>3.8452928654531697E-2</c:v>
                </c:pt>
                <c:pt idx="11">
                  <c:v>3.8397009280771804E-2</c:v>
                </c:pt>
                <c:pt idx="12">
                  <c:v>3.828647287840823E-2</c:v>
                </c:pt>
                <c:pt idx="13">
                  <c:v>3.8177631746683538E-2</c:v>
                </c:pt>
                <c:pt idx="14">
                  <c:v>3.8070438162938723E-2</c:v>
                </c:pt>
                <c:pt idx="15">
                  <c:v>3.7964846266293616E-2</c:v>
                </c:pt>
                <c:pt idx="16">
                  <c:v>3.7459426247525192E-2</c:v>
                </c:pt>
                <c:pt idx="17">
                  <c:v>3.6546751299391889E-2</c:v>
                </c:pt>
                <c:pt idx="18">
                  <c:v>3.5740824235714418E-2</c:v>
                </c:pt>
                <c:pt idx="19">
                  <c:v>3.5019979005370891E-2</c:v>
                </c:pt>
                <c:pt idx="20">
                  <c:v>3.4368336330761848E-2</c:v>
                </c:pt>
                <c:pt idx="21">
                  <c:v>3.1812793096958059E-2</c:v>
                </c:pt>
                <c:pt idx="22">
                  <c:v>2.8510638631604312E-2</c:v>
                </c:pt>
                <c:pt idx="23">
                  <c:v>2.6294114980876727E-2</c:v>
                </c:pt>
                <c:pt idx="24">
                  <c:v>2.4618836040449971E-2</c:v>
                </c:pt>
                <c:pt idx="25">
                  <c:v>2.3269287032091211E-2</c:v>
                </c:pt>
                <c:pt idx="26">
                  <c:v>1.8850457533754198E-2</c:v>
                </c:pt>
                <c:pt idx="27">
                  <c:v>1.4227257510573145E-2</c:v>
                </c:pt>
                <c:pt idx="28">
                  <c:v>1.1568951329819489E-2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C2B-4D83-91F8-4F791597FF9D}"/>
            </c:ext>
          </c:extLst>
        </c:ser>
        <c:ser>
          <c:idx val="15"/>
          <c:order val="1"/>
          <c:tx>
            <c:v>a-pinene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'Calculated Yields'!$BR$15:$BR$43</c:f>
              <c:numCache>
                <c:formatCode>General</c:formatCode>
                <c:ptCount val="29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0.60000000000000009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  <c:pt idx="21">
                  <c:v>20</c:v>
                </c:pt>
                <c:pt idx="22">
                  <c:v>40</c:v>
                </c:pt>
                <c:pt idx="23">
                  <c:v>60</c:v>
                </c:pt>
                <c:pt idx="24">
                  <c:v>80</c:v>
                </c:pt>
                <c:pt idx="25">
                  <c:v>100</c:v>
                </c:pt>
                <c:pt idx="26">
                  <c:v>200</c:v>
                </c:pt>
                <c:pt idx="27">
                  <c:v>400</c:v>
                </c:pt>
                <c:pt idx="28">
                  <c:v>600</c:v>
                </c:pt>
              </c:numCache>
            </c:numRef>
          </c:xVal>
          <c:yVal>
            <c:numRef>
              <c:f>'Calculated Yields'!$CG$15:$CG$43</c:f>
              <c:numCache>
                <c:formatCode>0.0%</c:formatCode>
                <c:ptCount val="29"/>
                <c:pt idx="0">
                  <c:v>4.6927473690598076E-2</c:v>
                </c:pt>
                <c:pt idx="1">
                  <c:v>4.6926467600779127E-2</c:v>
                </c:pt>
                <c:pt idx="2">
                  <c:v>4.6924455626400977E-2</c:v>
                </c:pt>
                <c:pt idx="3">
                  <c:v>4.6922443925646248E-2</c:v>
                </c:pt>
                <c:pt idx="4">
                  <c:v>4.6920432498447386E-2</c:v>
                </c:pt>
                <c:pt idx="5">
                  <c:v>4.6918421344736894E-2</c:v>
                </c:pt>
                <c:pt idx="6">
                  <c:v>4.6908369676149121E-2</c:v>
                </c:pt>
                <c:pt idx="7">
                  <c:v>4.6888286811855279E-2</c:v>
                </c:pt>
                <c:pt idx="8">
                  <c:v>4.6868231188736627E-2</c:v>
                </c:pt>
                <c:pt idx="9">
                  <c:v>4.6848202739798915E-2</c:v>
                </c:pt>
                <c:pt idx="10">
                  <c:v>4.6828201398282622E-2</c:v>
                </c:pt>
                <c:pt idx="11">
                  <c:v>4.6728598981737778E-2</c:v>
                </c:pt>
                <c:pt idx="12">
                  <c:v>4.6531389475791482E-2</c:v>
                </c:pt>
                <c:pt idx="13">
                  <c:v>4.6336787184167547E-2</c:v>
                </c:pt>
                <c:pt idx="14">
                  <c:v>4.614473013628171E-2</c:v>
                </c:pt>
                <c:pt idx="15">
                  <c:v>4.5955158443764674E-2</c:v>
                </c:pt>
                <c:pt idx="16">
                  <c:v>4.5042619119790815E-2</c:v>
                </c:pt>
                <c:pt idx="17">
                  <c:v>4.3374549017056375E-2</c:v>
                </c:pt>
                <c:pt idx="18">
                  <c:v>4.1882305099510894E-2</c:v>
                </c:pt>
                <c:pt idx="19">
                  <c:v>4.0534651489620113E-2</c:v>
                </c:pt>
                <c:pt idx="20">
                  <c:v>3.9307783910629127E-2</c:v>
                </c:pt>
                <c:pt idx="21">
                  <c:v>3.4453727288232178E-2</c:v>
                </c:pt>
                <c:pt idx="22">
                  <c:v>2.8235721599114805E-2</c:v>
                </c:pt>
                <c:pt idx="23">
                  <c:v>2.4221292068864766E-2</c:v>
                </c:pt>
                <c:pt idx="24">
                  <c:v>2.1330803309825615E-2</c:v>
                </c:pt>
                <c:pt idx="25">
                  <c:v>1.9118015549155608E-2</c:v>
                </c:pt>
                <c:pt idx="26">
                  <c:v>1.2779909281236604E-2</c:v>
                </c:pt>
                <c:pt idx="27">
                  <c:v>7.8019076751889051E-3</c:v>
                </c:pt>
                <c:pt idx="28">
                  <c:v>5.6374988605558864E-3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C2B-4D83-91F8-4F791597FF9D}"/>
            </c:ext>
          </c:extLst>
        </c:ser>
        <c:ser>
          <c:idx val="0"/>
          <c:order val="2"/>
          <c:tx>
            <c:v>limonene</c:v>
          </c:tx>
          <c:spPr>
            <a:ln w="508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'Calculated Yields'!$BR$101:$BR$129</c:f>
              <c:numCache>
                <c:formatCode>General</c:formatCode>
                <c:ptCount val="29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0.60000000000000009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  <c:pt idx="21">
                  <c:v>20</c:v>
                </c:pt>
                <c:pt idx="22">
                  <c:v>40</c:v>
                </c:pt>
                <c:pt idx="23">
                  <c:v>60</c:v>
                </c:pt>
                <c:pt idx="24">
                  <c:v>80</c:v>
                </c:pt>
                <c:pt idx="25">
                  <c:v>100</c:v>
                </c:pt>
                <c:pt idx="26">
                  <c:v>200</c:v>
                </c:pt>
                <c:pt idx="27">
                  <c:v>400</c:v>
                </c:pt>
                <c:pt idx="28">
                  <c:v>600</c:v>
                </c:pt>
              </c:numCache>
            </c:numRef>
          </c:xVal>
          <c:yVal>
            <c:numRef>
              <c:f>'Calculated Yields'!$CI$101:$CI$129</c:f>
              <c:numCache>
                <c:formatCode>0.0%</c:formatCode>
                <c:ptCount val="29"/>
                <c:pt idx="0">
                  <c:v>8.4901331207003231E-2</c:v>
                </c:pt>
                <c:pt idx="1">
                  <c:v>8.4888263434290123E-2</c:v>
                </c:pt>
                <c:pt idx="2">
                  <c:v>8.4862167533312591E-2</c:v>
                </c:pt>
                <c:pt idx="3">
                  <c:v>8.4836124342673971E-2</c:v>
                </c:pt>
                <c:pt idx="4">
                  <c:v>8.4810133684374331E-2</c:v>
                </c:pt>
                <c:pt idx="5">
                  <c:v>8.478419538122281E-2</c:v>
                </c:pt>
                <c:pt idx="6">
                  <c:v>8.4655283047069152E-2</c:v>
                </c:pt>
                <c:pt idx="7">
                  <c:v>8.4401285385127867E-2</c:v>
                </c:pt>
                <c:pt idx="8">
                  <c:v>8.4152250976609083E-2</c:v>
                </c:pt>
                <c:pt idx="9">
                  <c:v>8.3908018913666976E-2</c:v>
                </c:pt>
                <c:pt idx="10">
                  <c:v>8.3668435244271963E-2</c:v>
                </c:pt>
                <c:pt idx="11">
                  <c:v>8.2535296358247773E-2</c:v>
                </c:pt>
                <c:pt idx="12">
                  <c:v>8.0545316799523828E-2</c:v>
                </c:pt>
                <c:pt idx="13">
                  <c:v>7.8846481310723679E-2</c:v>
                </c:pt>
                <c:pt idx="14">
                  <c:v>7.7371477969600574E-2</c:v>
                </c:pt>
                <c:pt idx="15">
                  <c:v>7.6072512874863163E-2</c:v>
                </c:pt>
                <c:pt idx="16">
                  <c:v>7.1256104792801506E-2</c:v>
                </c:pt>
                <c:pt idx="17">
                  <c:v>6.5484194402809434E-2</c:v>
                </c:pt>
                <c:pt idx="18">
                  <c:v>6.1698077736138099E-2</c:v>
                </c:pt>
                <c:pt idx="19">
                  <c:v>5.8785757670147272E-2</c:v>
                </c:pt>
                <c:pt idx="20">
                  <c:v>5.6369880963405769E-2</c:v>
                </c:pt>
                <c:pt idx="21">
                  <c:v>4.782644917957872E-2</c:v>
                </c:pt>
                <c:pt idx="22">
                  <c:v>3.7797615312113585E-2</c:v>
                </c:pt>
                <c:pt idx="23">
                  <c:v>3.1600337983363223E-2</c:v>
                </c:pt>
                <c:pt idx="24">
                  <c:v>2.7268607789294023E-2</c:v>
                </c:pt>
                <c:pt idx="25">
                  <c:v>2.403408648955821E-2</c:v>
                </c:pt>
                <c:pt idx="26">
                  <c:v>1.5221162810023734E-2</c:v>
                </c:pt>
                <c:pt idx="27">
                  <c:v>8.8462731845767861E-3</c:v>
                </c:pt>
                <c:pt idx="28">
                  <c:v>6.2449915959155184E-3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5C-4334-B295-409D8A85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366111"/>
        <c:axId val="1577373183"/>
        <c:extLst/>
      </c:scatterChart>
      <c:valAx>
        <c:axId val="1577366111"/>
        <c:scaling>
          <c:logBase val="10"/>
          <c:orientation val="minMax"/>
          <c:max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NO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373183"/>
        <c:crosses val="autoZero"/>
        <c:crossBetween val="midCat"/>
        <c:majorUnit val="10"/>
      </c:valAx>
      <c:valAx>
        <c:axId val="1577373183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solidFill>
                      <a:schemeClr val="tx1"/>
                    </a:solidFill>
                  </a:rPr>
                  <a:t>RO</a:t>
                </a:r>
                <a:r>
                  <a:rPr lang="en-US" sz="3200" baseline="-25000">
                    <a:solidFill>
                      <a:schemeClr val="tx1"/>
                    </a:solidFill>
                  </a:rPr>
                  <a:t>7</a:t>
                </a:r>
                <a:r>
                  <a:rPr lang="en-US" sz="3200">
                    <a:solidFill>
                      <a:schemeClr val="tx1"/>
                    </a:solidFill>
                  </a:rPr>
                  <a:t> yield</a:t>
                </a:r>
              </a:p>
            </c:rich>
          </c:tx>
          <c:layout>
            <c:manualLayout>
              <c:xMode val="edge"/>
              <c:yMode val="edge"/>
              <c:x val="2.7791231992837773E-2"/>
              <c:y val="0.36218400648448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366111"/>
        <c:crossesAt val="1.0000000000000002E-3"/>
        <c:crossBetween val="midCat"/>
        <c:majorUnit val="1.0000000000000002E-2"/>
        <c:minorUnit val="5.000000000000001E-3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464551689929052"/>
          <c:y val="0.33590384267130891"/>
          <c:w val="0.1467719969242525"/>
          <c:h val="0.134941984383217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415291</xdr:colOff>
      <xdr:row>12</xdr:row>
      <xdr:rowOff>104501</xdr:rowOff>
    </xdr:from>
    <xdr:to>
      <xdr:col>93</xdr:col>
      <xdr:colOff>542109</xdr:colOff>
      <xdr:row>39</xdr:row>
      <xdr:rowOff>56675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33BDF4-E889-4510-8575-514CA7674F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iletic_ivan_epa_gov/Documents/Profile/Documents/Calcs/RXNS/monoterpene%20autoxidation/2021-07-21/Summary_2021-07-21_MonoterpeneOO_1stGenRx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onoterpeneOO Rxns"/>
      <sheetName val="Comparison Tables"/>
    </sheetNames>
    <sheetDataSet>
      <sheetData sheetId="0"/>
      <sheetData sheetId="1">
        <row r="34">
          <cell r="I34">
            <v>2.2999999999999998</v>
          </cell>
        </row>
        <row r="35">
          <cell r="N35">
            <v>3.6</v>
          </cell>
        </row>
        <row r="37">
          <cell r="D37">
            <v>0.23631618255375994</v>
          </cell>
        </row>
        <row r="64">
          <cell r="I64">
            <v>2.7</v>
          </cell>
          <cell r="N64">
            <v>1</v>
          </cell>
        </row>
        <row r="70">
          <cell r="D70">
            <v>6.1105187306895674</v>
          </cell>
        </row>
        <row r="94">
          <cell r="I94">
            <v>6.4</v>
          </cell>
          <cell r="N94">
            <v>2</v>
          </cell>
        </row>
        <row r="98">
          <cell r="D98">
            <v>7.140662970177706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Papers/Autoxidation/Vereecken_2007_PCCP_OHRxnsApinene.pdf" TargetMode="External"/><Relationship Id="rId3" Type="http://schemas.openxmlformats.org/officeDocument/2006/relationships/hyperlink" Target="../../../../Papers/Autoxidation/Vereecken_2007_PCCP_OHRxnsApinene.pdf" TargetMode="External"/><Relationship Id="rId7" Type="http://schemas.openxmlformats.org/officeDocument/2006/relationships/hyperlink" Target="../../../../Papers/Autoxidation/Vereecken_2007_PCCP_OHRxnsApinene.pdf" TargetMode="External"/><Relationship Id="rId2" Type="http://schemas.openxmlformats.org/officeDocument/2006/relationships/hyperlink" Target="../../../../Papers/Autoxidation/Vereecken_2007_PCCP_OHRxnsApinene.pdf" TargetMode="External"/><Relationship Id="rId1" Type="http://schemas.openxmlformats.org/officeDocument/2006/relationships/hyperlink" Target="../../../../Papers/Autoxidation/Vereecken_2007_PCCP_OHRxnsApinene.pdf" TargetMode="External"/><Relationship Id="rId6" Type="http://schemas.openxmlformats.org/officeDocument/2006/relationships/hyperlink" Target="../../../../Papers/Autoxidation/Vereecken_2007_PCCP_OHRxnsApinene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../../../../Papers/Autoxidation/Vereecken_2007_PCCP_OHRxnsApinene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../../../../Papers/Autoxidation/Vereecken_2007_PCCP_OHRxnsApinene.pdf" TargetMode="External"/><Relationship Id="rId9" Type="http://schemas.openxmlformats.org/officeDocument/2006/relationships/hyperlink" Target="../../../../Papers/Autoxidation/Vereecken_2007_PCCP_OHRxnsApine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C34B-A55C-4345-9686-AAB5D478A8C2}">
  <dimension ref="A1:C16"/>
  <sheetViews>
    <sheetView workbookViewId="0">
      <selection activeCell="B20" sqref="B20"/>
    </sheetView>
  </sheetViews>
  <sheetFormatPr defaultRowHeight="14.4"/>
  <cols>
    <col min="1" max="1" width="92.109375" bestFit="1" customWidth="1"/>
    <col min="2" max="2" width="32.88671875" customWidth="1"/>
    <col min="3" max="3" width="31.109375" customWidth="1"/>
  </cols>
  <sheetData>
    <row r="1" spans="1:3" ht="18">
      <c r="A1" s="53" t="s">
        <v>235</v>
      </c>
    </row>
    <row r="3" spans="1:3">
      <c r="A3" s="1" t="s">
        <v>236</v>
      </c>
      <c r="B3" s="1" t="s">
        <v>237</v>
      </c>
    </row>
    <row r="4" spans="1:3" ht="72">
      <c r="A4" s="54" t="s">
        <v>259</v>
      </c>
      <c r="B4" s="55" t="s">
        <v>260</v>
      </c>
    </row>
    <row r="6" spans="1:3">
      <c r="A6" s="1" t="s">
        <v>238</v>
      </c>
      <c r="B6" s="1" t="s">
        <v>239</v>
      </c>
      <c r="C6" s="1" t="s">
        <v>240</v>
      </c>
    </row>
    <row r="7" spans="1:3">
      <c r="A7" s="54" t="s">
        <v>241</v>
      </c>
      <c r="B7" s="54" t="s">
        <v>242</v>
      </c>
      <c r="C7" s="56" t="s">
        <v>261</v>
      </c>
    </row>
    <row r="8" spans="1:3">
      <c r="A8" s="56" t="s">
        <v>243</v>
      </c>
      <c r="B8" s="56" t="s">
        <v>244</v>
      </c>
      <c r="C8" s="56"/>
    </row>
    <row r="9" spans="1:3">
      <c r="A9" s="56" t="s">
        <v>245</v>
      </c>
      <c r="B9" s="56" t="s">
        <v>246</v>
      </c>
      <c r="C9" s="56"/>
    </row>
    <row r="10" spans="1:3">
      <c r="A10" s="56" t="s">
        <v>247</v>
      </c>
      <c r="B10" s="56" t="s">
        <v>248</v>
      </c>
      <c r="C10" s="56"/>
    </row>
    <row r="11" spans="1:3">
      <c r="A11" s="56" t="s">
        <v>249</v>
      </c>
      <c r="B11" s="56" t="s">
        <v>250</v>
      </c>
      <c r="C11" s="56"/>
    </row>
    <row r="12" spans="1:3">
      <c r="A12" s="56" t="s">
        <v>251</v>
      </c>
      <c r="B12" s="56" t="s">
        <v>252</v>
      </c>
      <c r="C12" s="56"/>
    </row>
    <row r="13" spans="1:3">
      <c r="A13" s="56" t="s">
        <v>253</v>
      </c>
      <c r="B13" s="56" t="s">
        <v>254</v>
      </c>
      <c r="C13" s="56"/>
    </row>
    <row r="14" spans="1:3">
      <c r="A14" s="56" t="s">
        <v>255</v>
      </c>
      <c r="B14" s="56" t="s">
        <v>256</v>
      </c>
      <c r="C14" s="56"/>
    </row>
    <row r="15" spans="1:3">
      <c r="B15" s="56" t="s">
        <v>257</v>
      </c>
    </row>
    <row r="16" spans="1:3">
      <c r="B16" s="56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B08C-6271-4A6F-8638-1241F4F4188D}">
  <dimension ref="A1:BG206"/>
  <sheetViews>
    <sheetView topLeftCell="F75" zoomScaleNormal="100" workbookViewId="0">
      <selection activeCell="N104" sqref="N104"/>
    </sheetView>
  </sheetViews>
  <sheetFormatPr defaultRowHeight="14.4"/>
  <cols>
    <col min="1" max="1" width="30.77734375" customWidth="1"/>
    <col min="2" max="2" width="16.77734375" customWidth="1"/>
    <col min="3" max="4" width="16.109375" bestFit="1" customWidth="1"/>
    <col min="5" max="5" width="15.5546875" customWidth="1"/>
    <col min="6" max="6" width="35.21875" customWidth="1"/>
    <col min="7" max="9" width="16.109375" bestFit="1" customWidth="1"/>
    <col min="10" max="10" width="15.77734375" customWidth="1"/>
    <col min="11" max="11" width="32.33203125" customWidth="1"/>
    <col min="12" max="12" width="16.6640625" customWidth="1"/>
    <col min="13" max="14" width="14.88671875" customWidth="1"/>
    <col min="15" max="15" width="16.6640625" customWidth="1"/>
    <col min="16" max="16" width="37.21875" customWidth="1"/>
    <col min="17" max="17" width="18.109375" bestFit="1" customWidth="1"/>
    <col min="18" max="19" width="15.21875" bestFit="1" customWidth="1"/>
    <col min="20" max="20" width="15" customWidth="1"/>
    <col min="21" max="21" width="28.5546875" customWidth="1"/>
    <col min="22" max="22" width="18.109375" bestFit="1" customWidth="1"/>
    <col min="23" max="23" width="16.109375" bestFit="1" customWidth="1"/>
    <col min="24" max="24" width="15.21875" bestFit="1" customWidth="1"/>
    <col min="26" max="26" width="29" customWidth="1"/>
    <col min="27" max="27" width="18.109375" bestFit="1" customWidth="1"/>
    <col min="28" max="29" width="15.21875" bestFit="1" customWidth="1"/>
    <col min="30" max="30" width="14.33203125" customWidth="1"/>
    <col min="31" max="31" width="28.5546875" customWidth="1"/>
    <col min="32" max="32" width="18.109375" bestFit="1" customWidth="1"/>
    <col min="33" max="33" width="16.109375" bestFit="1" customWidth="1"/>
    <col min="34" max="34" width="15.21875" bestFit="1" customWidth="1"/>
    <col min="36" max="36" width="32.109375" customWidth="1"/>
    <col min="37" max="39" width="16.109375" bestFit="1" customWidth="1"/>
    <col min="40" max="40" width="14.6640625" customWidth="1"/>
    <col min="41" max="41" width="31.21875" customWidth="1"/>
    <col min="42" max="44" width="16.109375" bestFit="1" customWidth="1"/>
    <col min="46" max="46" width="32.109375" customWidth="1"/>
    <col min="47" max="49" width="16.109375" bestFit="1" customWidth="1"/>
    <col min="50" max="50" width="14.6640625" customWidth="1"/>
    <col min="51" max="51" width="30.109375" customWidth="1"/>
    <col min="52" max="54" width="16.109375" bestFit="1" customWidth="1"/>
  </cols>
  <sheetData>
    <row r="1" spans="1:47" ht="25.8">
      <c r="A1" s="29" t="s">
        <v>33</v>
      </c>
    </row>
    <row r="2" spans="1:47">
      <c r="A2" s="1" t="s">
        <v>29</v>
      </c>
    </row>
    <row r="3" spans="1:47">
      <c r="A3" s="1" t="s">
        <v>23</v>
      </c>
    </row>
    <row r="4" spans="1:47">
      <c r="A4" t="s">
        <v>9</v>
      </c>
      <c r="B4" s="8">
        <v>298.14999999999998</v>
      </c>
      <c r="C4" t="s">
        <v>13</v>
      </c>
    </row>
    <row r="5" spans="1:47">
      <c r="A5" t="s">
        <v>10</v>
      </c>
      <c r="B5" s="9">
        <v>6.6260799999999997E-34</v>
      </c>
      <c r="C5" t="s">
        <v>14</v>
      </c>
    </row>
    <row r="6" spans="1:47">
      <c r="A6" t="s">
        <v>11</v>
      </c>
      <c r="B6" s="9">
        <v>1.3806999999999999E-23</v>
      </c>
      <c r="C6" t="s">
        <v>15</v>
      </c>
      <c r="K6" s="113"/>
    </row>
    <row r="7" spans="1:47">
      <c r="A7" t="s">
        <v>20</v>
      </c>
      <c r="B7" s="9">
        <v>1.9858779999999999E-3</v>
      </c>
      <c r="C7" t="s">
        <v>21</v>
      </c>
    </row>
    <row r="8" spans="1:47">
      <c r="A8" t="s">
        <v>17</v>
      </c>
      <c r="B8" s="9">
        <v>6.0221E+23</v>
      </c>
      <c r="C8" t="s">
        <v>18</v>
      </c>
    </row>
    <row r="9" spans="1:47">
      <c r="A9" t="s">
        <v>12</v>
      </c>
      <c r="B9" s="8">
        <v>101325</v>
      </c>
      <c r="C9" t="s">
        <v>16</v>
      </c>
    </row>
    <row r="10" spans="1:47" ht="16.2">
      <c r="A10" t="s">
        <v>19</v>
      </c>
      <c r="B10" s="9">
        <v>6.02E+20</v>
      </c>
      <c r="C10" t="s">
        <v>22</v>
      </c>
    </row>
    <row r="11" spans="1:47">
      <c r="B11" s="9"/>
    </row>
    <row r="12" spans="1:47">
      <c r="A12" s="1" t="s">
        <v>30</v>
      </c>
    </row>
    <row r="13" spans="1:47" s="17" customFormat="1">
      <c r="A13" s="17" t="s">
        <v>25</v>
      </c>
    </row>
    <row r="14" spans="1:47">
      <c r="A14" s="28" t="s">
        <v>32</v>
      </c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7">
      <c r="A15" s="1" t="s">
        <v>35</v>
      </c>
      <c r="F15" s="36" t="s">
        <v>190</v>
      </c>
      <c r="K15" s="36" t="s">
        <v>190</v>
      </c>
      <c r="L15" s="11"/>
      <c r="M15" s="11"/>
      <c r="N15" s="11"/>
      <c r="O15" s="11"/>
      <c r="P15" s="36" t="s">
        <v>190</v>
      </c>
      <c r="Q15" s="11"/>
      <c r="R15" s="11"/>
      <c r="S15" s="11"/>
      <c r="T15" s="11"/>
      <c r="U15" s="10"/>
      <c r="V15" s="11"/>
      <c r="W15" s="11"/>
      <c r="X15" s="11"/>
      <c r="Y15" s="11"/>
      <c r="Z15" s="10"/>
      <c r="AA15" s="11"/>
      <c r="AB15" s="11"/>
      <c r="AC15" s="11"/>
      <c r="AD15" s="11"/>
      <c r="AE15" s="10"/>
      <c r="AF15" s="11"/>
      <c r="AG15" s="11"/>
      <c r="AH15" s="11"/>
      <c r="AI15" s="11"/>
      <c r="AJ15" s="10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s="16" customFormat="1" ht="15.6">
      <c r="A16" s="1" t="s">
        <v>34</v>
      </c>
      <c r="B16" s="5" t="s">
        <v>8</v>
      </c>
      <c r="C16" s="5" t="s">
        <v>0</v>
      </c>
      <c r="D16" s="5" t="s">
        <v>1</v>
      </c>
      <c r="F16" s="1" t="s">
        <v>84</v>
      </c>
      <c r="K16" s="1" t="s">
        <v>404</v>
      </c>
      <c r="L16" s="25"/>
      <c r="M16" s="25"/>
      <c r="N16" s="25"/>
      <c r="O16" s="25"/>
      <c r="P16" s="1" t="s">
        <v>87</v>
      </c>
      <c r="Q16" s="25"/>
      <c r="R16" s="25"/>
      <c r="S16" s="25"/>
      <c r="T16" s="25"/>
      <c r="U16" s="24"/>
      <c r="V16" s="25"/>
      <c r="W16" s="25"/>
      <c r="X16" s="25"/>
      <c r="Y16" s="25"/>
      <c r="Z16" s="24"/>
      <c r="AA16" s="25"/>
      <c r="AB16" s="25"/>
      <c r="AC16" s="25"/>
      <c r="AD16" s="25"/>
      <c r="AE16" s="24"/>
      <c r="AF16" s="25"/>
      <c r="AG16" s="25"/>
      <c r="AH16" s="25"/>
      <c r="AI16" s="25"/>
      <c r="AJ16" s="24"/>
      <c r="AK16" s="25"/>
      <c r="AL16" s="25"/>
      <c r="AM16" s="25"/>
      <c r="AN16" s="25"/>
      <c r="AO16" s="24"/>
      <c r="AP16" s="25"/>
      <c r="AQ16" s="25"/>
      <c r="AR16" s="25"/>
      <c r="AS16" s="25"/>
      <c r="AT16" s="24"/>
      <c r="AU16" s="25"/>
    </row>
    <row r="17" spans="1:49" ht="15.6">
      <c r="A17" t="s">
        <v>36</v>
      </c>
      <c r="B17" s="31">
        <v>-766.90109500000005</v>
      </c>
      <c r="C17" s="2">
        <v>-766.88402499999995</v>
      </c>
      <c r="D17" s="2">
        <v>-766.94358499999998</v>
      </c>
      <c r="E17" s="1"/>
      <c r="G17" s="5" t="s">
        <v>8</v>
      </c>
      <c r="H17" s="5" t="s">
        <v>0</v>
      </c>
      <c r="I17" s="5" t="s">
        <v>1</v>
      </c>
      <c r="L17" s="5" t="s">
        <v>8</v>
      </c>
      <c r="M17" s="5" t="s">
        <v>0</v>
      </c>
      <c r="N17" s="5" t="s">
        <v>1</v>
      </c>
      <c r="O17" s="12"/>
      <c r="Q17" s="5" t="s">
        <v>8</v>
      </c>
      <c r="R17" s="5" t="s">
        <v>0</v>
      </c>
      <c r="S17" s="5" t="s">
        <v>1</v>
      </c>
      <c r="T17" s="12"/>
      <c r="U17" s="11"/>
      <c r="V17" s="12"/>
      <c r="W17" s="12"/>
      <c r="X17" s="12"/>
      <c r="Y17" s="11"/>
      <c r="Z17" s="11"/>
      <c r="AA17" s="12"/>
      <c r="AB17" s="12"/>
      <c r="AC17" s="12"/>
      <c r="AD17" s="12"/>
      <c r="AE17" s="11"/>
      <c r="AF17" s="12"/>
      <c r="AG17" s="12"/>
      <c r="AH17" s="12"/>
      <c r="AI17" s="11"/>
      <c r="AJ17" s="11"/>
      <c r="AK17" s="12"/>
      <c r="AL17" s="12"/>
      <c r="AM17" s="12"/>
      <c r="AN17" s="12"/>
      <c r="AO17" s="11"/>
      <c r="AP17" s="12"/>
      <c r="AQ17" s="12"/>
      <c r="AR17" s="12"/>
      <c r="AS17" s="11"/>
      <c r="AT17" s="11"/>
      <c r="AU17" s="12"/>
      <c r="AV17" s="5"/>
      <c r="AW17" s="5"/>
    </row>
    <row r="18" spans="1:49">
      <c r="A18" t="s">
        <v>37</v>
      </c>
      <c r="B18" s="2">
        <v>-766.89546399999995</v>
      </c>
      <c r="C18" s="2">
        <v>-766.87829999999997</v>
      </c>
      <c r="D18" s="2">
        <v>-766.93869099999995</v>
      </c>
      <c r="E18" s="4"/>
      <c r="F18" t="s">
        <v>176</v>
      </c>
      <c r="G18" s="2">
        <v>-766.90159500000004</v>
      </c>
      <c r="H18" s="2">
        <v>-766.88447199999996</v>
      </c>
      <c r="I18" s="2">
        <v>-766.94473100000005</v>
      </c>
      <c r="K18" t="s">
        <v>176</v>
      </c>
      <c r="L18" s="2">
        <v>-766.90159500000004</v>
      </c>
      <c r="M18" s="2">
        <v>-766.88447199999996</v>
      </c>
      <c r="N18" s="2">
        <v>-766.94473100000005</v>
      </c>
      <c r="O18" s="13"/>
      <c r="P18" t="s">
        <v>176</v>
      </c>
      <c r="Q18" s="2">
        <v>-766.90159500000004</v>
      </c>
      <c r="R18" s="2">
        <v>-766.88447199999996</v>
      </c>
      <c r="S18" s="2">
        <v>-766.94473100000005</v>
      </c>
      <c r="T18" s="13"/>
      <c r="U18" s="11"/>
      <c r="V18" s="13"/>
      <c r="W18" s="13"/>
      <c r="X18" s="13"/>
      <c r="Y18" s="10"/>
      <c r="Z18" s="11"/>
      <c r="AA18" s="13"/>
      <c r="AB18" s="13"/>
      <c r="AC18" s="13"/>
      <c r="AD18" s="13"/>
      <c r="AE18" s="11"/>
      <c r="AF18" s="13"/>
      <c r="AG18" s="13"/>
      <c r="AH18" s="13"/>
      <c r="AI18" s="10"/>
      <c r="AJ18" s="11"/>
      <c r="AK18" s="13"/>
      <c r="AL18" s="13"/>
      <c r="AM18" s="13"/>
      <c r="AN18" s="13"/>
      <c r="AO18" s="11"/>
      <c r="AP18" s="13"/>
      <c r="AQ18" s="13"/>
      <c r="AR18" s="13"/>
      <c r="AS18" s="11"/>
      <c r="AT18" s="11"/>
      <c r="AU18" s="13"/>
      <c r="AV18" s="2"/>
      <c r="AW18" s="2"/>
    </row>
    <row r="19" spans="1:49">
      <c r="A19" t="s">
        <v>38</v>
      </c>
      <c r="B19" s="2">
        <v>-766.89816599999995</v>
      </c>
      <c r="C19" s="2">
        <v>-766.88084800000001</v>
      </c>
      <c r="D19" s="2">
        <v>-766.94196899999997</v>
      </c>
      <c r="F19" t="s">
        <v>26</v>
      </c>
      <c r="G19" s="2">
        <v>-766.87317299999995</v>
      </c>
      <c r="H19" s="2">
        <v>-766.85725600000001</v>
      </c>
      <c r="I19" s="2">
        <v>-766.91360499999996</v>
      </c>
      <c r="J19" s="1" t="s">
        <v>83</v>
      </c>
      <c r="K19" t="s">
        <v>26</v>
      </c>
      <c r="L19" s="2">
        <v>-766.86580200000003</v>
      </c>
      <c r="M19" s="2">
        <v>-766.85025800000005</v>
      </c>
      <c r="N19" s="2">
        <v>-766.90569500000004</v>
      </c>
      <c r="O19" s="13"/>
      <c r="P19" t="s">
        <v>26</v>
      </c>
      <c r="Q19" s="2">
        <v>-766.86619800000005</v>
      </c>
      <c r="R19" s="2">
        <v>-766.85084600000005</v>
      </c>
      <c r="S19" s="2">
        <v>-766.90556900000001</v>
      </c>
      <c r="T19" s="1" t="s">
        <v>83</v>
      </c>
      <c r="U19" s="11"/>
      <c r="V19" s="13"/>
      <c r="W19" s="13"/>
      <c r="X19" s="13"/>
      <c r="Y19" s="11"/>
      <c r="Z19" s="11"/>
      <c r="AA19" s="13"/>
      <c r="AB19" s="13"/>
      <c r="AC19" s="13"/>
      <c r="AD19" s="13"/>
      <c r="AE19" s="11"/>
      <c r="AF19" s="13"/>
      <c r="AG19" s="13"/>
      <c r="AH19" s="13"/>
      <c r="AI19" s="11"/>
      <c r="AJ19" s="11"/>
      <c r="AK19" s="13"/>
      <c r="AL19" s="13"/>
      <c r="AM19" s="13"/>
      <c r="AN19" s="13"/>
      <c r="AO19" s="11"/>
      <c r="AP19" s="13"/>
      <c r="AQ19" s="13"/>
      <c r="AR19" s="13"/>
      <c r="AS19" s="11"/>
      <c r="AT19" s="11"/>
      <c r="AU19" s="13"/>
      <c r="AV19" s="2"/>
      <c r="AW19" s="2"/>
    </row>
    <row r="20" spans="1:49">
      <c r="A20" t="s">
        <v>39</v>
      </c>
      <c r="B20" s="2">
        <v>-766.89933399999995</v>
      </c>
      <c r="C20" s="2">
        <v>-766.88211999999999</v>
      </c>
      <c r="D20" s="2">
        <v>-766.94252800000004</v>
      </c>
      <c r="F20" t="s">
        <v>127</v>
      </c>
      <c r="G20" s="2">
        <v>-766.86918700000001</v>
      </c>
      <c r="H20" s="2">
        <v>-766.85296100000005</v>
      </c>
      <c r="I20" s="2">
        <v>-766.91028800000004</v>
      </c>
      <c r="K20" t="s">
        <v>127</v>
      </c>
      <c r="L20" s="2" t="s">
        <v>155</v>
      </c>
      <c r="M20" s="2"/>
      <c r="N20" s="2"/>
      <c r="O20" s="13"/>
      <c r="P20" t="s">
        <v>127</v>
      </c>
      <c r="Q20" s="2">
        <v>-766.86181099999999</v>
      </c>
      <c r="R20" s="2">
        <v>-766.84616900000003</v>
      </c>
      <c r="S20" s="2">
        <v>-766.90180599999997</v>
      </c>
      <c r="T20" s="13"/>
      <c r="U20" s="11"/>
      <c r="V20" s="13"/>
      <c r="W20" s="13"/>
      <c r="X20" s="13"/>
      <c r="Y20" s="11"/>
      <c r="Z20" s="11"/>
      <c r="AA20" s="13"/>
      <c r="AB20" s="13"/>
      <c r="AC20" s="13"/>
      <c r="AD20" s="13"/>
      <c r="AE20" s="11"/>
      <c r="AF20" s="13"/>
      <c r="AG20" s="13"/>
      <c r="AH20" s="13"/>
      <c r="AI20" s="11"/>
      <c r="AJ20" s="11"/>
      <c r="AK20" s="13"/>
      <c r="AL20" s="13"/>
      <c r="AM20" s="13"/>
      <c r="AN20" s="13"/>
      <c r="AO20" s="11"/>
      <c r="AP20" s="13"/>
      <c r="AQ20" s="13"/>
      <c r="AR20" s="13"/>
      <c r="AS20" s="11"/>
      <c r="AT20" s="11"/>
      <c r="AU20" s="13"/>
      <c r="AV20" s="2"/>
      <c r="AW20" s="2"/>
    </row>
    <row r="21" spans="1:49">
      <c r="A21" t="s">
        <v>74</v>
      </c>
      <c r="B21" s="2">
        <v>-766.90083700000002</v>
      </c>
      <c r="C21" s="2">
        <v>-766.88359300000002</v>
      </c>
      <c r="D21" s="2">
        <v>-766.94386799999995</v>
      </c>
      <c r="F21" t="s">
        <v>85</v>
      </c>
      <c r="G21" s="2">
        <v>-766.88425800000005</v>
      </c>
      <c r="H21" s="2">
        <v>-766.86636699999997</v>
      </c>
      <c r="I21" s="2">
        <v>-766.92797399999995</v>
      </c>
      <c r="J21" s="1" t="s">
        <v>83</v>
      </c>
      <c r="K21" t="s">
        <v>86</v>
      </c>
      <c r="L21" s="2">
        <v>-766.88975400000004</v>
      </c>
      <c r="M21" s="2">
        <v>-766.87407299999995</v>
      </c>
      <c r="N21" s="2">
        <v>-766.92975200000001</v>
      </c>
      <c r="P21" t="s">
        <v>88</v>
      </c>
      <c r="Q21" s="2">
        <v>-766.88856299999998</v>
      </c>
      <c r="R21" s="2">
        <v>-766.87277400000005</v>
      </c>
      <c r="S21" s="2">
        <v>-766.92833299999995</v>
      </c>
      <c r="T21" s="13"/>
      <c r="U21" s="11"/>
      <c r="V21" s="14"/>
      <c r="W21" s="14"/>
      <c r="X21" s="14"/>
      <c r="Y21" s="11"/>
      <c r="Z21" s="11"/>
      <c r="AA21" s="14"/>
      <c r="AB21" s="14"/>
      <c r="AC21" s="14"/>
      <c r="AD21" s="13"/>
      <c r="AE21" s="11"/>
      <c r="AF21" s="14"/>
      <c r="AG21" s="14"/>
      <c r="AH21" s="14"/>
      <c r="AI21" s="11"/>
      <c r="AJ21" s="11"/>
      <c r="AK21" s="14"/>
      <c r="AL21" s="14"/>
      <c r="AM21" s="14"/>
      <c r="AN21" s="13"/>
      <c r="AO21" s="11"/>
      <c r="AP21" s="13"/>
      <c r="AQ21" s="13"/>
      <c r="AR21" s="13"/>
      <c r="AS21" s="11"/>
      <c r="AT21" s="11"/>
      <c r="AU21" s="13"/>
      <c r="AV21" s="2"/>
      <c r="AW21" s="2"/>
    </row>
    <row r="22" spans="1:49">
      <c r="A22" t="s">
        <v>118</v>
      </c>
      <c r="B22" s="2">
        <v>-766.89839400000005</v>
      </c>
      <c r="C22" s="2">
        <v>-766.88110800000004</v>
      </c>
      <c r="D22" s="2">
        <v>-766.94196299999999</v>
      </c>
      <c r="F22" t="s">
        <v>128</v>
      </c>
      <c r="G22" s="2">
        <v>-766.87777000000006</v>
      </c>
      <c r="H22" s="2">
        <v>-766.85979099999997</v>
      </c>
      <c r="I22" s="2">
        <v>-766.92204400000003</v>
      </c>
      <c r="K22" t="s">
        <v>131</v>
      </c>
      <c r="L22" s="2">
        <v>-766.88548700000001</v>
      </c>
      <c r="M22" s="2">
        <v>-766.86876800000005</v>
      </c>
      <c r="N22" s="2">
        <v>-766.92773399999999</v>
      </c>
      <c r="O22" s="13"/>
      <c r="P22" t="s">
        <v>134</v>
      </c>
      <c r="Q22" s="2">
        <v>-766.88872700000002</v>
      </c>
      <c r="R22" s="2">
        <v>-766.87288000000001</v>
      </c>
      <c r="S22" s="2">
        <v>-766.92876000000001</v>
      </c>
      <c r="T22" s="1" t="s">
        <v>83</v>
      </c>
      <c r="U22" s="11"/>
      <c r="V22" s="7"/>
      <c r="W22" s="7"/>
      <c r="X22" s="7"/>
      <c r="Y22" s="11"/>
      <c r="Z22" s="11"/>
      <c r="AA22" s="7"/>
      <c r="AB22" s="7"/>
      <c r="AC22" s="7"/>
      <c r="AD22" s="13"/>
      <c r="AE22" s="11"/>
      <c r="AF22" s="7"/>
      <c r="AG22" s="7"/>
      <c r="AH22" s="7"/>
      <c r="AI22" s="11"/>
      <c r="AJ22" s="11"/>
      <c r="AK22" s="7"/>
      <c r="AL22" s="7"/>
      <c r="AM22" s="7"/>
      <c r="AN22" s="13"/>
      <c r="AO22" s="11"/>
      <c r="AP22" s="13"/>
      <c r="AQ22" s="13"/>
      <c r="AR22" s="13"/>
      <c r="AS22" s="11"/>
      <c r="AT22" s="11"/>
      <c r="AU22" s="13"/>
      <c r="AV22" s="2"/>
      <c r="AW22" s="2"/>
    </row>
    <row r="23" spans="1:49">
      <c r="A23" s="1" t="s">
        <v>161</v>
      </c>
      <c r="B23" s="34">
        <v>-766.90020300000003</v>
      </c>
      <c r="C23" s="34">
        <v>-766.88350600000001</v>
      </c>
      <c r="D23" s="34">
        <v>-766.94200599999999</v>
      </c>
      <c r="F23" s="1" t="s">
        <v>165</v>
      </c>
      <c r="G23" s="34">
        <v>-766.884139</v>
      </c>
      <c r="H23" s="34">
        <v>-766.86630300000002</v>
      </c>
      <c r="I23" s="34">
        <v>-766.92773399999999</v>
      </c>
      <c r="K23" t="s">
        <v>153</v>
      </c>
      <c r="L23" s="2">
        <v>-766.88928699999997</v>
      </c>
      <c r="M23" s="2">
        <v>-766.873245</v>
      </c>
      <c r="N23" s="2">
        <v>-766.93059300000004</v>
      </c>
      <c r="O23" s="13"/>
      <c r="P23" s="1" t="s">
        <v>164</v>
      </c>
      <c r="Q23" s="34">
        <v>-766.88671699999998</v>
      </c>
      <c r="R23" s="34">
        <v>-766.870814</v>
      </c>
      <c r="S23" s="34">
        <v>-766.92682000000002</v>
      </c>
      <c r="T23" s="1"/>
      <c r="U23" s="11"/>
      <c r="V23" s="14"/>
      <c r="W23" s="14"/>
      <c r="X23" s="14"/>
      <c r="Y23" s="11"/>
      <c r="Z23" s="11"/>
      <c r="AA23" s="14"/>
      <c r="AB23" s="14"/>
      <c r="AC23" s="14"/>
      <c r="AD23" s="13"/>
      <c r="AE23" s="11"/>
      <c r="AF23" s="14"/>
      <c r="AG23" s="14"/>
      <c r="AH23" s="14"/>
      <c r="AI23" s="11"/>
      <c r="AJ23" s="11"/>
      <c r="AK23" s="14"/>
      <c r="AL23" s="14"/>
      <c r="AM23" s="14"/>
      <c r="AN23" s="13"/>
      <c r="AO23" s="11"/>
      <c r="AP23" s="14"/>
      <c r="AQ23" s="14"/>
      <c r="AR23" s="14"/>
      <c r="AS23" s="11"/>
      <c r="AT23" s="11"/>
      <c r="AU23" s="14"/>
      <c r="AV23" s="3"/>
      <c r="AW23" s="3"/>
    </row>
    <row r="24" spans="1:49" ht="16.8">
      <c r="A24" t="s">
        <v>163</v>
      </c>
      <c r="B24" s="2">
        <v>-766.90054999999995</v>
      </c>
      <c r="C24" s="2">
        <v>-766.88339199999996</v>
      </c>
      <c r="D24" s="2">
        <v>-766.94375600000001</v>
      </c>
      <c r="G24" s="3" t="s">
        <v>2</v>
      </c>
      <c r="H24" s="3" t="s">
        <v>4</v>
      </c>
      <c r="I24" s="3" t="s">
        <v>5</v>
      </c>
      <c r="J24" s="6"/>
      <c r="K24" s="1" t="s">
        <v>162</v>
      </c>
      <c r="L24" s="34">
        <v>-766.89538200000004</v>
      </c>
      <c r="M24" s="34">
        <v>-766.87925600000005</v>
      </c>
      <c r="N24" s="34">
        <v>-766.93614500000001</v>
      </c>
      <c r="O24" s="1" t="s">
        <v>83</v>
      </c>
      <c r="P24" s="1" t="s">
        <v>154</v>
      </c>
      <c r="Q24" s="34">
        <v>-766.86505399999999</v>
      </c>
      <c r="R24" s="34">
        <v>-766.84961099999998</v>
      </c>
      <c r="S24" s="34">
        <v>-766.90472899999997</v>
      </c>
      <c r="T24" s="1"/>
      <c r="U24" s="11"/>
      <c r="V24" s="7"/>
      <c r="W24" s="7"/>
      <c r="X24" s="7"/>
      <c r="Y24" s="11"/>
      <c r="Z24" s="11"/>
      <c r="AA24" s="7"/>
      <c r="AB24" s="7"/>
      <c r="AC24" s="7"/>
      <c r="AD24" s="13"/>
      <c r="AE24" s="11"/>
      <c r="AF24" s="7"/>
      <c r="AG24" s="7"/>
      <c r="AH24" s="7"/>
      <c r="AI24" s="11"/>
      <c r="AJ24" s="11"/>
      <c r="AK24" s="7"/>
      <c r="AL24" s="7"/>
      <c r="AM24" s="7"/>
      <c r="AN24" s="13"/>
      <c r="AO24" s="11"/>
      <c r="AP24" s="7"/>
      <c r="AQ24" s="7"/>
      <c r="AR24" s="7"/>
      <c r="AS24" s="23"/>
      <c r="AT24" s="11"/>
      <c r="AU24" s="7"/>
      <c r="AV24" s="4"/>
      <c r="AW24" s="4"/>
    </row>
    <row r="25" spans="1:49" ht="16.8">
      <c r="A25" t="s">
        <v>176</v>
      </c>
      <c r="B25" s="2">
        <v>-766.90159500000004</v>
      </c>
      <c r="C25" s="2">
        <v>-766.88447199999996</v>
      </c>
      <c r="D25" s="2">
        <v>-766.94473100000005</v>
      </c>
      <c r="E25" s="1" t="s">
        <v>83</v>
      </c>
      <c r="G25" s="4">
        <f>(G19-G18)*627.51</f>
        <v>17.835089220057373</v>
      </c>
      <c r="H25" s="4">
        <f>(H19-H18)*627.51</f>
        <v>17.07831215997054</v>
      </c>
      <c r="I25" s="20">
        <f>(I19-I18)*627.51</f>
        <v>19.531876260053775</v>
      </c>
      <c r="K25" s="1" t="s">
        <v>154</v>
      </c>
      <c r="L25" s="34">
        <v>-766.87938699999995</v>
      </c>
      <c r="M25" s="34">
        <v>-766.86362399999996</v>
      </c>
      <c r="N25" s="34">
        <v>-766.91974100000004</v>
      </c>
      <c r="O25" s="1" t="s">
        <v>83</v>
      </c>
      <c r="Q25" s="3" t="s">
        <v>2</v>
      </c>
      <c r="R25" s="3" t="s">
        <v>4</v>
      </c>
      <c r="S25" s="3" t="s">
        <v>5</v>
      </c>
      <c r="T25" s="13"/>
      <c r="U25" s="11"/>
      <c r="V25" s="7"/>
      <c r="W25" s="26"/>
      <c r="X25" s="22"/>
      <c r="Y25" s="23"/>
      <c r="Z25" s="11"/>
      <c r="AA25" s="7"/>
      <c r="AB25" s="26"/>
      <c r="AC25" s="22"/>
      <c r="AD25" s="14"/>
      <c r="AE25" s="11"/>
      <c r="AF25" s="7"/>
      <c r="AG25" s="26"/>
      <c r="AH25" s="22"/>
      <c r="AI25" s="23"/>
      <c r="AJ25" s="11"/>
      <c r="AK25" s="7"/>
      <c r="AL25" s="26"/>
      <c r="AM25" s="22"/>
      <c r="AN25" s="14"/>
      <c r="AO25" s="11"/>
      <c r="AP25" s="14"/>
      <c r="AQ25" s="14"/>
      <c r="AR25" s="14"/>
      <c r="AS25" s="11"/>
      <c r="AT25" s="11"/>
      <c r="AU25" s="14"/>
      <c r="AV25" s="3"/>
      <c r="AW25" s="3"/>
    </row>
    <row r="26" spans="1:49" ht="16.8">
      <c r="A26" t="s">
        <v>177</v>
      </c>
      <c r="B26" s="2">
        <v>-766.90098399999999</v>
      </c>
      <c r="C26" s="2">
        <v>-766.88390400000003</v>
      </c>
      <c r="D26" s="2">
        <v>-766.94404399999996</v>
      </c>
      <c r="E26" s="4">
        <v>0</v>
      </c>
      <c r="G26" s="3" t="s">
        <v>3</v>
      </c>
      <c r="H26" s="3" t="s">
        <v>7</v>
      </c>
      <c r="I26" s="3" t="s">
        <v>6</v>
      </c>
      <c r="L26" s="3" t="s">
        <v>2</v>
      </c>
      <c r="M26" s="3" t="s">
        <v>4</v>
      </c>
      <c r="N26" s="3" t="s">
        <v>5</v>
      </c>
      <c r="O26" s="13"/>
      <c r="Q26" s="4">
        <f>(Q19-Q18)*627.51</f>
        <v>22.211971469993109</v>
      </c>
      <c r="R26" s="4">
        <f>(R19-R18)*627.51</f>
        <v>21.100651259945337</v>
      </c>
      <c r="S26" s="20">
        <f>(S19-S18)*627.51</f>
        <v>24.574546620020708</v>
      </c>
      <c r="T26" s="13"/>
      <c r="U26" s="11"/>
      <c r="V26" s="7"/>
      <c r="W26" s="26"/>
      <c r="X26" s="22"/>
      <c r="Y26" s="11"/>
      <c r="Z26" s="11"/>
      <c r="AA26" s="7"/>
      <c r="AB26" s="26"/>
      <c r="AC26" s="22"/>
      <c r="AD26" s="7"/>
      <c r="AE26" s="11"/>
      <c r="AF26" s="7"/>
      <c r="AG26" s="26"/>
      <c r="AH26" s="22"/>
      <c r="AI26" s="11"/>
      <c r="AJ26" s="11"/>
      <c r="AK26" s="7"/>
      <c r="AL26" s="26"/>
      <c r="AM26" s="22"/>
      <c r="AN26" s="7"/>
      <c r="AO26" s="11"/>
      <c r="AP26" s="7"/>
      <c r="AQ26" s="7"/>
      <c r="AR26" s="7"/>
      <c r="AS26" s="11"/>
      <c r="AT26" s="11"/>
      <c r="AU26" s="7"/>
      <c r="AV26" s="4"/>
      <c r="AW26" s="4"/>
    </row>
    <row r="27" spans="1:49" ht="15.6">
      <c r="A27" t="s">
        <v>178</v>
      </c>
      <c r="B27" s="2">
        <v>-766.89844700000003</v>
      </c>
      <c r="C27" s="2">
        <v>-766.88133800000003</v>
      </c>
      <c r="D27" s="2">
        <v>-766.94202499999994</v>
      </c>
      <c r="G27" s="4">
        <f>(G21-G18)*627.51</f>
        <v>10.879140869998567</v>
      </c>
      <c r="H27" s="4">
        <f>(H21-H18)*627.51</f>
        <v>11.36106854999459</v>
      </c>
      <c r="I27" s="4">
        <f>(I21-I18)*627.51</f>
        <v>10.51518507006139</v>
      </c>
      <c r="L27" s="4">
        <f>(L25-L18)*627.51</f>
        <v>13.935742080057409</v>
      </c>
      <c r="M27" s="4">
        <f t="shared" ref="M27:N27" si="0">(M25-M18)*627.51</f>
        <v>13.082328480000543</v>
      </c>
      <c r="N27" s="20">
        <f t="shared" si="0"/>
        <v>15.681474900001575</v>
      </c>
      <c r="O27" s="14"/>
      <c r="Q27" s="3" t="s">
        <v>3</v>
      </c>
      <c r="R27" s="3" t="s">
        <v>7</v>
      </c>
      <c r="S27" s="3" t="s">
        <v>6</v>
      </c>
      <c r="T27" s="14"/>
      <c r="U27" s="11"/>
      <c r="V27" s="14"/>
      <c r="W27" s="14"/>
      <c r="X27" s="14"/>
      <c r="Y27" s="11"/>
      <c r="Z27" s="11"/>
      <c r="AA27" s="7"/>
      <c r="AB27" s="26"/>
      <c r="AC27" s="22"/>
      <c r="AD27" s="7"/>
      <c r="AE27" s="11"/>
      <c r="AF27" s="7"/>
      <c r="AG27" s="26"/>
      <c r="AH27" s="22"/>
      <c r="AI27" s="11"/>
      <c r="AJ27" s="11"/>
      <c r="AK27" s="7"/>
      <c r="AL27" s="7"/>
      <c r="AM27" s="7"/>
      <c r="AN27" s="11"/>
      <c r="AO27" s="11"/>
      <c r="AP27" s="7"/>
      <c r="AQ27" s="7"/>
      <c r="AR27" s="7"/>
      <c r="AS27" s="11"/>
      <c r="AT27" s="11"/>
      <c r="AU27" s="7"/>
      <c r="AV27" s="4"/>
      <c r="AW27" s="4"/>
    </row>
    <row r="28" spans="1:49" ht="16.8">
      <c r="A28" s="108" t="s">
        <v>465</v>
      </c>
      <c r="B28" s="109">
        <v>-766.89309300000002</v>
      </c>
      <c r="C28" s="109">
        <v>-766.87608999999998</v>
      </c>
      <c r="D28" s="109">
        <v>-766.936103</v>
      </c>
      <c r="G28" s="4"/>
      <c r="H28" s="114" t="s">
        <v>474</v>
      </c>
      <c r="I28" s="115">
        <f>($B$6*$B$4/$B$5)*EXP(-(I25)/($B$7*$B$4))</f>
        <v>2.9292153424957605E-2</v>
      </c>
      <c r="J28" s="7"/>
      <c r="L28" s="3" t="s">
        <v>3</v>
      </c>
      <c r="M28" s="3" t="s">
        <v>7</v>
      </c>
      <c r="N28" s="3" t="s">
        <v>6</v>
      </c>
      <c r="O28" s="7"/>
      <c r="Q28" s="4">
        <f>(Q22-Q18)*627.51</f>
        <v>8.0747986800162259</v>
      </c>
      <c r="R28" s="4">
        <f>(R22-R18)*627.51</f>
        <v>7.2740959199689579</v>
      </c>
      <c r="S28" s="4">
        <f>(S22-S18)*627.51</f>
        <v>10.021962210022545</v>
      </c>
      <c r="T28" s="7"/>
      <c r="U28" s="11"/>
      <c r="V28" s="11"/>
      <c r="W28" s="11"/>
      <c r="X28" s="11"/>
      <c r="Y28" s="11"/>
      <c r="Z28" s="11"/>
      <c r="AA28" s="14"/>
      <c r="AB28" s="14"/>
      <c r="AC28" s="14"/>
      <c r="AD28" s="7"/>
      <c r="AE28" s="11"/>
      <c r="AF28" s="7"/>
      <c r="AG28" s="26"/>
      <c r="AH28" s="22"/>
      <c r="AI28" s="27"/>
      <c r="AJ28" s="11"/>
      <c r="AK28" s="7"/>
      <c r="AL28" s="7"/>
      <c r="AM28" s="7"/>
      <c r="AN28" s="11"/>
      <c r="AO28" s="11"/>
      <c r="AP28" s="7"/>
      <c r="AQ28" s="7"/>
      <c r="AR28" s="7"/>
      <c r="AS28" s="11"/>
      <c r="AT28" s="11"/>
      <c r="AU28" s="7"/>
      <c r="AV28" s="4"/>
      <c r="AW28" s="4"/>
    </row>
    <row r="29" spans="1:49" s="11" customFormat="1" ht="16.8">
      <c r="A29" s="108" t="s">
        <v>468</v>
      </c>
      <c r="B29" s="109">
        <v>-766.89808400000004</v>
      </c>
      <c r="C29" s="109">
        <v>-766.88084300000003</v>
      </c>
      <c r="D29" s="109">
        <v>-766.94137799999999</v>
      </c>
      <c r="F29"/>
      <c r="G29" s="4"/>
      <c r="H29" s="21" t="s">
        <v>31</v>
      </c>
      <c r="I29" s="30">
        <v>0.95</v>
      </c>
      <c r="J29" s="7" t="s">
        <v>199</v>
      </c>
      <c r="K29"/>
      <c r="L29" s="4">
        <f>(L24-L18)*627.51</f>
        <v>3.8987196300015476</v>
      </c>
      <c r="M29" s="4">
        <f t="shared" ref="M29:N29" si="1">(M24-M18)*627.51</f>
        <v>3.273092159940294</v>
      </c>
      <c r="N29" s="4">
        <f t="shared" si="1"/>
        <v>5.3878008600229794</v>
      </c>
      <c r="O29" s="7"/>
      <c r="P29"/>
      <c r="Q29" s="4"/>
      <c r="R29" s="21" t="s">
        <v>24</v>
      </c>
      <c r="S29" s="30">
        <f>($B$6*$B$4/$B$5)*EXP(-(S26)/($B$7*$B$4))</f>
        <v>5.8611079277329742E-6</v>
      </c>
      <c r="T29" s="7"/>
      <c r="AA29" s="14"/>
      <c r="AB29" s="14"/>
      <c r="AC29" s="14"/>
      <c r="AD29" s="7"/>
      <c r="AF29" s="7"/>
      <c r="AG29" s="26"/>
      <c r="AH29" s="22"/>
      <c r="AI29" s="27"/>
      <c r="AK29" s="7"/>
      <c r="AL29" s="7"/>
      <c r="AM29" s="7"/>
      <c r="AP29" s="7"/>
      <c r="AQ29" s="7"/>
      <c r="AR29" s="7"/>
      <c r="AU29" s="7"/>
      <c r="AV29" s="7"/>
      <c r="AW29" s="7"/>
    </row>
    <row r="30" spans="1:49" s="11" customFormat="1" ht="16.8">
      <c r="B30" s="13"/>
      <c r="C30" s="111" t="s">
        <v>471</v>
      </c>
      <c r="D30" s="112">
        <f>627.51*(D29-D25)</f>
        <v>2.104041030038279</v>
      </c>
      <c r="G30" s="7"/>
      <c r="H30" s="114" t="s">
        <v>473</v>
      </c>
      <c r="I30" s="115">
        <v>2.8000000000000001E-2</v>
      </c>
      <c r="J30" s="116" t="s">
        <v>472</v>
      </c>
      <c r="K30"/>
      <c r="L30" s="4"/>
      <c r="M30" s="21" t="s">
        <v>24</v>
      </c>
      <c r="N30" s="33">
        <f>($B$6*$B$4/$B$5)*EXP(-(N27)/($B$7*$B$4))</f>
        <v>19.543393847730165</v>
      </c>
      <c r="O30" s="7"/>
      <c r="P30"/>
      <c r="Q30" s="4"/>
      <c r="R30" s="21"/>
      <c r="S30" s="22"/>
      <c r="T30" s="7"/>
      <c r="AA30" s="14"/>
      <c r="AB30" s="14"/>
      <c r="AC30" s="14"/>
      <c r="AD30" s="7"/>
      <c r="AF30" s="7"/>
      <c r="AG30" s="26"/>
      <c r="AH30" s="22"/>
      <c r="AI30" s="27"/>
      <c r="AK30" s="7"/>
      <c r="AL30" s="7"/>
      <c r="AM30" s="7"/>
      <c r="AP30" s="7"/>
      <c r="AQ30" s="7"/>
      <c r="AR30" s="7"/>
      <c r="AU30" s="7"/>
      <c r="AV30" s="7"/>
      <c r="AW30" s="7"/>
    </row>
    <row r="31" spans="1:49" s="11" customFormat="1">
      <c r="B31" s="13"/>
      <c r="C31" s="13"/>
      <c r="D31" s="13"/>
      <c r="G31" s="7"/>
      <c r="H31" s="26"/>
      <c r="I31" s="22"/>
      <c r="J31" s="7"/>
      <c r="L31" s="7"/>
      <c r="M31" s="26"/>
      <c r="N31" s="22"/>
      <c r="O31" s="7"/>
      <c r="Q31" s="7"/>
      <c r="R31" s="26"/>
      <c r="S31" s="22"/>
      <c r="T31" s="7"/>
      <c r="AA31" s="14"/>
      <c r="AB31" s="14"/>
      <c r="AC31" s="14"/>
      <c r="AD31" s="7"/>
      <c r="AF31" s="7"/>
      <c r="AG31" s="26"/>
      <c r="AH31" s="22"/>
      <c r="AI31" s="27"/>
      <c r="AK31" s="7"/>
      <c r="AL31" s="7"/>
      <c r="AM31" s="7"/>
      <c r="AP31" s="7"/>
      <c r="AQ31" s="7"/>
      <c r="AR31" s="7"/>
      <c r="AU31" s="7"/>
      <c r="AV31" s="7"/>
      <c r="AW31" s="7"/>
    </row>
    <row r="32" spans="1:49">
      <c r="F32" s="36" t="s">
        <v>190</v>
      </c>
      <c r="G32" s="4"/>
      <c r="H32" s="21"/>
      <c r="I32" s="22"/>
      <c r="K32" s="36" t="s">
        <v>190</v>
      </c>
      <c r="L32" s="4"/>
      <c r="M32" s="21"/>
      <c r="N32" s="22"/>
      <c r="O32" s="11"/>
      <c r="P32" s="36" t="s">
        <v>190</v>
      </c>
      <c r="Q32" s="7"/>
      <c r="R32" s="26"/>
      <c r="S32" s="22"/>
      <c r="T32" s="11"/>
      <c r="U32" s="11"/>
      <c r="V32" s="11"/>
      <c r="W32" s="11"/>
      <c r="X32" s="11"/>
      <c r="Y32" s="7"/>
      <c r="Z32" s="11"/>
      <c r="AA32" s="14"/>
      <c r="AB32" s="14"/>
      <c r="AC32" s="14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ht="15.6">
      <c r="A33" s="1" t="s">
        <v>49</v>
      </c>
      <c r="B33" s="5" t="s">
        <v>8</v>
      </c>
      <c r="C33" s="5" t="s">
        <v>0</v>
      </c>
      <c r="D33" s="5" t="s">
        <v>1</v>
      </c>
      <c r="F33" s="1" t="s">
        <v>84</v>
      </c>
      <c r="G33" s="16"/>
      <c r="H33" s="16"/>
      <c r="I33" s="16"/>
      <c r="K33" s="1" t="s">
        <v>90</v>
      </c>
      <c r="L33" s="16"/>
      <c r="M33" s="16"/>
      <c r="N33" s="16"/>
      <c r="O33" s="14"/>
      <c r="P33" s="1" t="s">
        <v>403</v>
      </c>
      <c r="Q33" s="16"/>
      <c r="R33" s="16"/>
      <c r="S33" s="16"/>
      <c r="T33" s="14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ht="15.6">
      <c r="A34" t="s">
        <v>40</v>
      </c>
      <c r="B34" s="31">
        <v>-766.89789299999995</v>
      </c>
      <c r="C34" s="2">
        <v>-766.88085599999999</v>
      </c>
      <c r="D34" s="2">
        <v>-766.94075599999996</v>
      </c>
      <c r="G34" s="5" t="s">
        <v>8</v>
      </c>
      <c r="H34" s="5" t="s">
        <v>0</v>
      </c>
      <c r="I34" s="5" t="s">
        <v>1</v>
      </c>
      <c r="L34" s="5" t="s">
        <v>8</v>
      </c>
      <c r="M34" s="5" t="s">
        <v>0</v>
      </c>
      <c r="N34" s="5" t="s">
        <v>1</v>
      </c>
      <c r="O34" s="14"/>
      <c r="Q34" s="5" t="s">
        <v>8</v>
      </c>
      <c r="R34" s="5" t="s">
        <v>0</v>
      </c>
      <c r="S34" s="5" t="s">
        <v>1</v>
      </c>
      <c r="T34" s="1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>
      <c r="A35" t="s">
        <v>41</v>
      </c>
      <c r="B35" s="2">
        <v>-766.899227</v>
      </c>
      <c r="C35" s="2">
        <v>-766.88176999999996</v>
      </c>
      <c r="D35" s="2">
        <v>-766.94328399999995</v>
      </c>
      <c r="F35" t="s">
        <v>169</v>
      </c>
      <c r="G35" s="2">
        <v>-766.90263500000003</v>
      </c>
      <c r="H35" s="2">
        <v>-766.88563399999998</v>
      </c>
      <c r="I35" s="2">
        <v>-766.94540600000005</v>
      </c>
      <c r="K35" t="s">
        <v>169</v>
      </c>
      <c r="L35" s="2">
        <v>-766.90263500000003</v>
      </c>
      <c r="M35" s="2">
        <v>-766.88563399999998</v>
      </c>
      <c r="N35" s="2">
        <v>-766.94540600000005</v>
      </c>
      <c r="O35" s="11"/>
      <c r="P35" t="s">
        <v>169</v>
      </c>
      <c r="Q35" s="2">
        <v>-766.90263500000003</v>
      </c>
      <c r="R35" s="2">
        <v>-766.88563399999998</v>
      </c>
      <c r="S35" s="2">
        <v>-766.94540600000005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7">
      <c r="A36" t="s">
        <v>42</v>
      </c>
      <c r="B36" s="2">
        <v>-766.89641200000005</v>
      </c>
      <c r="C36" s="2">
        <v>-766.87910699999998</v>
      </c>
      <c r="D36" s="2">
        <v>-766.93976199999997</v>
      </c>
      <c r="F36" t="s">
        <v>26</v>
      </c>
      <c r="G36" s="2">
        <v>-766.87356199999999</v>
      </c>
      <c r="H36" s="2">
        <v>-766.85707300000001</v>
      </c>
      <c r="I36" s="2">
        <v>-766.91537500000004</v>
      </c>
      <c r="J36" s="1" t="s">
        <v>83</v>
      </c>
      <c r="K36" t="s">
        <v>26</v>
      </c>
      <c r="L36" s="2">
        <v>-766.86861399999998</v>
      </c>
      <c r="M36" s="2">
        <v>-766.85180300000002</v>
      </c>
      <c r="N36" s="2">
        <v>-766.91092600000002</v>
      </c>
      <c r="O36" s="1"/>
      <c r="P36" t="s">
        <v>26</v>
      </c>
      <c r="Q36" s="2">
        <v>-766.87712599999998</v>
      </c>
      <c r="R36" s="2">
        <v>-766.860816</v>
      </c>
      <c r="S36" s="2">
        <v>-766.91861300000005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7">
      <c r="A37" t="s">
        <v>43</v>
      </c>
      <c r="B37" s="2">
        <v>-766.89966200000003</v>
      </c>
      <c r="C37" s="2">
        <v>-766.88262199999997</v>
      </c>
      <c r="D37" s="2">
        <v>-766.94247800000005</v>
      </c>
      <c r="F37" t="s">
        <v>127</v>
      </c>
      <c r="G37" s="2">
        <v>-766.87224800000001</v>
      </c>
      <c r="H37" s="2">
        <v>-766.85559599999999</v>
      </c>
      <c r="I37" s="2">
        <v>-766.91434300000003</v>
      </c>
      <c r="J37" s="11"/>
      <c r="K37" t="s">
        <v>127</v>
      </c>
      <c r="L37" s="2">
        <v>-766.86693200000002</v>
      </c>
      <c r="M37" s="2">
        <v>-766.84998199999995</v>
      </c>
      <c r="N37" s="2">
        <v>-766.90950999999995</v>
      </c>
      <c r="O37" s="11"/>
      <c r="P37" t="s">
        <v>127</v>
      </c>
      <c r="Q37" s="2" t="s">
        <v>155</v>
      </c>
      <c r="R37" s="2"/>
      <c r="S37" s="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7">
      <c r="A38" t="s">
        <v>76</v>
      </c>
      <c r="B38" s="2">
        <v>-766.89876500000003</v>
      </c>
      <c r="C38" s="2">
        <v>-766.881168</v>
      </c>
      <c r="D38" s="2">
        <v>-766.94301499999995</v>
      </c>
      <c r="F38" t="s">
        <v>154</v>
      </c>
      <c r="G38" s="2" t="s">
        <v>184</v>
      </c>
      <c r="H38" s="2"/>
      <c r="I38" s="2"/>
      <c r="J38" s="11"/>
      <c r="K38" t="s">
        <v>154</v>
      </c>
      <c r="L38" s="2">
        <v>-766.87036699999999</v>
      </c>
      <c r="M38" s="2">
        <v>-766.85372500000005</v>
      </c>
      <c r="N38" s="2">
        <v>-766.91247899999996</v>
      </c>
      <c r="O38" s="1" t="s">
        <v>83</v>
      </c>
      <c r="P38" t="s">
        <v>154</v>
      </c>
      <c r="Q38" s="2">
        <v>-766.87853199999995</v>
      </c>
      <c r="R38" s="2">
        <v>-766.86220500000002</v>
      </c>
      <c r="S38" s="2">
        <v>-766.92007000000001</v>
      </c>
      <c r="T38" s="1" t="s">
        <v>83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7">
      <c r="A39" t="s">
        <v>119</v>
      </c>
      <c r="B39" s="2">
        <v>-766.89735700000006</v>
      </c>
      <c r="C39" s="2">
        <v>-766.87969999999996</v>
      </c>
      <c r="D39" s="2">
        <v>-766.94188299999996</v>
      </c>
      <c r="F39" t="s">
        <v>183</v>
      </c>
      <c r="G39" s="2">
        <v>-766.87263800000005</v>
      </c>
      <c r="H39" s="2">
        <v>-766.85615600000006</v>
      </c>
      <c r="I39" s="2">
        <v>-766.91444000000001</v>
      </c>
      <c r="J39" s="11"/>
      <c r="K39" t="s">
        <v>91</v>
      </c>
      <c r="L39" s="2">
        <v>-766.89943300000004</v>
      </c>
      <c r="M39" s="2">
        <v>-766.88111700000002</v>
      </c>
      <c r="N39" s="2">
        <v>-766.94447300000002</v>
      </c>
      <c r="O39" s="11"/>
      <c r="P39" t="s">
        <v>92</v>
      </c>
      <c r="Q39" s="2">
        <v>-766.89670999999998</v>
      </c>
      <c r="R39" s="2">
        <v>-766.88032999999996</v>
      </c>
      <c r="S39" s="2">
        <v>-766.93838700000003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7">
      <c r="A40" t="s">
        <v>169</v>
      </c>
      <c r="B40" s="2">
        <v>-766.90263500000003</v>
      </c>
      <c r="C40" s="2">
        <v>-766.88563399999998</v>
      </c>
      <c r="D40" s="2">
        <v>-766.94540600000005</v>
      </c>
      <c r="E40" s="1" t="s">
        <v>83</v>
      </c>
      <c r="F40" t="s">
        <v>89</v>
      </c>
      <c r="G40" s="2">
        <v>-766.90396199999998</v>
      </c>
      <c r="H40" s="2">
        <v>-766.88594599999999</v>
      </c>
      <c r="I40" s="2">
        <v>-766.94788900000003</v>
      </c>
      <c r="J40" s="11"/>
      <c r="K40" t="s">
        <v>132</v>
      </c>
      <c r="L40" s="2">
        <v>-766.90061400000002</v>
      </c>
      <c r="M40" s="2">
        <v>-766.882609</v>
      </c>
      <c r="N40" s="2">
        <v>-766.94532800000002</v>
      </c>
      <c r="O40" s="1" t="s">
        <v>83</v>
      </c>
      <c r="P40" t="s">
        <v>135</v>
      </c>
      <c r="Q40" s="2">
        <v>-766.897019</v>
      </c>
      <c r="R40" s="2">
        <v>-766.88066400000002</v>
      </c>
      <c r="S40" s="2">
        <v>-766.93871000000001</v>
      </c>
      <c r="T40" s="1" t="s">
        <v>83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7">
      <c r="A41" t="s">
        <v>173</v>
      </c>
      <c r="B41" s="2">
        <v>-766.90233699999999</v>
      </c>
      <c r="C41" s="2">
        <v>-766.88541099999998</v>
      </c>
      <c r="D41" s="2">
        <v>-766.94494099999997</v>
      </c>
      <c r="E41" s="4">
        <f>(B40-$B$25)*627.51</f>
        <v>-0.65261039999312853</v>
      </c>
      <c r="F41" t="s">
        <v>129</v>
      </c>
      <c r="G41" s="2">
        <v>-766.90464699999995</v>
      </c>
      <c r="H41" s="2">
        <v>-766.88705000000004</v>
      </c>
      <c r="I41" s="2">
        <v>-766.948216</v>
      </c>
      <c r="J41" s="1"/>
      <c r="K41" t="s">
        <v>186</v>
      </c>
      <c r="L41" s="2" t="s">
        <v>189</v>
      </c>
      <c r="M41" s="2"/>
      <c r="N41" s="2"/>
      <c r="O41" s="1"/>
      <c r="P41" t="s">
        <v>191</v>
      </c>
      <c r="Q41" s="2">
        <v>-766.89670100000001</v>
      </c>
      <c r="R41" s="2">
        <v>-766.88032299999998</v>
      </c>
      <c r="S41" s="2">
        <v>-766.93836899999997</v>
      </c>
      <c r="T41" s="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7" ht="16.8">
      <c r="A42" t="s">
        <v>174</v>
      </c>
      <c r="B42" s="2">
        <v>-766.89981299999999</v>
      </c>
      <c r="C42" s="2">
        <v>-766.882746</v>
      </c>
      <c r="D42" s="2">
        <v>-766.94256800000005</v>
      </c>
      <c r="F42" t="s">
        <v>180</v>
      </c>
      <c r="G42" s="2">
        <v>-766.905709</v>
      </c>
      <c r="H42" s="2">
        <v>-766.88821199999995</v>
      </c>
      <c r="I42" s="2">
        <v>-766.94914200000005</v>
      </c>
      <c r="J42" s="1" t="s">
        <v>83</v>
      </c>
      <c r="L42" s="3" t="s">
        <v>2</v>
      </c>
      <c r="M42" s="3" t="s">
        <v>4</v>
      </c>
      <c r="N42" s="3" t="s">
        <v>5</v>
      </c>
      <c r="O42" s="11"/>
      <c r="Q42" s="3" t="s">
        <v>2</v>
      </c>
      <c r="R42" s="3" t="s">
        <v>4</v>
      </c>
      <c r="S42" s="3" t="s">
        <v>5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7">
      <c r="A43" t="s">
        <v>175</v>
      </c>
      <c r="B43" s="2">
        <v>-766.90211599999998</v>
      </c>
      <c r="C43" s="2">
        <v>-766.88526899999999</v>
      </c>
      <c r="D43" s="2">
        <v>-766.94457</v>
      </c>
      <c r="F43" t="s">
        <v>192</v>
      </c>
      <c r="G43" s="2">
        <v>-766.90493100000003</v>
      </c>
      <c r="H43" s="2">
        <v>-766.887699</v>
      </c>
      <c r="I43" s="2">
        <v>-766.94742199999996</v>
      </c>
      <c r="J43" s="1"/>
      <c r="L43" s="4">
        <f>(L38-L35)*627.51</f>
        <v>20.248492680027983</v>
      </c>
      <c r="M43" s="4">
        <f>(M38-M35)*627.51</f>
        <v>20.023216589954693</v>
      </c>
      <c r="N43" s="20">
        <f>(N38-N35)*627.51</f>
        <v>20.662021770054018</v>
      </c>
      <c r="O43" s="11"/>
      <c r="Q43" s="4">
        <f>(Q38-Q35)*627.51</f>
        <v>15.124873530051405</v>
      </c>
      <c r="R43" s="4">
        <f t="shared" ref="R43:S43" si="2">(R38-R35)*627.51</f>
        <v>14.701931789977797</v>
      </c>
      <c r="S43" s="20">
        <f t="shared" si="2"/>
        <v>15.898593360024121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7" ht="16.8">
      <c r="B44" s="2"/>
      <c r="C44" s="2"/>
      <c r="D44" s="2"/>
      <c r="G44" s="3" t="s">
        <v>2</v>
      </c>
      <c r="H44" s="3" t="s">
        <v>4</v>
      </c>
      <c r="I44" s="3" t="s">
        <v>5</v>
      </c>
      <c r="J44" s="11"/>
      <c r="L44" s="3" t="s">
        <v>3</v>
      </c>
      <c r="M44" s="3" t="s">
        <v>7</v>
      </c>
      <c r="N44" s="3" t="s">
        <v>6</v>
      </c>
      <c r="O44" s="11"/>
      <c r="Q44" s="3" t="s">
        <v>3</v>
      </c>
      <c r="R44" s="3" t="s">
        <v>7</v>
      </c>
      <c r="S44" s="3" t="s">
        <v>6</v>
      </c>
      <c r="T44" s="11"/>
      <c r="U44" s="11"/>
      <c r="V44" s="11"/>
      <c r="W44" s="11"/>
      <c r="X44" s="11"/>
      <c r="Y44" s="11"/>
      <c r="Z44" s="10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7">
      <c r="B45" s="2"/>
      <c r="C45" s="2"/>
      <c r="D45" s="2"/>
      <c r="G45" s="4">
        <f>(G36-G35)*627.51</f>
        <v>18.243598230024741</v>
      </c>
      <c r="H45" s="4">
        <f>(H36-H35)*627.51</f>
        <v>17.922313109979832</v>
      </c>
      <c r="I45" s="20">
        <f>(I36-I35)*627.51</f>
        <v>18.844752810005104</v>
      </c>
      <c r="J45" s="11"/>
      <c r="L45" s="4">
        <f>(L40-L35)*627.51</f>
        <v>1.2681977100083919</v>
      </c>
      <c r="M45" s="4">
        <f>(M40-M35)*627.51</f>
        <v>1.8982177499872159</v>
      </c>
      <c r="N45" s="4">
        <f>(N40-N35)*627.51</f>
        <v>4.894578001910304E-2</v>
      </c>
      <c r="O45" s="11"/>
      <c r="Q45" s="4">
        <f>(Q40-Q35)*627.51</f>
        <v>3.5240961600199658</v>
      </c>
      <c r="R45" s="4">
        <f>(R40-R35)*627.51</f>
        <v>3.118724699973336</v>
      </c>
      <c r="S45" s="4">
        <f>(S40-S35)*627.51</f>
        <v>4.2018069600210612</v>
      </c>
      <c r="T45" s="11"/>
      <c r="U45" s="10"/>
      <c r="V45" s="11"/>
      <c r="W45" s="11"/>
      <c r="X45" s="11"/>
      <c r="Y45" s="11"/>
      <c r="Z45" s="10"/>
      <c r="AA45" s="11"/>
      <c r="AB45" s="11"/>
      <c r="AC45" s="11"/>
      <c r="AD45" s="11"/>
      <c r="AE45" s="10"/>
      <c r="AF45" s="11"/>
      <c r="AG45" s="11"/>
      <c r="AH45" s="11"/>
      <c r="AI45" s="11"/>
      <c r="AJ45" s="10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s="11" customFormat="1" ht="16.8">
      <c r="B46" s="13"/>
      <c r="C46" s="13"/>
      <c r="D46" s="13"/>
      <c r="F46"/>
      <c r="G46" s="3" t="s">
        <v>3</v>
      </c>
      <c r="H46" s="3" t="s">
        <v>7</v>
      </c>
      <c r="I46" s="3" t="s">
        <v>6</v>
      </c>
      <c r="K46"/>
      <c r="L46" s="4"/>
      <c r="M46" s="21" t="s">
        <v>24</v>
      </c>
      <c r="N46" s="22">
        <f>($B$6*$B$4/$B$5)*EXP(-(N43)/($B$7*$B$4))</f>
        <v>4.343058190791311E-3</v>
      </c>
      <c r="P46"/>
      <c r="Q46" s="4"/>
      <c r="R46" s="21" t="s">
        <v>24</v>
      </c>
      <c r="S46" s="30">
        <f>($B$6*$B$4/$B$5)*EXP(-(S43)/($B$7*$B$4))</f>
        <v>13.543931911383607</v>
      </c>
      <c r="U46" s="10"/>
      <c r="Z46" s="10"/>
      <c r="AE46" s="10"/>
      <c r="AJ46" s="10"/>
    </row>
    <row r="47" spans="1:47" s="11" customFormat="1" ht="16.8">
      <c r="B47" s="13"/>
      <c r="C47" s="13"/>
      <c r="D47" s="13"/>
      <c r="F47"/>
      <c r="G47" s="4">
        <f>(G42-G35)*627.51</f>
        <v>-1.9289657399809244</v>
      </c>
      <c r="H47" s="4">
        <f>(H42-H35)*627.51</f>
        <v>-1.6177207799820064</v>
      </c>
      <c r="I47" s="4">
        <f>(I42-I35)*627.51</f>
        <v>-2.3443773600022051</v>
      </c>
      <c r="J47" s="25"/>
      <c r="K47"/>
      <c r="L47" s="4"/>
      <c r="M47" s="21" t="s">
        <v>31</v>
      </c>
      <c r="N47" s="30">
        <v>2.7</v>
      </c>
      <c r="O47" s="7" t="s">
        <v>158</v>
      </c>
      <c r="P47"/>
      <c r="Q47" s="4"/>
      <c r="R47" s="21"/>
      <c r="S47" s="22"/>
      <c r="U47" s="10"/>
      <c r="Z47" s="10"/>
      <c r="AE47" s="10"/>
      <c r="AJ47" s="10"/>
    </row>
    <row r="48" spans="1:47" s="11" customFormat="1" ht="16.8">
      <c r="B48" s="13"/>
      <c r="C48" s="13"/>
      <c r="D48" s="13"/>
      <c r="F48"/>
      <c r="G48" s="4"/>
      <c r="H48" s="21" t="s">
        <v>24</v>
      </c>
      <c r="I48" s="22">
        <f>($B$6*$B$4/$B$5)*EXP(-(I45)/($B$7*$B$4))</f>
        <v>9.3487308014635562E-2</v>
      </c>
      <c r="L48" s="7"/>
      <c r="M48" s="26"/>
      <c r="N48" s="22"/>
      <c r="O48" s="7"/>
      <c r="Q48" s="7"/>
      <c r="R48" s="26"/>
      <c r="S48" s="22"/>
      <c r="U48" s="10"/>
      <c r="Z48" s="10"/>
      <c r="AE48" s="10"/>
      <c r="AJ48" s="10"/>
    </row>
    <row r="49" spans="1:47" s="11" customFormat="1" ht="16.8">
      <c r="B49" s="13"/>
      <c r="C49" s="13"/>
      <c r="D49" s="13"/>
      <c r="F49"/>
      <c r="G49" s="4"/>
      <c r="H49" s="21" t="s">
        <v>31</v>
      </c>
      <c r="I49" s="33">
        <v>27</v>
      </c>
      <c r="J49" s="7" t="s">
        <v>199</v>
      </c>
      <c r="L49" s="7"/>
      <c r="M49" s="26"/>
      <c r="N49" s="22"/>
      <c r="O49" s="7"/>
      <c r="Q49" s="7"/>
      <c r="R49" s="26"/>
      <c r="S49" s="22"/>
      <c r="U49" s="10"/>
      <c r="Z49" s="10"/>
      <c r="AE49" s="10"/>
      <c r="AJ49" s="10"/>
    </row>
    <row r="50" spans="1:47" s="11" customFormat="1">
      <c r="B50" s="13"/>
      <c r="C50" s="13"/>
      <c r="D50" s="13"/>
      <c r="G50" s="7"/>
      <c r="H50" s="26"/>
      <c r="I50" s="22"/>
      <c r="J50" s="7"/>
      <c r="L50" s="7"/>
      <c r="M50" s="26"/>
      <c r="N50" s="22"/>
      <c r="O50" s="7"/>
      <c r="Q50" s="7"/>
      <c r="R50" s="26"/>
      <c r="S50" s="22"/>
      <c r="U50" s="10"/>
      <c r="Z50" s="10"/>
      <c r="AE50" s="10"/>
      <c r="AJ50" s="10"/>
    </row>
    <row r="51" spans="1:47">
      <c r="F51" s="36" t="s">
        <v>190</v>
      </c>
      <c r="G51" s="25"/>
      <c r="H51" s="25"/>
      <c r="I51" s="25"/>
      <c r="J51" s="11"/>
      <c r="K51" s="36" t="s">
        <v>190</v>
      </c>
      <c r="L51" s="11"/>
      <c r="M51" s="11"/>
      <c r="N51" s="11"/>
      <c r="O51" s="11"/>
      <c r="P51" s="36" t="s">
        <v>190</v>
      </c>
      <c r="Q51" s="11"/>
      <c r="R51" s="11"/>
      <c r="S51" s="11"/>
      <c r="T51" s="25"/>
      <c r="U51" s="24"/>
      <c r="V51" s="25"/>
      <c r="W51" s="25"/>
      <c r="X51" s="25"/>
      <c r="Y51" s="25"/>
      <c r="Z51" s="24"/>
      <c r="AA51" s="25"/>
      <c r="AB51" s="25"/>
      <c r="AC51" s="25"/>
      <c r="AD51" s="25"/>
      <c r="AE51" s="24"/>
      <c r="AF51" s="25"/>
      <c r="AG51" s="25"/>
      <c r="AH51" s="25"/>
      <c r="AI51" s="25"/>
      <c r="AJ51" s="24"/>
      <c r="AK51" s="25"/>
      <c r="AL51" s="25"/>
      <c r="AM51" s="25"/>
      <c r="AN51" s="25"/>
      <c r="AO51" s="11"/>
      <c r="AP51" s="11"/>
      <c r="AQ51" s="11"/>
      <c r="AR51" s="11"/>
      <c r="AS51" s="11"/>
      <c r="AT51" s="11"/>
      <c r="AU51" s="11"/>
    </row>
    <row r="52" spans="1:47" ht="15.6">
      <c r="A52" s="1" t="s">
        <v>50</v>
      </c>
      <c r="B52" s="5" t="s">
        <v>8</v>
      </c>
      <c r="C52" s="5" t="s">
        <v>0</v>
      </c>
      <c r="D52" s="5" t="s">
        <v>1</v>
      </c>
      <c r="F52" s="1" t="s">
        <v>401</v>
      </c>
      <c r="G52" s="16"/>
      <c r="H52" s="16"/>
      <c r="I52" s="16"/>
      <c r="J52" s="11"/>
      <c r="K52" s="1" t="s">
        <v>95</v>
      </c>
      <c r="L52" s="16"/>
      <c r="M52" s="16"/>
      <c r="N52" s="16"/>
      <c r="O52" s="11"/>
      <c r="P52" s="1" t="s">
        <v>97</v>
      </c>
      <c r="Q52" s="16"/>
      <c r="R52" s="16"/>
      <c r="S52" s="16"/>
      <c r="T52" s="12"/>
      <c r="U52" s="11"/>
      <c r="V52" s="12"/>
      <c r="W52" s="12"/>
      <c r="X52" s="12"/>
      <c r="Y52" s="11"/>
      <c r="Z52" s="11"/>
      <c r="AA52" s="12"/>
      <c r="AB52" s="12"/>
      <c r="AC52" s="12"/>
      <c r="AD52" s="12"/>
      <c r="AE52" s="11"/>
      <c r="AF52" s="12"/>
      <c r="AG52" s="12"/>
      <c r="AH52" s="12"/>
      <c r="AI52" s="11"/>
      <c r="AJ52" s="11"/>
      <c r="AK52" s="12"/>
      <c r="AL52" s="12"/>
      <c r="AM52" s="12"/>
      <c r="AN52" s="12"/>
      <c r="AO52" s="11"/>
      <c r="AP52" s="11"/>
      <c r="AQ52" s="11"/>
      <c r="AR52" s="11"/>
      <c r="AS52" s="11"/>
      <c r="AT52" s="11"/>
      <c r="AU52" s="11"/>
    </row>
    <row r="53" spans="1:47" ht="15.6">
      <c r="A53" t="s">
        <v>44</v>
      </c>
      <c r="B53" s="31">
        <v>-766.91094999999996</v>
      </c>
      <c r="C53" s="2">
        <v>-766.89340400000003</v>
      </c>
      <c r="D53" s="2">
        <v>-766.95478600000001</v>
      </c>
      <c r="G53" s="5" t="s">
        <v>8</v>
      </c>
      <c r="H53" s="5" t="s">
        <v>0</v>
      </c>
      <c r="I53" s="5" t="s">
        <v>1</v>
      </c>
      <c r="J53" s="11"/>
      <c r="L53" s="5" t="s">
        <v>8</v>
      </c>
      <c r="M53" s="5" t="s">
        <v>0</v>
      </c>
      <c r="N53" s="5" t="s">
        <v>1</v>
      </c>
      <c r="O53" s="11"/>
      <c r="Q53" s="5" t="s">
        <v>8</v>
      </c>
      <c r="R53" s="5" t="s">
        <v>0</v>
      </c>
      <c r="S53" s="5" t="s">
        <v>1</v>
      </c>
      <c r="T53" s="13"/>
      <c r="U53" s="11"/>
      <c r="V53" s="13"/>
      <c r="W53" s="13"/>
      <c r="X53" s="13"/>
      <c r="Y53" s="10"/>
      <c r="Z53" s="11"/>
      <c r="AA53" s="13"/>
      <c r="AB53" s="13"/>
      <c r="AC53" s="13"/>
      <c r="AD53" s="13"/>
      <c r="AE53" s="11"/>
      <c r="AF53" s="13"/>
      <c r="AG53" s="13"/>
      <c r="AH53" s="13"/>
      <c r="AI53" s="10"/>
      <c r="AJ53" s="11"/>
      <c r="AK53" s="13"/>
      <c r="AL53" s="13"/>
      <c r="AM53" s="13"/>
      <c r="AN53" s="13"/>
      <c r="AO53" s="11"/>
      <c r="AP53" s="11"/>
      <c r="AQ53" s="11"/>
      <c r="AR53" s="11"/>
      <c r="AS53" s="11"/>
      <c r="AT53" s="11"/>
      <c r="AU53" s="11"/>
    </row>
    <row r="54" spans="1:47">
      <c r="A54" t="s">
        <v>45</v>
      </c>
      <c r="B54" s="2">
        <v>-766.90609099999995</v>
      </c>
      <c r="C54" s="2">
        <v>-766.88827300000003</v>
      </c>
      <c r="D54" s="2">
        <v>-766.95089599999994</v>
      </c>
      <c r="F54" t="s">
        <v>47</v>
      </c>
      <c r="G54" s="2">
        <v>-766.91355099999998</v>
      </c>
      <c r="H54" s="2">
        <v>-766.89613799999995</v>
      </c>
      <c r="I54" s="2">
        <v>-766.95736499999998</v>
      </c>
      <c r="J54" s="11"/>
      <c r="K54" t="s">
        <v>47</v>
      </c>
      <c r="L54" s="2">
        <v>-766.91355099999998</v>
      </c>
      <c r="M54" s="2">
        <v>-766.89613799999995</v>
      </c>
      <c r="N54" s="2">
        <v>-766.95736499999998</v>
      </c>
      <c r="O54" s="11"/>
      <c r="P54" t="s">
        <v>47</v>
      </c>
      <c r="Q54" s="2">
        <v>-766.91355099999998</v>
      </c>
      <c r="R54" s="2">
        <v>-766.89613799999995</v>
      </c>
      <c r="S54" s="2">
        <v>-766.95736499999998</v>
      </c>
      <c r="T54" s="13"/>
      <c r="U54" s="11"/>
      <c r="V54" s="13"/>
      <c r="W54" s="13"/>
      <c r="X54" s="13"/>
      <c r="Y54" s="10"/>
      <c r="Z54" s="11"/>
      <c r="AA54" s="13"/>
      <c r="AB54" s="13"/>
      <c r="AC54" s="13"/>
      <c r="AD54" s="13"/>
      <c r="AE54" s="11"/>
      <c r="AF54" s="13"/>
      <c r="AG54" s="13"/>
      <c r="AH54" s="13"/>
      <c r="AI54" s="10"/>
      <c r="AJ54" s="11"/>
      <c r="AK54" s="13"/>
      <c r="AL54" s="13"/>
      <c r="AM54" s="13"/>
      <c r="AN54" s="13"/>
      <c r="AO54" s="11"/>
      <c r="AP54" s="11"/>
      <c r="AQ54" s="11"/>
      <c r="AR54" s="11"/>
      <c r="AS54" s="11"/>
      <c r="AT54" s="11"/>
      <c r="AU54" s="11"/>
    </row>
    <row r="55" spans="1:47">
      <c r="A55" t="s">
        <v>46</v>
      </c>
      <c r="B55" s="2">
        <v>-766.91101500000002</v>
      </c>
      <c r="C55" s="2">
        <v>-766.89341999999999</v>
      </c>
      <c r="D55" s="2">
        <v>-766.95529499999998</v>
      </c>
      <c r="F55" t="s">
        <v>26</v>
      </c>
      <c r="G55" s="2">
        <v>-766.88809600000002</v>
      </c>
      <c r="H55" s="2">
        <v>-766.87184300000001</v>
      </c>
      <c r="I55" s="2">
        <v>-766.92942400000004</v>
      </c>
      <c r="K55" t="s">
        <v>26</v>
      </c>
      <c r="L55" s="2">
        <v>-766.87847699999998</v>
      </c>
      <c r="M55" s="2">
        <v>-766.86151600000005</v>
      </c>
      <c r="N55" s="2">
        <v>-766.92165699999998</v>
      </c>
      <c r="O55" s="11"/>
      <c r="P55" t="s">
        <v>26</v>
      </c>
      <c r="Q55" s="2">
        <v>-766.881258</v>
      </c>
      <c r="R55" s="2">
        <v>-766.86457800000005</v>
      </c>
      <c r="S55" s="2">
        <v>-766.92375900000002</v>
      </c>
      <c r="U55" s="11"/>
      <c r="V55" s="13"/>
      <c r="W55" s="13"/>
      <c r="X55" s="13"/>
      <c r="Y55" s="10"/>
      <c r="Z55" s="11"/>
      <c r="AA55" s="13"/>
      <c r="AB55" s="13"/>
      <c r="AC55" s="13"/>
      <c r="AD55" s="13"/>
      <c r="AE55" s="11"/>
      <c r="AF55" s="13"/>
      <c r="AG55" s="13"/>
      <c r="AH55" s="13"/>
      <c r="AI55" s="10"/>
      <c r="AJ55" s="11"/>
      <c r="AK55" s="13"/>
      <c r="AL55" s="13"/>
      <c r="AM55" s="13"/>
      <c r="AN55" s="13"/>
      <c r="AO55" s="11"/>
      <c r="AP55" s="11"/>
      <c r="AQ55" s="11"/>
      <c r="AR55" s="11"/>
      <c r="AS55" s="11"/>
      <c r="AT55" s="11"/>
      <c r="AU55" s="11"/>
    </row>
    <row r="56" spans="1:47">
      <c r="A56" t="s">
        <v>47</v>
      </c>
      <c r="B56" s="2">
        <v>-766.91355099999998</v>
      </c>
      <c r="C56" s="2">
        <v>-766.89613799999995</v>
      </c>
      <c r="D56" s="2">
        <v>-766.95736499999998</v>
      </c>
      <c r="E56" s="1" t="s">
        <v>83</v>
      </c>
      <c r="F56" t="s">
        <v>127</v>
      </c>
      <c r="G56" s="2">
        <v>-766.88795600000003</v>
      </c>
      <c r="H56" s="2">
        <v>-766.87160700000004</v>
      </c>
      <c r="I56" s="2">
        <v>-766.92949499999997</v>
      </c>
      <c r="J56" s="11"/>
      <c r="K56" t="s">
        <v>127</v>
      </c>
      <c r="L56" s="2">
        <v>-766.879051</v>
      </c>
      <c r="M56" s="2">
        <v>-766.862076</v>
      </c>
      <c r="N56" s="2">
        <v>-766.92198900000005</v>
      </c>
      <c r="P56" t="s">
        <v>127</v>
      </c>
      <c r="Q56" s="2">
        <v>-766.87925299999995</v>
      </c>
      <c r="R56" s="2">
        <v>-766.862437</v>
      </c>
      <c r="S56" s="2">
        <v>-766.92157899999995</v>
      </c>
      <c r="T56" s="13"/>
      <c r="U56" s="11"/>
      <c r="V56" s="13"/>
      <c r="W56" s="13"/>
      <c r="X56" s="13"/>
      <c r="Y56" s="10"/>
      <c r="Z56" s="11"/>
      <c r="AA56" s="13"/>
      <c r="AB56" s="13"/>
      <c r="AC56" s="13"/>
      <c r="AD56" s="13"/>
      <c r="AE56" s="11"/>
      <c r="AF56" s="13"/>
      <c r="AG56" s="13"/>
      <c r="AH56" s="13"/>
      <c r="AI56" s="10"/>
      <c r="AJ56" s="11"/>
      <c r="AK56" s="13"/>
      <c r="AL56" s="13"/>
      <c r="AM56" s="13"/>
      <c r="AN56" s="13"/>
      <c r="AO56" s="11"/>
      <c r="AP56" s="11"/>
      <c r="AQ56" s="11"/>
      <c r="AR56" s="11"/>
      <c r="AS56" s="11"/>
      <c r="AT56" s="11"/>
      <c r="AU56" s="11"/>
    </row>
    <row r="57" spans="1:47">
      <c r="A57" t="s">
        <v>77</v>
      </c>
      <c r="B57" s="2">
        <v>-766.91137400000002</v>
      </c>
      <c r="C57" s="2">
        <v>-766.89387199999999</v>
      </c>
      <c r="D57" s="2">
        <v>-766.95549400000004</v>
      </c>
      <c r="E57" s="4">
        <f>(B56-$B$25)*627.51</f>
        <v>-7.5025095599629852</v>
      </c>
      <c r="F57" t="s">
        <v>154</v>
      </c>
      <c r="G57" s="2">
        <v>-766.88973199999998</v>
      </c>
      <c r="H57" s="2">
        <v>-766.87356499999999</v>
      </c>
      <c r="I57" s="2">
        <v>-766.93080699999996</v>
      </c>
      <c r="J57" s="1" t="s">
        <v>83</v>
      </c>
      <c r="K57" t="s">
        <v>154</v>
      </c>
      <c r="L57" s="2">
        <v>-766.87899600000003</v>
      </c>
      <c r="M57" s="2">
        <v>-766.86200799999995</v>
      </c>
      <c r="N57" s="2">
        <v>-766.922596</v>
      </c>
      <c r="O57" s="1" t="s">
        <v>83</v>
      </c>
      <c r="P57" t="s">
        <v>154</v>
      </c>
      <c r="Q57" s="2">
        <v>-766.88224700000001</v>
      </c>
      <c r="R57" s="2">
        <v>-766.86569899999995</v>
      </c>
      <c r="S57" s="2">
        <v>-766.92440599999998</v>
      </c>
      <c r="T57" s="1" t="s">
        <v>83</v>
      </c>
      <c r="U57" s="11"/>
      <c r="V57" s="13"/>
      <c r="W57" s="13"/>
      <c r="X57" s="13"/>
      <c r="Y57" s="10"/>
      <c r="Z57" s="11"/>
      <c r="AA57" s="13"/>
      <c r="AB57" s="13"/>
      <c r="AC57" s="13"/>
      <c r="AD57" s="13"/>
      <c r="AE57" s="11"/>
      <c r="AF57" s="13"/>
      <c r="AG57" s="13"/>
      <c r="AH57" s="13"/>
      <c r="AI57" s="10"/>
      <c r="AJ57" s="11"/>
      <c r="AK57" s="13"/>
      <c r="AL57" s="13"/>
      <c r="AM57" s="13"/>
      <c r="AN57" s="13"/>
      <c r="AO57" s="11"/>
      <c r="AP57" s="11"/>
      <c r="AQ57" s="11"/>
      <c r="AR57" s="11"/>
      <c r="AS57" s="11"/>
      <c r="AT57" s="11"/>
      <c r="AU57" s="11"/>
    </row>
    <row r="58" spans="1:47">
      <c r="A58" t="s">
        <v>120</v>
      </c>
      <c r="B58" s="2">
        <v>-766.91047800000001</v>
      </c>
      <c r="C58" s="2">
        <v>-766.892651</v>
      </c>
      <c r="D58" s="2">
        <v>-766.95505000000003</v>
      </c>
      <c r="F58" t="s">
        <v>94</v>
      </c>
      <c r="G58" s="2">
        <v>-766.90761499999996</v>
      </c>
      <c r="H58" s="2">
        <v>-766.89141600000005</v>
      </c>
      <c r="I58" s="2">
        <v>-766.94894299999999</v>
      </c>
      <c r="J58" s="11"/>
      <c r="K58" t="s">
        <v>96</v>
      </c>
      <c r="L58" s="2">
        <v>-766.90561300000002</v>
      </c>
      <c r="M58" s="2">
        <v>-766.88735299999996</v>
      </c>
      <c r="N58" s="2">
        <v>-766.95073000000002</v>
      </c>
      <c r="O58" s="11"/>
      <c r="P58" t="s">
        <v>98</v>
      </c>
      <c r="Q58" s="2"/>
      <c r="R58" s="2"/>
      <c r="S58" s="2"/>
      <c r="T58" s="13"/>
      <c r="U58" s="11"/>
      <c r="V58" s="13"/>
      <c r="W58" s="13"/>
      <c r="X58" s="13"/>
      <c r="Y58" s="10"/>
      <c r="Z58" s="11"/>
      <c r="AA58" s="13"/>
      <c r="AB58" s="13"/>
      <c r="AC58" s="13"/>
      <c r="AD58" s="13"/>
      <c r="AE58" s="11"/>
      <c r="AF58" s="13"/>
      <c r="AG58" s="13"/>
      <c r="AH58" s="13"/>
      <c r="AI58" s="10"/>
      <c r="AJ58" s="11"/>
      <c r="AK58" s="13"/>
      <c r="AL58" s="13"/>
      <c r="AM58" s="13"/>
      <c r="AN58" s="13"/>
      <c r="AO58" s="11"/>
      <c r="AP58" s="11"/>
      <c r="AQ58" s="11"/>
      <c r="AR58" s="11"/>
      <c r="AS58" s="11"/>
      <c r="AT58" s="11"/>
      <c r="AU58" s="11"/>
    </row>
    <row r="59" spans="1:47">
      <c r="B59" s="2"/>
      <c r="C59" s="2"/>
      <c r="D59" s="2"/>
      <c r="F59" t="s">
        <v>130</v>
      </c>
      <c r="G59" s="2">
        <v>-766.90894200000002</v>
      </c>
      <c r="H59" s="2">
        <v>-766.892741</v>
      </c>
      <c r="I59" s="2">
        <v>-766.95046500000001</v>
      </c>
      <c r="J59" s="1" t="s">
        <v>83</v>
      </c>
      <c r="K59" t="s">
        <v>133</v>
      </c>
      <c r="L59" s="2">
        <v>-766.90640099999996</v>
      </c>
      <c r="M59" s="2">
        <v>-766.88818200000003</v>
      </c>
      <c r="N59" s="2">
        <v>-766.95132799999999</v>
      </c>
      <c r="O59" s="1" t="s">
        <v>83</v>
      </c>
      <c r="P59" t="s">
        <v>116</v>
      </c>
      <c r="Q59" s="2">
        <v>-766.98037699999998</v>
      </c>
      <c r="R59" s="2">
        <v>-766.96238200000005</v>
      </c>
      <c r="S59" s="2">
        <v>-767.02462300000002</v>
      </c>
      <c r="T59" s="1" t="s">
        <v>83</v>
      </c>
      <c r="U59" s="11"/>
      <c r="V59" s="13"/>
      <c r="W59" s="13"/>
      <c r="X59" s="13"/>
      <c r="Y59" s="10"/>
      <c r="Z59" s="11"/>
      <c r="AA59" s="13"/>
      <c r="AB59" s="13"/>
      <c r="AC59" s="13"/>
      <c r="AD59" s="13"/>
      <c r="AE59" s="11"/>
      <c r="AF59" s="13"/>
      <c r="AG59" s="13"/>
      <c r="AH59" s="13"/>
      <c r="AI59" s="10"/>
      <c r="AJ59" s="11"/>
      <c r="AK59" s="13"/>
      <c r="AL59" s="13"/>
      <c r="AM59" s="13"/>
      <c r="AN59" s="13"/>
      <c r="AO59" s="11"/>
      <c r="AP59" s="11"/>
      <c r="AQ59" s="11"/>
      <c r="AR59" s="11"/>
      <c r="AS59" s="11"/>
      <c r="AT59" s="11"/>
      <c r="AU59" s="11"/>
    </row>
    <row r="60" spans="1:47">
      <c r="B60" s="2"/>
      <c r="C60" s="2"/>
      <c r="D60" s="2"/>
      <c r="F60" t="s">
        <v>193</v>
      </c>
      <c r="G60" s="2">
        <v>-766.90635599999996</v>
      </c>
      <c r="H60" s="2">
        <v>-766.88999899999999</v>
      </c>
      <c r="I60" s="2">
        <v>-766.94809999999995</v>
      </c>
      <c r="J60" s="1"/>
      <c r="K60" t="s">
        <v>194</v>
      </c>
      <c r="L60" s="2">
        <v>-766.90625199999999</v>
      </c>
      <c r="M60" s="2">
        <v>-766.88808100000006</v>
      </c>
      <c r="N60" s="2">
        <v>-766.95115699999997</v>
      </c>
      <c r="O60" s="1"/>
      <c r="P60" t="s">
        <v>151</v>
      </c>
      <c r="Q60" s="2">
        <v>-766.97226499999999</v>
      </c>
      <c r="R60" s="2">
        <v>-766.95335899999998</v>
      </c>
      <c r="S60" s="2">
        <v>-767.01961600000004</v>
      </c>
      <c r="T60" s="13"/>
      <c r="U60" s="11"/>
      <c r="V60" s="13"/>
      <c r="W60" s="13"/>
      <c r="X60" s="13"/>
      <c r="Y60" s="10"/>
      <c r="Z60" s="11"/>
      <c r="AA60" s="13"/>
      <c r="AB60" s="13"/>
      <c r="AC60" s="13"/>
      <c r="AD60" s="13"/>
      <c r="AE60" s="11"/>
      <c r="AF60" s="13"/>
      <c r="AG60" s="13"/>
      <c r="AH60" s="13"/>
      <c r="AI60" s="10"/>
      <c r="AJ60" s="11"/>
      <c r="AK60" s="13"/>
      <c r="AL60" s="13"/>
      <c r="AM60" s="13"/>
      <c r="AN60" s="13"/>
      <c r="AO60" s="11"/>
      <c r="AP60" s="11"/>
      <c r="AQ60" s="11"/>
      <c r="AR60" s="11"/>
      <c r="AS60" s="11"/>
      <c r="AT60" s="11"/>
      <c r="AU60" s="11"/>
    </row>
    <row r="61" spans="1:47" ht="16.8">
      <c r="B61" s="2"/>
      <c r="C61" s="2"/>
      <c r="D61" s="2"/>
      <c r="G61" s="3" t="s">
        <v>2</v>
      </c>
      <c r="H61" s="3" t="s">
        <v>4</v>
      </c>
      <c r="I61" s="3" t="s">
        <v>5</v>
      </c>
      <c r="J61" s="11"/>
      <c r="L61" s="3" t="s">
        <v>2</v>
      </c>
      <c r="M61" s="3" t="s">
        <v>4</v>
      </c>
      <c r="N61" s="3" t="s">
        <v>5</v>
      </c>
      <c r="O61" s="11"/>
      <c r="Q61" s="3" t="s">
        <v>2</v>
      </c>
      <c r="R61" s="3" t="s">
        <v>4</v>
      </c>
      <c r="S61" s="3" t="s">
        <v>5</v>
      </c>
      <c r="T61" s="13"/>
      <c r="U61" s="11"/>
      <c r="V61" s="13"/>
      <c r="W61" s="13"/>
      <c r="X61" s="13"/>
      <c r="Y61" s="10"/>
      <c r="Z61" s="11"/>
      <c r="AA61" s="13"/>
      <c r="AB61" s="13"/>
      <c r="AC61" s="13"/>
      <c r="AD61" s="13"/>
      <c r="AE61" s="11"/>
      <c r="AF61" s="13"/>
      <c r="AG61" s="13"/>
      <c r="AH61" s="13"/>
      <c r="AI61" s="10"/>
      <c r="AJ61" s="11"/>
      <c r="AK61" s="13"/>
      <c r="AL61" s="13"/>
      <c r="AM61" s="13"/>
      <c r="AN61" s="13"/>
      <c r="AO61" s="11"/>
      <c r="AP61" s="11"/>
      <c r="AQ61" s="11"/>
      <c r="AR61" s="11"/>
      <c r="AS61" s="11"/>
      <c r="AT61" s="11"/>
      <c r="AU61" s="11"/>
    </row>
    <row r="62" spans="1:47">
      <c r="B62" s="2"/>
      <c r="C62" s="2"/>
      <c r="D62" s="2"/>
      <c r="G62" s="4">
        <f>(G57-G54)*627.51</f>
        <v>14.946660690001972</v>
      </c>
      <c r="H62" s="4">
        <f t="shared" ref="H62:I62" si="3">(H57-H54)*627.51</f>
        <v>14.164783229978513</v>
      </c>
      <c r="I62" s="20">
        <f t="shared" si="3"/>
        <v>16.665410580014264</v>
      </c>
      <c r="J62" s="11"/>
      <c r="L62" s="4">
        <f>(L57-L54)*627.51</f>
        <v>21.683608049971646</v>
      </c>
      <c r="M62" s="4">
        <f t="shared" ref="M62:N62" si="4">(M57-M54)*627.51</f>
        <v>21.416916300002921</v>
      </c>
      <c r="N62" s="20">
        <f t="shared" si="4"/>
        <v>21.817895189989301</v>
      </c>
      <c r="O62" s="11"/>
      <c r="Q62" s="4">
        <f>(Q57-Q54)*627.51</f>
        <v>19.643573039985785</v>
      </c>
      <c r="R62" s="4">
        <f t="shared" ref="R62:S62" si="5">(R57-R54)*627.51</f>
        <v>19.100776890000763</v>
      </c>
      <c r="S62" s="20">
        <f t="shared" si="5"/>
        <v>20.682102090003319</v>
      </c>
      <c r="T62" s="13"/>
      <c r="U62" s="11"/>
      <c r="V62" s="13"/>
      <c r="W62" s="13"/>
      <c r="X62" s="13"/>
      <c r="Y62" s="10"/>
      <c r="Z62" s="11"/>
      <c r="AA62" s="13"/>
      <c r="AB62" s="13"/>
      <c r="AC62" s="13"/>
      <c r="AD62" s="13"/>
      <c r="AE62" s="11"/>
      <c r="AF62" s="13"/>
      <c r="AG62" s="13"/>
      <c r="AH62" s="13"/>
      <c r="AI62" s="10"/>
      <c r="AJ62" s="11"/>
      <c r="AK62" s="13"/>
      <c r="AL62" s="13"/>
      <c r="AM62" s="13"/>
      <c r="AN62" s="13"/>
      <c r="AO62" s="11"/>
      <c r="AP62" s="11"/>
      <c r="AQ62" s="11"/>
      <c r="AR62" s="11"/>
      <c r="AS62" s="11"/>
      <c r="AT62" s="11"/>
      <c r="AU62" s="11"/>
    </row>
    <row r="63" spans="1:47" ht="15.6">
      <c r="B63" s="2"/>
      <c r="C63" s="2"/>
      <c r="D63" s="2"/>
      <c r="G63" s="3" t="s">
        <v>3</v>
      </c>
      <c r="H63" s="3" t="s">
        <v>7</v>
      </c>
      <c r="I63" s="3" t="s">
        <v>6</v>
      </c>
      <c r="J63" s="11"/>
      <c r="L63" s="3" t="s">
        <v>3</v>
      </c>
      <c r="M63" s="3" t="s">
        <v>7</v>
      </c>
      <c r="N63" s="3" t="s">
        <v>6</v>
      </c>
      <c r="O63" s="11"/>
      <c r="Q63" s="3" t="s">
        <v>3</v>
      </c>
      <c r="R63" s="3" t="s">
        <v>7</v>
      </c>
      <c r="S63" s="3" t="s">
        <v>6</v>
      </c>
      <c r="T63" s="13"/>
      <c r="U63" s="11"/>
      <c r="V63" s="13"/>
      <c r="W63" s="13"/>
      <c r="X63" s="13"/>
      <c r="Y63" s="10"/>
      <c r="Z63" s="11"/>
      <c r="AA63" s="13"/>
      <c r="AB63" s="13"/>
      <c r="AC63" s="13"/>
      <c r="AD63" s="13"/>
      <c r="AE63" s="11"/>
      <c r="AF63" s="13"/>
      <c r="AG63" s="13"/>
      <c r="AH63" s="13"/>
      <c r="AI63" s="10"/>
      <c r="AJ63" s="11"/>
      <c r="AK63" s="13"/>
      <c r="AL63" s="13"/>
      <c r="AM63" s="13"/>
      <c r="AN63" s="13"/>
      <c r="AO63" s="11"/>
      <c r="AP63" s="11"/>
      <c r="AQ63" s="11"/>
      <c r="AR63" s="11"/>
      <c r="AS63" s="11"/>
      <c r="AT63" s="11"/>
      <c r="AU63" s="11"/>
    </row>
    <row r="64" spans="1:47">
      <c r="B64" s="2"/>
      <c r="C64" s="2"/>
      <c r="D64" s="2"/>
      <c r="G64" s="4">
        <f>(G59-G54)*627.51</f>
        <v>2.8921935899745552</v>
      </c>
      <c r="H64" s="4">
        <f>(H59-H54)*627.51</f>
        <v>2.1316514699685696</v>
      </c>
      <c r="I64" s="4">
        <f>(I59-I54)*627.51</f>
        <v>4.3298189999832211</v>
      </c>
      <c r="J64" s="11"/>
      <c r="L64" s="4">
        <f>(L59-L54)*627.51</f>
        <v>4.4866965000151806</v>
      </c>
      <c r="M64" s="4">
        <f>(M59-M54)*627.51</f>
        <v>4.9924695599510001</v>
      </c>
      <c r="N64" s="4">
        <f>(N59-N54)*627.51</f>
        <v>3.7882778699950279</v>
      </c>
      <c r="O64" s="11"/>
      <c r="Q64" s="4">
        <f>(Q59-Q54)*627.51</f>
        <v>-41.933983259994875</v>
      </c>
      <c r="R64" s="4">
        <f>(R59-R54)*627.51</f>
        <v>-41.568772440060869</v>
      </c>
      <c r="S64" s="4">
        <f>(S59-S54)*627.51</f>
        <v>-42.205067580023851</v>
      </c>
      <c r="T64" s="13"/>
      <c r="U64" s="11"/>
      <c r="V64" s="13"/>
      <c r="W64" s="13"/>
      <c r="X64" s="13"/>
      <c r="Y64" s="10"/>
      <c r="Z64" s="11"/>
      <c r="AA64" s="13"/>
      <c r="AB64" s="13"/>
      <c r="AC64" s="13"/>
      <c r="AD64" s="13"/>
      <c r="AE64" s="11"/>
      <c r="AF64" s="13"/>
      <c r="AG64" s="13"/>
      <c r="AH64" s="13"/>
      <c r="AI64" s="10"/>
      <c r="AJ64" s="11"/>
      <c r="AK64" s="13"/>
      <c r="AL64" s="13"/>
      <c r="AM64" s="13"/>
      <c r="AN64" s="13"/>
      <c r="AO64" s="11"/>
      <c r="AP64" s="11"/>
      <c r="AQ64" s="11"/>
      <c r="AR64" s="11"/>
      <c r="AS64" s="11"/>
      <c r="AT64" s="11"/>
      <c r="AU64" s="11"/>
    </row>
    <row r="65" spans="1:47" ht="16.8">
      <c r="B65" s="2"/>
      <c r="C65" s="2"/>
      <c r="D65" s="2"/>
      <c r="G65" s="4"/>
      <c r="H65" s="21" t="s">
        <v>24</v>
      </c>
      <c r="I65" s="33">
        <f>($B$6*$B$4/$B$5)*EXP(-(I62)/($B$7*$B$4))</f>
        <v>3.7092700774201965</v>
      </c>
      <c r="J65" s="11"/>
      <c r="L65" s="4"/>
      <c r="M65" s="21" t="s">
        <v>24</v>
      </c>
      <c r="N65" s="22">
        <f>($B$6*$B$4/$B$5)*EXP(-(N62)/($B$7*$B$4))</f>
        <v>6.1655058325213756E-4</v>
      </c>
      <c r="O65" s="11"/>
      <c r="Q65" s="4"/>
      <c r="R65" s="21" t="s">
        <v>24</v>
      </c>
      <c r="S65" s="22">
        <f>($B$6*$B$4/$B$5)*EXP(-(S62)/($B$7*$B$4))</f>
        <v>4.1982359349374077E-3</v>
      </c>
      <c r="T65" s="13"/>
      <c r="U65" s="11"/>
      <c r="V65" s="13"/>
      <c r="W65" s="13"/>
      <c r="X65" s="13"/>
      <c r="Y65" s="10"/>
      <c r="Z65" s="11"/>
      <c r="AA65" s="13"/>
      <c r="AB65" s="13"/>
      <c r="AC65" s="13"/>
      <c r="AD65" s="13"/>
      <c r="AE65" s="11"/>
      <c r="AF65" s="13"/>
      <c r="AG65" s="13"/>
      <c r="AH65" s="13"/>
      <c r="AI65" s="10"/>
      <c r="AJ65" s="11"/>
      <c r="AK65" s="13"/>
      <c r="AL65" s="13"/>
      <c r="AM65" s="13"/>
      <c r="AN65" s="13"/>
      <c r="AO65" s="11"/>
      <c r="AP65" s="11"/>
      <c r="AQ65" s="11"/>
      <c r="AR65" s="11"/>
      <c r="AS65" s="11"/>
      <c r="AT65" s="11"/>
      <c r="AU65" s="11"/>
    </row>
    <row r="66" spans="1:47" ht="16.8">
      <c r="B66" s="2"/>
      <c r="C66" s="2"/>
      <c r="D66" s="2"/>
      <c r="G66" s="4"/>
      <c r="H66" s="21"/>
      <c r="I66" s="22"/>
      <c r="J66" s="11"/>
      <c r="L66" s="4"/>
      <c r="M66" s="21" t="s">
        <v>31</v>
      </c>
      <c r="N66" s="30">
        <v>0.92</v>
      </c>
      <c r="O66" s="7" t="s">
        <v>199</v>
      </c>
      <c r="Q66" s="4"/>
      <c r="R66" s="21" t="s">
        <v>31</v>
      </c>
      <c r="S66" s="30">
        <v>1.8</v>
      </c>
      <c r="T66" s="7" t="s">
        <v>199</v>
      </c>
      <c r="U66" s="11" t="s">
        <v>159</v>
      </c>
      <c r="V66" s="13"/>
      <c r="W66" s="13"/>
      <c r="X66" s="13"/>
      <c r="Y66" s="11"/>
      <c r="Z66" s="11"/>
      <c r="AA66" s="13"/>
      <c r="AB66" s="13"/>
      <c r="AC66" s="13"/>
      <c r="AD66" s="13"/>
      <c r="AE66" s="11"/>
      <c r="AF66" s="13"/>
      <c r="AG66" s="13"/>
      <c r="AH66" s="13"/>
      <c r="AI66" s="11"/>
      <c r="AJ66" s="11"/>
      <c r="AK66" s="13"/>
      <c r="AL66" s="13"/>
      <c r="AM66" s="13"/>
      <c r="AN66" s="13"/>
      <c r="AO66" s="11"/>
      <c r="AP66" s="11"/>
      <c r="AQ66" s="11"/>
      <c r="AR66" s="11"/>
      <c r="AS66" s="11"/>
      <c r="AT66" s="11"/>
      <c r="AU66" s="11"/>
    </row>
    <row r="67" spans="1:47" s="11" customFormat="1" ht="16.8">
      <c r="B67" s="13"/>
      <c r="C67" s="13"/>
      <c r="D67" s="13"/>
      <c r="G67" s="13"/>
      <c r="H67" s="13"/>
      <c r="I67" s="13"/>
      <c r="L67" s="13"/>
      <c r="M67" s="13"/>
      <c r="N67" s="13"/>
      <c r="P67"/>
      <c r="Q67" s="4"/>
      <c r="R67" s="21" t="s">
        <v>31</v>
      </c>
      <c r="S67" s="22">
        <v>0.75</v>
      </c>
      <c r="T67" s="7" t="s">
        <v>158</v>
      </c>
      <c r="U67" s="11" t="s">
        <v>160</v>
      </c>
      <c r="V67" s="13"/>
      <c r="W67" s="13"/>
      <c r="X67" s="13"/>
      <c r="AA67" s="13"/>
      <c r="AB67" s="13"/>
      <c r="AC67" s="13"/>
      <c r="AD67" s="13"/>
      <c r="AF67" s="13"/>
      <c r="AG67" s="13"/>
      <c r="AH67" s="13"/>
      <c r="AK67" s="13"/>
      <c r="AL67" s="13"/>
      <c r="AM67" s="13"/>
      <c r="AN67" s="13"/>
    </row>
    <row r="68" spans="1:47" s="11" customFormat="1">
      <c r="B68" s="13"/>
      <c r="C68" s="13"/>
      <c r="D68" s="13"/>
      <c r="G68" s="13"/>
      <c r="H68" s="13"/>
      <c r="I68" s="13"/>
      <c r="L68" s="13"/>
      <c r="M68" s="13"/>
      <c r="N68" s="13"/>
      <c r="Q68" s="7"/>
      <c r="R68" s="26"/>
      <c r="S68" s="22"/>
      <c r="T68" s="7"/>
      <c r="V68" s="13"/>
      <c r="W68" s="13"/>
      <c r="X68" s="13"/>
      <c r="AA68" s="13"/>
      <c r="AB68" s="13"/>
      <c r="AC68" s="13"/>
      <c r="AD68" s="13"/>
      <c r="AF68" s="13"/>
      <c r="AG68" s="13"/>
      <c r="AH68" s="13"/>
      <c r="AK68" s="13"/>
      <c r="AL68" s="13"/>
      <c r="AM68" s="13"/>
      <c r="AN68" s="13"/>
    </row>
    <row r="69" spans="1:47" s="11" customFormat="1">
      <c r="B69" s="13"/>
      <c r="C69" s="13"/>
      <c r="D69" s="13"/>
      <c r="G69" s="13"/>
      <c r="H69" s="13"/>
      <c r="I69" s="13"/>
      <c r="L69" s="13"/>
      <c r="M69" s="13"/>
      <c r="N69" s="13"/>
      <c r="Q69" s="7"/>
      <c r="R69" s="26"/>
      <c r="S69" s="22"/>
      <c r="T69" s="7"/>
      <c r="V69" s="13"/>
      <c r="W69" s="13"/>
      <c r="X69" s="13"/>
      <c r="AA69" s="13"/>
      <c r="AB69" s="13"/>
      <c r="AC69" s="13"/>
      <c r="AD69" s="13"/>
      <c r="AF69" s="13"/>
      <c r="AG69" s="13"/>
      <c r="AH69" s="13"/>
      <c r="AK69" s="13"/>
      <c r="AL69" s="13"/>
      <c r="AM69" s="13"/>
      <c r="AN69" s="13"/>
    </row>
    <row r="70" spans="1:47" s="18" customFormat="1">
      <c r="A70" s="18" t="s">
        <v>27</v>
      </c>
    </row>
    <row r="71" spans="1:47">
      <c r="A71" s="28" t="s">
        <v>32</v>
      </c>
      <c r="F71" s="11"/>
      <c r="G71" s="13"/>
      <c r="H71" s="13"/>
      <c r="I71" s="13"/>
      <c r="J71" s="10"/>
      <c r="K71" s="11"/>
      <c r="L71" s="14"/>
      <c r="M71" s="14"/>
      <c r="N71" s="14"/>
      <c r="O71" s="11"/>
      <c r="P71" s="11"/>
      <c r="Q71" s="14"/>
      <c r="R71" s="14"/>
      <c r="S71" s="14"/>
      <c r="T71" s="13"/>
      <c r="U71" s="11"/>
      <c r="V71" s="14"/>
      <c r="W71" s="14"/>
      <c r="X71" s="14"/>
      <c r="Y71" s="11"/>
      <c r="Z71" s="11"/>
      <c r="AA71" s="14"/>
      <c r="AB71" s="14"/>
      <c r="AC71" s="14"/>
      <c r="AD71" s="13"/>
      <c r="AE71" s="11"/>
      <c r="AF71" s="14"/>
      <c r="AG71" s="14"/>
      <c r="AH71" s="14"/>
      <c r="AI71" s="11"/>
      <c r="AJ71" s="11"/>
      <c r="AK71" s="14"/>
      <c r="AL71" s="14"/>
      <c r="AM71" s="14"/>
      <c r="AN71" s="13"/>
      <c r="AO71" s="11"/>
      <c r="AP71" s="11"/>
      <c r="AQ71" s="11"/>
      <c r="AR71" s="11"/>
      <c r="AS71" s="11"/>
      <c r="AT71" s="11"/>
      <c r="AU71" s="11"/>
    </row>
    <row r="72" spans="1:47">
      <c r="A72" s="1" t="s">
        <v>35</v>
      </c>
      <c r="F72" s="36" t="s">
        <v>190</v>
      </c>
      <c r="G72" s="14"/>
      <c r="H72" s="14"/>
      <c r="I72" s="14"/>
      <c r="J72" s="11"/>
      <c r="K72" s="36" t="s">
        <v>190</v>
      </c>
      <c r="L72" s="7"/>
      <c r="M72" s="7"/>
      <c r="N72" s="7"/>
      <c r="O72" s="11"/>
      <c r="P72" s="11"/>
      <c r="Q72" s="7"/>
      <c r="R72" s="7"/>
      <c r="S72" s="7"/>
      <c r="T72" s="13"/>
      <c r="U72" s="11"/>
      <c r="V72" s="7"/>
      <c r="W72" s="7"/>
      <c r="X72" s="7"/>
      <c r="Y72" s="11"/>
      <c r="Z72" s="11"/>
      <c r="AA72" s="7"/>
      <c r="AB72" s="7"/>
      <c r="AC72" s="7"/>
      <c r="AD72" s="13"/>
      <c r="AE72" s="11"/>
      <c r="AF72" s="7"/>
      <c r="AG72" s="7"/>
      <c r="AH72" s="7"/>
      <c r="AI72" s="11"/>
      <c r="AJ72" s="11"/>
      <c r="AK72" s="7"/>
      <c r="AL72" s="7"/>
      <c r="AM72" s="7"/>
      <c r="AN72" s="13"/>
      <c r="AO72" s="11"/>
      <c r="AP72" s="11"/>
      <c r="AQ72" s="11"/>
      <c r="AR72" s="11"/>
      <c r="AS72" s="11"/>
      <c r="AT72" s="11"/>
      <c r="AU72" s="11"/>
    </row>
    <row r="73" spans="1:47" ht="15.6">
      <c r="A73" s="1" t="s">
        <v>34</v>
      </c>
      <c r="B73" s="5" t="s">
        <v>8</v>
      </c>
      <c r="C73" s="5" t="s">
        <v>0</v>
      </c>
      <c r="D73" s="5" t="s">
        <v>1</v>
      </c>
      <c r="F73" s="1" t="s">
        <v>93</v>
      </c>
      <c r="G73" s="16"/>
      <c r="H73" s="16"/>
      <c r="I73" s="16"/>
      <c r="J73" s="16"/>
      <c r="K73" s="1" t="s">
        <v>402</v>
      </c>
      <c r="L73" s="25"/>
      <c r="M73" s="25"/>
      <c r="N73" s="25"/>
      <c r="O73" s="7"/>
      <c r="P73" s="11"/>
      <c r="Q73" s="14"/>
      <c r="R73" s="14"/>
      <c r="S73" s="14"/>
      <c r="T73" s="13"/>
      <c r="U73" s="11"/>
      <c r="V73" s="14"/>
      <c r="W73" s="14"/>
      <c r="X73" s="14"/>
      <c r="Y73" s="11"/>
      <c r="Z73" s="11"/>
      <c r="AA73" s="14"/>
      <c r="AB73" s="14"/>
      <c r="AC73" s="14"/>
      <c r="AD73" s="13"/>
      <c r="AE73" s="11"/>
      <c r="AF73" s="14"/>
      <c r="AG73" s="14"/>
      <c r="AH73" s="14"/>
      <c r="AI73" s="11"/>
      <c r="AJ73" s="11"/>
      <c r="AK73" s="14"/>
      <c r="AL73" s="14"/>
      <c r="AM73" s="14"/>
      <c r="AN73" s="13"/>
      <c r="AO73" s="11"/>
      <c r="AP73" s="11"/>
      <c r="AQ73" s="11"/>
      <c r="AR73" s="11"/>
      <c r="AS73" s="11"/>
      <c r="AT73" s="11"/>
      <c r="AU73" s="11"/>
    </row>
    <row r="74" spans="1:47" ht="15.6">
      <c r="A74" t="s">
        <v>48</v>
      </c>
      <c r="B74" s="31">
        <v>-766.89549999999997</v>
      </c>
      <c r="C74" s="2">
        <v>-766.87833599999999</v>
      </c>
      <c r="D74" s="2">
        <v>-766.93963399999996</v>
      </c>
      <c r="G74" s="5" t="s">
        <v>8</v>
      </c>
      <c r="H74" s="5" t="s">
        <v>0</v>
      </c>
      <c r="I74" s="5" t="s">
        <v>1</v>
      </c>
      <c r="L74" s="5" t="s">
        <v>8</v>
      </c>
      <c r="M74" s="5" t="s">
        <v>0</v>
      </c>
      <c r="N74" s="5" t="s">
        <v>1</v>
      </c>
      <c r="O74" s="11"/>
      <c r="P74" s="11"/>
      <c r="Q74" s="7"/>
      <c r="R74" s="7"/>
      <c r="S74" s="7"/>
      <c r="T74" s="13"/>
      <c r="U74" s="11"/>
      <c r="V74" s="7"/>
      <c r="W74" s="7"/>
      <c r="X74" s="7"/>
      <c r="Y74" s="11"/>
      <c r="Z74" s="11"/>
      <c r="AA74" s="7"/>
      <c r="AB74" s="7"/>
      <c r="AC74" s="7"/>
      <c r="AD74" s="13"/>
      <c r="AE74" s="11"/>
      <c r="AF74" s="7"/>
      <c r="AG74" s="7"/>
      <c r="AH74" s="7"/>
      <c r="AI74" s="11"/>
      <c r="AJ74" s="11"/>
      <c r="AK74" s="7"/>
      <c r="AL74" s="7"/>
      <c r="AM74" s="7"/>
      <c r="AN74" s="13"/>
      <c r="AO74" s="11"/>
      <c r="AP74" s="11"/>
      <c r="AQ74" s="11"/>
      <c r="AR74" s="11"/>
      <c r="AS74" s="11"/>
      <c r="AT74" s="11"/>
      <c r="AU74" s="11"/>
    </row>
    <row r="75" spans="1:47">
      <c r="A75" t="s">
        <v>51</v>
      </c>
      <c r="B75" s="2">
        <v>-766.89053000000001</v>
      </c>
      <c r="C75" s="2">
        <v>-766.87378000000001</v>
      </c>
      <c r="D75" s="2">
        <v>-766.93352100000004</v>
      </c>
      <c r="F75" t="s">
        <v>121</v>
      </c>
      <c r="G75" s="2">
        <v>-766.90028600000005</v>
      </c>
      <c r="H75" s="2">
        <v>-766.88330900000005</v>
      </c>
      <c r="I75" s="2">
        <v>-766.94364599999994</v>
      </c>
      <c r="K75" t="s">
        <v>121</v>
      </c>
      <c r="L75" s="2">
        <v>-766.90028600000005</v>
      </c>
      <c r="M75" s="2">
        <v>-766.88330900000005</v>
      </c>
      <c r="N75" s="2">
        <v>-766.94364599999994</v>
      </c>
      <c r="O75" s="11"/>
      <c r="P75" s="11"/>
      <c r="Q75" s="7"/>
      <c r="R75" s="26"/>
      <c r="S75" s="22"/>
      <c r="T75" s="14"/>
      <c r="U75" s="11"/>
      <c r="V75" s="7"/>
      <c r="W75" s="26"/>
      <c r="X75" s="22"/>
      <c r="Y75" s="23"/>
      <c r="Z75" s="11"/>
      <c r="AA75" s="7"/>
      <c r="AB75" s="26"/>
      <c r="AC75" s="22"/>
      <c r="AD75" s="14"/>
      <c r="AE75" s="11"/>
      <c r="AF75" s="7"/>
      <c r="AG75" s="26"/>
      <c r="AH75" s="22"/>
      <c r="AI75" s="23"/>
      <c r="AJ75" s="11"/>
      <c r="AK75" s="7"/>
      <c r="AL75" s="26"/>
      <c r="AM75" s="22"/>
      <c r="AN75" s="14"/>
      <c r="AO75" s="11"/>
      <c r="AP75" s="11"/>
      <c r="AQ75" s="11"/>
      <c r="AR75" s="11"/>
      <c r="AS75" s="11"/>
      <c r="AT75" s="11"/>
      <c r="AU75" s="11"/>
    </row>
    <row r="76" spans="1:47">
      <c r="A76" t="s">
        <v>52</v>
      </c>
      <c r="B76" s="2">
        <v>-766.89073099999996</v>
      </c>
      <c r="C76" s="2">
        <v>-766.874056</v>
      </c>
      <c r="D76" s="2">
        <v>-766.93364799999995</v>
      </c>
      <c r="F76" t="s">
        <v>26</v>
      </c>
      <c r="G76" s="2">
        <v>-766.86605499999996</v>
      </c>
      <c r="H76" s="2">
        <v>-766.850776</v>
      </c>
      <c r="I76" s="2">
        <v>-766.90594899999996</v>
      </c>
      <c r="J76" s="1" t="s">
        <v>83</v>
      </c>
      <c r="K76" t="s">
        <v>26</v>
      </c>
      <c r="L76" s="2">
        <v>-766.87432100000001</v>
      </c>
      <c r="M76" s="2">
        <v>-766.85856000000001</v>
      </c>
      <c r="N76" s="2">
        <v>-766.91562299999998</v>
      </c>
      <c r="P76" s="11"/>
      <c r="Q76" s="7"/>
      <c r="R76" s="26"/>
      <c r="S76" s="22"/>
      <c r="T76" s="7"/>
      <c r="U76" s="11"/>
      <c r="V76" s="7"/>
      <c r="W76" s="26"/>
      <c r="X76" s="22"/>
      <c r="Y76" s="11"/>
      <c r="Z76" s="11"/>
      <c r="AA76" s="7"/>
      <c r="AB76" s="26"/>
      <c r="AC76" s="22"/>
      <c r="AD76" s="7"/>
      <c r="AE76" s="11"/>
      <c r="AF76" s="7"/>
      <c r="AG76" s="26"/>
      <c r="AH76" s="22"/>
      <c r="AI76" s="11"/>
      <c r="AJ76" s="11"/>
      <c r="AK76" s="7"/>
      <c r="AL76" s="26"/>
      <c r="AM76" s="22"/>
      <c r="AN76" s="7"/>
      <c r="AO76" s="11"/>
      <c r="AP76" s="11"/>
      <c r="AQ76" s="11"/>
      <c r="AR76" s="11"/>
      <c r="AS76" s="11"/>
      <c r="AT76" s="11"/>
      <c r="AU76" s="11"/>
    </row>
    <row r="77" spans="1:47">
      <c r="A77" t="s">
        <v>53</v>
      </c>
      <c r="B77" s="2">
        <v>-766.89682400000004</v>
      </c>
      <c r="C77" s="2">
        <v>-766.88048500000002</v>
      </c>
      <c r="D77" s="2">
        <v>-766.938399</v>
      </c>
      <c r="F77" t="s">
        <v>127</v>
      </c>
      <c r="G77" s="2">
        <v>-766.85505599999999</v>
      </c>
      <c r="H77" s="2">
        <v>-766.83923200000004</v>
      </c>
      <c r="I77" s="2">
        <v>-766.89624000000003</v>
      </c>
      <c r="K77" t="s">
        <v>127</v>
      </c>
      <c r="L77" s="2">
        <v>-766.86747400000002</v>
      </c>
      <c r="M77" s="2">
        <v>-766.85180000000003</v>
      </c>
      <c r="N77" s="2">
        <v>-766.90851299999997</v>
      </c>
      <c r="O77" s="7"/>
      <c r="P77" s="7"/>
      <c r="Q77" s="7"/>
      <c r="R77" s="26"/>
      <c r="S77" s="22"/>
      <c r="T77" s="7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>
      <c r="A78" t="s">
        <v>75</v>
      </c>
      <c r="B78" s="2">
        <v>-766.8972</v>
      </c>
      <c r="C78" s="2">
        <v>-766.88022599999999</v>
      </c>
      <c r="D78" s="2">
        <v>-766.940968</v>
      </c>
      <c r="F78" t="s">
        <v>99</v>
      </c>
      <c r="G78" s="2">
        <v>-766.88903800000003</v>
      </c>
      <c r="H78" s="2">
        <v>-766.87323100000003</v>
      </c>
      <c r="I78" s="2">
        <v>-766.92973099999995</v>
      </c>
      <c r="J78" s="1" t="s">
        <v>83</v>
      </c>
      <c r="K78" t="s">
        <v>100</v>
      </c>
      <c r="L78" s="2">
        <v>-766.89079700000002</v>
      </c>
      <c r="M78" s="2">
        <v>-766.874776</v>
      </c>
      <c r="N78" s="2">
        <v>-766.93265799999995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>
      <c r="A79" t="s">
        <v>121</v>
      </c>
      <c r="B79" s="2">
        <v>-766.90028600000005</v>
      </c>
      <c r="C79" s="2">
        <v>-766.88330900000005</v>
      </c>
      <c r="D79" s="2">
        <v>-766.94364599999994</v>
      </c>
      <c r="E79" s="1" t="s">
        <v>83</v>
      </c>
      <c r="F79" t="s">
        <v>136</v>
      </c>
      <c r="G79" s="2">
        <v>-766.87967200000003</v>
      </c>
      <c r="H79" s="2">
        <v>-766.86373900000001</v>
      </c>
      <c r="I79" s="2">
        <v>-766.92077600000005</v>
      </c>
      <c r="K79" t="s">
        <v>139</v>
      </c>
      <c r="L79" s="2">
        <v>-766.89231800000005</v>
      </c>
      <c r="M79" s="2">
        <v>-766.87655500000005</v>
      </c>
      <c r="N79" s="2">
        <v>-766.93315099999995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47" ht="16.8">
      <c r="A80" s="35" t="s">
        <v>166</v>
      </c>
      <c r="B80" s="31">
        <v>-766.89869999999996</v>
      </c>
      <c r="C80" s="31">
        <v>-766.88164400000005</v>
      </c>
      <c r="D80" s="31">
        <v>-766.94222500000001</v>
      </c>
      <c r="E80" s="4">
        <f>(B79-$B$17)*627.51</f>
        <v>0.50765559000240612</v>
      </c>
      <c r="G80" s="3" t="s">
        <v>2</v>
      </c>
      <c r="H80" s="3" t="s">
        <v>4</v>
      </c>
      <c r="I80" s="3" t="s">
        <v>5</v>
      </c>
      <c r="J80" s="6"/>
      <c r="K80" s="1" t="s">
        <v>167</v>
      </c>
      <c r="L80" s="34">
        <v>-766.894588</v>
      </c>
      <c r="M80" s="34">
        <v>-766.87866499999996</v>
      </c>
      <c r="N80" s="34">
        <v>-766.93553999999995</v>
      </c>
      <c r="O80" s="1" t="s">
        <v>83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1:47">
      <c r="A81" s="110" t="s">
        <v>466</v>
      </c>
      <c r="B81" s="109">
        <v>-766.89409699999999</v>
      </c>
      <c r="C81" s="109">
        <v>-766.87727900000004</v>
      </c>
      <c r="D81" s="109">
        <v>-766.93739000000005</v>
      </c>
      <c r="E81" s="1"/>
      <c r="G81" s="4">
        <f>(G76-G75)*627.51</f>
        <v>21.480294810056925</v>
      </c>
      <c r="H81" s="4">
        <f>(H76-H75)*627.51</f>
        <v>20.414782830036177</v>
      </c>
      <c r="I81" s="20">
        <f>(I76-I75)*627.51</f>
        <v>23.655244469987515</v>
      </c>
      <c r="K81" s="1" t="s">
        <v>154</v>
      </c>
      <c r="L81" s="34">
        <v>-766.87802399999998</v>
      </c>
      <c r="M81" s="34">
        <v>-766.86250199999995</v>
      </c>
      <c r="N81" s="34">
        <v>-766.91852400000005</v>
      </c>
      <c r="O81" s="1" t="s">
        <v>83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1:47" ht="16.8">
      <c r="A82" s="110" t="s">
        <v>469</v>
      </c>
      <c r="B82" s="109">
        <v>-766.89427599999999</v>
      </c>
      <c r="C82" s="109">
        <v>-766.87721499999998</v>
      </c>
      <c r="D82" s="109">
        <v>-766.93900599999995</v>
      </c>
      <c r="E82" s="1"/>
      <c r="G82" s="3" t="s">
        <v>3</v>
      </c>
      <c r="H82" s="3" t="s">
        <v>7</v>
      </c>
      <c r="I82" s="3" t="s">
        <v>6</v>
      </c>
      <c r="L82" s="3" t="s">
        <v>2</v>
      </c>
      <c r="M82" s="3" t="s">
        <v>4</v>
      </c>
      <c r="N82" s="3" t="s">
        <v>5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ht="15.6">
      <c r="B83" s="2"/>
      <c r="C83" s="111" t="s">
        <v>471</v>
      </c>
      <c r="D83" s="112">
        <f>627.51*(D82-D79)</f>
        <v>2.9116463999967812</v>
      </c>
      <c r="E83" s="1"/>
      <c r="G83" s="4">
        <f>(G78-G75)*627.51</f>
        <v>7.058232480014583</v>
      </c>
      <c r="H83" s="4">
        <f>(H78-H75)*627.51</f>
        <v>6.324045780013396</v>
      </c>
      <c r="I83" s="4">
        <f>(I78-I75)*627.51</f>
        <v>8.731801649998264</v>
      </c>
      <c r="L83" s="4">
        <f>(L81-L75)*627.51</f>
        <v>13.969627620043196</v>
      </c>
      <c r="M83" s="4">
        <f t="shared" ref="M83:N83" si="6">(M81-M75)*627.51</f>
        <v>13.0566005700655</v>
      </c>
      <c r="N83" s="20">
        <f t="shared" si="6"/>
        <v>15.764306219935126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1:47" ht="16.8">
      <c r="B84" s="2"/>
      <c r="C84" s="2"/>
      <c r="D84" s="2"/>
      <c r="E84" s="1"/>
      <c r="G84" s="4"/>
      <c r="H84" s="21" t="s">
        <v>24</v>
      </c>
      <c r="I84" s="30">
        <f>($B$6*$B$4/$B$5)*EXP(-(I81)/($B$7*$B$4))</f>
        <v>2.7687446235060284E-5</v>
      </c>
      <c r="J84" s="7"/>
      <c r="L84" s="3" t="s">
        <v>3</v>
      </c>
      <c r="M84" s="3" t="s">
        <v>7</v>
      </c>
      <c r="N84" s="3" t="s">
        <v>6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>
      <c r="B85" s="2"/>
      <c r="C85" s="2"/>
      <c r="D85" s="2"/>
      <c r="E85" s="1"/>
      <c r="G85" s="4"/>
      <c r="H85" s="21"/>
      <c r="I85" s="22"/>
      <c r="J85" s="16"/>
      <c r="L85" s="4">
        <f>(L80-L75)*627.51</f>
        <v>3.5755519800327318</v>
      </c>
      <c r="M85" s="4">
        <f t="shared" ref="M85:N85" si="7">(M80-M75)*627.51</f>
        <v>2.9141564400617836</v>
      </c>
      <c r="N85" s="4">
        <f t="shared" si="7"/>
        <v>5.0865960599987128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1:47" ht="16.8">
      <c r="B86" s="2"/>
      <c r="C86" s="2"/>
      <c r="D86" s="2"/>
      <c r="E86" s="1"/>
      <c r="G86" s="4"/>
      <c r="H86" s="21"/>
      <c r="I86" s="22"/>
      <c r="J86" s="16"/>
      <c r="K86" s="11"/>
      <c r="L86" s="4"/>
      <c r="M86" s="21" t="s">
        <v>24</v>
      </c>
      <c r="N86" s="33">
        <f>($B$6*$B$4/$B$5)*EXP(-(N83)/($B$7*$B$4))</f>
        <v>16.991967026899104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1:47" s="11" customFormat="1">
      <c r="B87" s="13"/>
      <c r="C87" s="13"/>
      <c r="D87" s="13"/>
      <c r="E87" s="10"/>
      <c r="G87" s="7"/>
      <c r="H87" s="26"/>
      <c r="I87" s="22"/>
      <c r="J87" s="25"/>
      <c r="L87" s="7"/>
      <c r="M87" s="26"/>
      <c r="N87" s="22"/>
    </row>
    <row r="88" spans="1:47">
      <c r="F88" s="36" t="s">
        <v>190</v>
      </c>
      <c r="G88" s="7"/>
      <c r="H88" s="26"/>
      <c r="I88" s="22"/>
      <c r="K88" s="36" t="s">
        <v>190</v>
      </c>
      <c r="L88" s="4"/>
      <c r="M88" s="21"/>
      <c r="N88" s="22"/>
      <c r="O88" s="11"/>
      <c r="P88" s="36" t="s">
        <v>190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ht="15.6">
      <c r="A89" s="1" t="s">
        <v>49</v>
      </c>
      <c r="B89" s="5" t="s">
        <v>8</v>
      </c>
      <c r="C89" s="5" t="s">
        <v>0</v>
      </c>
      <c r="D89" s="5" t="s">
        <v>1</v>
      </c>
      <c r="F89" s="1" t="s">
        <v>401</v>
      </c>
      <c r="G89" s="16"/>
      <c r="H89" s="16"/>
      <c r="I89" s="16"/>
      <c r="K89" s="1" t="s">
        <v>95</v>
      </c>
      <c r="L89" s="25"/>
      <c r="M89" s="25"/>
      <c r="N89" s="25"/>
      <c r="O89" s="11"/>
      <c r="P89" s="1" t="s">
        <v>97</v>
      </c>
      <c r="Q89" s="25"/>
      <c r="R89" s="25"/>
      <c r="S89" s="25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ht="15.6">
      <c r="A90" t="s">
        <v>54</v>
      </c>
      <c r="B90" s="31">
        <v>-766.89136800000006</v>
      </c>
      <c r="C90" s="2">
        <v>-766.87428</v>
      </c>
      <c r="D90" s="2">
        <v>-766.93495900000005</v>
      </c>
      <c r="G90" s="5" t="s">
        <v>8</v>
      </c>
      <c r="H90" s="5" t="s">
        <v>0</v>
      </c>
      <c r="I90" s="5" t="s">
        <v>1</v>
      </c>
      <c r="L90" s="5" t="s">
        <v>8</v>
      </c>
      <c r="M90" s="5" t="s">
        <v>0</v>
      </c>
      <c r="N90" s="5" t="s">
        <v>1</v>
      </c>
      <c r="O90" s="11"/>
      <c r="Q90" s="5" t="s">
        <v>8</v>
      </c>
      <c r="R90" s="5" t="s">
        <v>0</v>
      </c>
      <c r="S90" s="5" t="s">
        <v>1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>
      <c r="A91" t="s">
        <v>55</v>
      </c>
      <c r="B91" s="2">
        <v>-766.88658199999998</v>
      </c>
      <c r="C91" s="2">
        <v>-766.86912600000005</v>
      </c>
      <c r="D91" s="2">
        <v>-766.93100400000003</v>
      </c>
      <c r="F91" t="s">
        <v>172</v>
      </c>
      <c r="G91" s="2">
        <v>-766.89664100000005</v>
      </c>
      <c r="H91" s="2">
        <v>-766.87980000000005</v>
      </c>
      <c r="I91" s="2">
        <v>-766.93977500000005</v>
      </c>
      <c r="K91" t="s">
        <v>172</v>
      </c>
      <c r="L91" s="2">
        <v>-766.89664100000005</v>
      </c>
      <c r="M91" s="2">
        <v>-766.87980000000005</v>
      </c>
      <c r="N91" s="2">
        <v>-766.93977500000005</v>
      </c>
      <c r="O91" s="11"/>
      <c r="P91" t="s">
        <v>172</v>
      </c>
      <c r="Q91" s="2">
        <v>-766.89664100000005</v>
      </c>
      <c r="R91" s="2">
        <v>-766.87980000000005</v>
      </c>
      <c r="S91" s="2">
        <v>-766.93977500000005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1:47">
      <c r="A92" t="s">
        <v>56</v>
      </c>
      <c r="B92" s="2">
        <v>-766.89141099999995</v>
      </c>
      <c r="C92" s="2">
        <v>-766.87390200000004</v>
      </c>
      <c r="D92" s="2">
        <v>-766.93606499999999</v>
      </c>
      <c r="F92" t="s">
        <v>26</v>
      </c>
      <c r="G92" s="2">
        <v>-766.871172</v>
      </c>
      <c r="H92" s="2">
        <v>-766.85497699999996</v>
      </c>
      <c r="I92" s="2">
        <v>-766.91324699999996</v>
      </c>
      <c r="K92" t="s">
        <v>26</v>
      </c>
      <c r="L92" s="2">
        <v>-766.86204699999996</v>
      </c>
      <c r="M92" s="2">
        <v>-766.845415</v>
      </c>
      <c r="N92" s="2">
        <v>-766.90451800000005</v>
      </c>
      <c r="O92" s="11"/>
      <c r="P92" t="s">
        <v>26</v>
      </c>
      <c r="Q92" s="2">
        <v>-766.86309400000005</v>
      </c>
      <c r="R92" s="2">
        <v>-766.84667999999999</v>
      </c>
      <c r="S92" s="2">
        <v>-766.90551300000004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7">
      <c r="A93" t="s">
        <v>57</v>
      </c>
      <c r="B93" s="2">
        <v>-766.89136800000006</v>
      </c>
      <c r="C93" s="2">
        <v>-766.874279</v>
      </c>
      <c r="D93" s="2">
        <v>-766.93496100000004</v>
      </c>
      <c r="F93" t="s">
        <v>127</v>
      </c>
      <c r="G93" s="2">
        <v>-766.87501899999995</v>
      </c>
      <c r="H93" s="2">
        <v>-766.859105</v>
      </c>
      <c r="I93" s="2">
        <v>-766.91646300000002</v>
      </c>
      <c r="J93" s="1" t="s">
        <v>83</v>
      </c>
      <c r="K93" t="s">
        <v>127</v>
      </c>
      <c r="L93" s="2">
        <v>-766.86305100000004</v>
      </c>
      <c r="M93" s="2">
        <v>-766.84640899999999</v>
      </c>
      <c r="N93" s="2">
        <v>-766.90549799999997</v>
      </c>
      <c r="P93" t="s">
        <v>127</v>
      </c>
      <c r="Q93" s="2">
        <v>-766.86626999999999</v>
      </c>
      <c r="R93" s="2">
        <v>-766.84992799999998</v>
      </c>
      <c r="S93" s="2">
        <v>-766.90860599999996</v>
      </c>
      <c r="T93" s="1" t="s">
        <v>83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7">
      <c r="A94" t="s">
        <v>78</v>
      </c>
      <c r="B94" s="2">
        <v>-766.89190199999996</v>
      </c>
      <c r="C94" s="2">
        <v>-766.87452199999996</v>
      </c>
      <c r="D94" s="2">
        <v>-766.936196</v>
      </c>
      <c r="F94" t="s">
        <v>103</v>
      </c>
      <c r="G94" s="2">
        <v>-766.89414499999998</v>
      </c>
      <c r="H94" s="2">
        <v>-766.87867500000004</v>
      </c>
      <c r="I94" s="2">
        <v>-766.93475100000001</v>
      </c>
      <c r="J94" s="1" t="s">
        <v>83</v>
      </c>
      <c r="K94" t="s">
        <v>154</v>
      </c>
      <c r="L94" s="2">
        <v>-766.86301300000002</v>
      </c>
      <c r="M94" s="2">
        <v>-766.84637099999998</v>
      </c>
      <c r="N94" s="2">
        <v>-766.90563099999997</v>
      </c>
      <c r="P94" t="s">
        <v>154</v>
      </c>
      <c r="Q94" s="2">
        <v>-766.86369400000001</v>
      </c>
      <c r="R94" s="2">
        <v>-766.84736499999997</v>
      </c>
      <c r="S94" s="2">
        <v>-766.90619300000003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7">
      <c r="A95" t="s">
        <v>122</v>
      </c>
      <c r="B95" s="2">
        <v>-766.89214000000004</v>
      </c>
      <c r="C95" s="2">
        <v>-766.87477799999999</v>
      </c>
      <c r="D95" s="2">
        <v>-766.93655699999999</v>
      </c>
      <c r="F95" t="s">
        <v>137</v>
      </c>
      <c r="G95" s="2">
        <v>-766.89047300000004</v>
      </c>
      <c r="H95" s="2">
        <v>-766.87451599999997</v>
      </c>
      <c r="I95" s="2">
        <v>-766.93205599999999</v>
      </c>
      <c r="K95" t="s">
        <v>183</v>
      </c>
      <c r="L95" s="2">
        <v>-766.86421800000005</v>
      </c>
      <c r="M95" s="2">
        <v>-766.84780599999999</v>
      </c>
      <c r="N95" s="2">
        <v>-766.90668800000003</v>
      </c>
      <c r="O95" s="1" t="s">
        <v>83</v>
      </c>
      <c r="P95" t="s">
        <v>183</v>
      </c>
      <c r="Q95" s="2">
        <v>-766.86574399999995</v>
      </c>
      <c r="R95" s="2">
        <v>-766.84945700000003</v>
      </c>
      <c r="S95" s="2">
        <v>-766.90811599999995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7" ht="16.8">
      <c r="A96" t="s">
        <v>168</v>
      </c>
      <c r="B96" s="2">
        <v>-766.894408</v>
      </c>
      <c r="C96" s="2">
        <v>-766.87741700000004</v>
      </c>
      <c r="D96" s="2">
        <v>-766.93757200000005</v>
      </c>
      <c r="G96" s="3" t="s">
        <v>2</v>
      </c>
      <c r="H96" s="3" t="s">
        <v>4</v>
      </c>
      <c r="I96" s="3" t="s">
        <v>5</v>
      </c>
      <c r="K96" t="s">
        <v>197</v>
      </c>
      <c r="L96" s="2">
        <v>-766.86400300000003</v>
      </c>
      <c r="M96" s="2">
        <v>-766.84758199999999</v>
      </c>
      <c r="N96" s="2">
        <v>-766.90628200000003</v>
      </c>
      <c r="O96" s="1"/>
      <c r="P96" t="s">
        <v>102</v>
      </c>
      <c r="Q96" s="2">
        <v>-766.88367500000004</v>
      </c>
      <c r="R96" s="2">
        <v>-766.86566300000004</v>
      </c>
      <c r="S96" s="2">
        <v>-766.92888900000003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59">
      <c r="A97" t="s">
        <v>172</v>
      </c>
      <c r="B97" s="2">
        <v>-766.89664100000005</v>
      </c>
      <c r="C97" s="2">
        <v>-766.87980000000005</v>
      </c>
      <c r="D97" s="2">
        <v>-766.93977500000005</v>
      </c>
      <c r="E97" s="1" t="s">
        <v>83</v>
      </c>
      <c r="G97" s="4">
        <f>(G93-G91)*627.51</f>
        <v>13.5680212200584</v>
      </c>
      <c r="H97" s="4">
        <f t="shared" ref="H97:I97" si="8">(H93-H91)*627.51</f>
        <v>12.986319450028924</v>
      </c>
      <c r="I97" s="20">
        <f t="shared" si="8"/>
        <v>14.628513120020482</v>
      </c>
      <c r="K97" t="s">
        <v>101</v>
      </c>
      <c r="L97" s="2">
        <v>-766.88653599999998</v>
      </c>
      <c r="M97" s="2">
        <v>-766.86822099999995</v>
      </c>
      <c r="N97" s="2">
        <v>-766.93332399999997</v>
      </c>
      <c r="O97" s="11"/>
      <c r="P97" t="s">
        <v>142</v>
      </c>
      <c r="Q97" s="2">
        <v>-766.88582799999995</v>
      </c>
      <c r="R97" s="2">
        <v>-766.86826499999995</v>
      </c>
      <c r="S97" s="2">
        <v>-766.93075099999999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59" ht="15.6">
      <c r="A98" t="s">
        <v>196</v>
      </c>
      <c r="B98" s="2">
        <v>-766.89488100000005</v>
      </c>
      <c r="C98" s="2">
        <v>-766.87800600000003</v>
      </c>
      <c r="D98" s="2">
        <v>-766.93786799999998</v>
      </c>
      <c r="E98" s="4">
        <f>(B97-$B$17)*627.51</f>
        <v>2.7949295400061045</v>
      </c>
      <c r="G98" s="3" t="s">
        <v>3</v>
      </c>
      <c r="H98" s="3" t="s">
        <v>7</v>
      </c>
      <c r="I98" s="3" t="s">
        <v>6</v>
      </c>
      <c r="J98" s="11"/>
      <c r="K98" t="s">
        <v>140</v>
      </c>
      <c r="L98" s="2">
        <v>-766.89138500000001</v>
      </c>
      <c r="M98" s="2">
        <v>-766.87334099999998</v>
      </c>
      <c r="N98" s="2">
        <v>-766.93701899999996</v>
      </c>
      <c r="P98" t="s">
        <v>182</v>
      </c>
      <c r="Q98" s="2">
        <v>-766.88642400000003</v>
      </c>
      <c r="R98" s="2">
        <v>-766.86899100000005</v>
      </c>
      <c r="S98" s="2">
        <v>-766.93122800000003</v>
      </c>
      <c r="U98" s="11"/>
      <c r="V98" s="11"/>
      <c r="W98" s="11"/>
      <c r="X98" s="11"/>
      <c r="Y98" s="11"/>
      <c r="Z98" s="10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25"/>
      <c r="AM98" s="25"/>
      <c r="AN98" s="25"/>
      <c r="AO98" s="24"/>
      <c r="AP98" s="25"/>
      <c r="AW98" s="5"/>
      <c r="AZ98" s="5"/>
      <c r="BA98" s="5"/>
      <c r="BB98" s="5"/>
    </row>
    <row r="99" spans="1:59">
      <c r="B99" s="2"/>
      <c r="C99" s="2"/>
      <c r="D99" s="2"/>
      <c r="E99" s="1"/>
      <c r="G99" s="4">
        <f>(G94-G91)*627.51</f>
        <v>1.5662649600405802</v>
      </c>
      <c r="H99" s="4">
        <f>(H94-H91)*627.51</f>
        <v>0.70594875000114143</v>
      </c>
      <c r="I99" s="4">
        <f>(I94-I91)*627.51</f>
        <v>3.1526102400304628</v>
      </c>
      <c r="J99" s="16"/>
      <c r="K99" t="s">
        <v>187</v>
      </c>
      <c r="L99" s="2">
        <v>-766.894994</v>
      </c>
      <c r="M99" s="2">
        <v>-766.87722699999995</v>
      </c>
      <c r="N99" s="2">
        <v>-766.94000400000004</v>
      </c>
      <c r="O99" s="1" t="s">
        <v>83</v>
      </c>
      <c r="P99" t="s">
        <v>185</v>
      </c>
      <c r="Q99" s="2">
        <v>-766.889635</v>
      </c>
      <c r="R99" s="2">
        <v>-766.87223100000006</v>
      </c>
      <c r="S99" s="2">
        <v>-766.93403899999998</v>
      </c>
      <c r="T99" s="1" t="s">
        <v>83</v>
      </c>
      <c r="U99" s="10"/>
      <c r="V99" s="11"/>
      <c r="W99" s="11"/>
      <c r="X99" s="11"/>
      <c r="Y99" s="11"/>
      <c r="Z99" s="10"/>
      <c r="AA99" s="11"/>
      <c r="AB99" s="11"/>
      <c r="AC99" s="11"/>
      <c r="AD99" s="11"/>
      <c r="AE99" s="10"/>
      <c r="AF99" s="11"/>
      <c r="AG99" s="11"/>
      <c r="AH99" s="11"/>
      <c r="AI99" s="11"/>
      <c r="AJ99" s="10"/>
      <c r="AK99" s="11"/>
      <c r="AL99" s="11"/>
      <c r="AM99" s="11"/>
      <c r="AN99" s="11"/>
      <c r="AO99" s="11"/>
      <c r="AP99" s="25"/>
      <c r="AQ99" s="12"/>
      <c r="AR99" s="12"/>
      <c r="AS99" s="11"/>
      <c r="AT99" s="11"/>
      <c r="AU99" s="12"/>
      <c r="AV99" s="25"/>
      <c r="AW99" s="25"/>
      <c r="AX99" s="11"/>
      <c r="AY99" s="15"/>
      <c r="AZ99" s="16"/>
      <c r="BA99" s="16"/>
      <c r="BB99" s="2"/>
      <c r="BE99" s="2"/>
      <c r="BF99" s="2"/>
      <c r="BG99" s="2"/>
    </row>
    <row r="100" spans="1:59" ht="16.8">
      <c r="B100" s="2"/>
      <c r="C100" s="2"/>
      <c r="D100" s="2"/>
      <c r="E100" s="1"/>
      <c r="G100" s="4"/>
      <c r="H100" s="21" t="s">
        <v>24</v>
      </c>
      <c r="I100" s="33">
        <f>($B$6*$B$4/$B$5)*EXP(-(I97)/($B$7*$B$4))</f>
        <v>115.70224488755599</v>
      </c>
      <c r="L100" s="3" t="s">
        <v>2</v>
      </c>
      <c r="M100" s="3" t="s">
        <v>4</v>
      </c>
      <c r="N100" s="3" t="s">
        <v>5</v>
      </c>
      <c r="O100" s="11"/>
      <c r="Q100" s="3" t="s">
        <v>2</v>
      </c>
      <c r="R100" s="3" t="s">
        <v>4</v>
      </c>
      <c r="S100" s="3" t="s">
        <v>5</v>
      </c>
      <c r="T100" s="11"/>
      <c r="U100" s="24"/>
      <c r="V100" s="25"/>
      <c r="W100" s="25"/>
      <c r="X100" s="25"/>
      <c r="Y100" s="25"/>
      <c r="Z100" s="24"/>
      <c r="AA100" s="25"/>
      <c r="AB100" s="25"/>
      <c r="AC100" s="25"/>
      <c r="AD100" s="25"/>
      <c r="AE100" s="24"/>
      <c r="AF100" s="25"/>
      <c r="AG100" s="25"/>
      <c r="AH100" s="25"/>
      <c r="AI100" s="25"/>
      <c r="AJ100" s="24"/>
      <c r="AK100" s="25"/>
      <c r="AL100" s="25"/>
      <c r="AM100" s="25"/>
      <c r="AN100" s="25"/>
      <c r="AO100" s="24"/>
      <c r="AP100" s="12"/>
      <c r="AQ100" s="13"/>
      <c r="AR100" s="13"/>
      <c r="AS100" s="11"/>
      <c r="AT100" s="11"/>
      <c r="AU100" s="13"/>
      <c r="AV100" s="12"/>
      <c r="AW100" s="12"/>
      <c r="AX100" s="11"/>
      <c r="AZ100" s="5"/>
      <c r="BA100" s="5"/>
      <c r="BB100" s="2"/>
      <c r="BC100" s="11"/>
      <c r="BE100" s="2"/>
      <c r="BF100" s="2"/>
      <c r="BG100" s="2"/>
    </row>
    <row r="101" spans="1:59">
      <c r="B101" s="2"/>
      <c r="C101" s="2"/>
      <c r="D101" s="2"/>
      <c r="E101" s="1"/>
      <c r="G101" s="4"/>
      <c r="H101" s="21"/>
      <c r="I101" s="22"/>
      <c r="L101" s="4">
        <f>(L95-L91)*627.51</f>
        <v>20.345756729996435</v>
      </c>
      <c r="M101" s="4">
        <f t="shared" ref="M101:N101" si="9">(M95-M91)*627.51</f>
        <v>20.076554940034047</v>
      </c>
      <c r="N101" s="20">
        <f t="shared" si="9"/>
        <v>20.762423370014545</v>
      </c>
      <c r="O101" s="11"/>
      <c r="Q101" s="4">
        <f>(Q93-Q91)*627.51</f>
        <v>19.058106210037156</v>
      </c>
      <c r="R101" s="4">
        <f>(R93-R91)*627.51</f>
        <v>18.74497872004299</v>
      </c>
      <c r="S101" s="20">
        <f>(S93-S91)*627.51</f>
        <v>19.558859190056989</v>
      </c>
      <c r="T101" s="11"/>
      <c r="U101" s="11"/>
      <c r="V101" s="12"/>
      <c r="W101" s="12"/>
      <c r="X101" s="12"/>
      <c r="Y101" s="11"/>
      <c r="Z101" s="11"/>
      <c r="AA101" s="12"/>
      <c r="AB101" s="12"/>
      <c r="AC101" s="12"/>
      <c r="AD101" s="12"/>
      <c r="AE101" s="11"/>
      <c r="AF101" s="12"/>
      <c r="AG101" s="12"/>
      <c r="AH101" s="12"/>
      <c r="AI101" s="11"/>
      <c r="AJ101" s="11"/>
      <c r="AK101" s="12"/>
      <c r="AL101" s="12"/>
      <c r="AM101" s="12"/>
      <c r="AN101" s="12"/>
      <c r="AO101" s="11"/>
      <c r="AP101" s="13"/>
      <c r="AQ101" s="13"/>
      <c r="AR101" s="13"/>
      <c r="AS101" s="11"/>
      <c r="AT101" s="11"/>
      <c r="AU101" s="13"/>
      <c r="AV101" s="13"/>
      <c r="AW101" s="13"/>
      <c r="AX101" s="11"/>
      <c r="AZ101" s="2"/>
      <c r="BA101" s="2"/>
      <c r="BB101" s="2"/>
      <c r="BE101" s="2"/>
      <c r="BF101" s="2"/>
      <c r="BG101" s="2"/>
    </row>
    <row r="102" spans="1:59" s="11" customFormat="1" ht="15.6">
      <c r="B102" s="13"/>
      <c r="C102" s="13"/>
      <c r="D102" s="13"/>
      <c r="E102" s="10"/>
      <c r="G102" s="7"/>
      <c r="H102" s="26"/>
      <c r="I102" s="22"/>
      <c r="K102"/>
      <c r="L102" s="3" t="s">
        <v>3</v>
      </c>
      <c r="M102" s="3" t="s">
        <v>7</v>
      </c>
      <c r="N102" s="3" t="s">
        <v>6</v>
      </c>
      <c r="P102"/>
      <c r="Q102" s="3" t="s">
        <v>3</v>
      </c>
      <c r="R102" s="3" t="s">
        <v>7</v>
      </c>
      <c r="S102" s="3" t="s">
        <v>6</v>
      </c>
      <c r="V102" s="12"/>
      <c r="W102" s="12"/>
      <c r="X102" s="12"/>
      <c r="AA102" s="12"/>
      <c r="AB102" s="12"/>
      <c r="AC102" s="12"/>
      <c r="AD102" s="12"/>
      <c r="AF102" s="12"/>
      <c r="AG102" s="12"/>
      <c r="AH102" s="12"/>
      <c r="AK102" s="12"/>
      <c r="AL102" s="12"/>
      <c r="AM102" s="12"/>
      <c r="AN102" s="12"/>
      <c r="AP102" s="13"/>
      <c r="AQ102" s="13"/>
      <c r="AR102" s="13"/>
      <c r="AU102" s="13"/>
      <c r="AV102" s="13"/>
      <c r="AW102" s="13"/>
      <c r="AZ102" s="13"/>
      <c r="BA102" s="13"/>
      <c r="BB102" s="13"/>
      <c r="BE102" s="13"/>
      <c r="BF102" s="13"/>
      <c r="BG102" s="13"/>
    </row>
    <row r="103" spans="1:59" s="11" customFormat="1">
      <c r="B103" s="13"/>
      <c r="C103" s="13"/>
      <c r="D103" s="13"/>
      <c r="E103" s="10"/>
      <c r="G103" s="7"/>
      <c r="H103" s="26"/>
      <c r="I103" s="22"/>
      <c r="K103"/>
      <c r="L103" s="4">
        <f>(L99-L91)*627.51</f>
        <v>1.0335089700302069</v>
      </c>
      <c r="M103" s="4">
        <f>(M99-M91)*627.51</f>
        <v>1.6145832300612677</v>
      </c>
      <c r="N103" s="4">
        <f>(N99-N91)*627.51</f>
        <v>-0.14369978999389105</v>
      </c>
      <c r="P103"/>
      <c r="Q103" s="4">
        <f>(Q99-Q91)*627.51</f>
        <v>4.396335060029303</v>
      </c>
      <c r="R103" s="4">
        <f>(R99-R91)*627.51</f>
        <v>4.7496231899934118</v>
      </c>
      <c r="S103" s="4">
        <f>(S99-S91)*627.51</f>
        <v>3.5993973600438673</v>
      </c>
      <c r="V103" s="12"/>
      <c r="W103" s="12"/>
      <c r="X103" s="12"/>
      <c r="AA103" s="12"/>
      <c r="AB103" s="12"/>
      <c r="AC103" s="12"/>
      <c r="AD103" s="12"/>
      <c r="AF103" s="12"/>
      <c r="AG103" s="12"/>
      <c r="AH103" s="12"/>
      <c r="AK103" s="12"/>
      <c r="AL103" s="12"/>
      <c r="AM103" s="12"/>
      <c r="AN103" s="12"/>
      <c r="AP103" s="13"/>
      <c r="AQ103" s="13"/>
      <c r="AR103" s="13"/>
      <c r="AU103" s="13"/>
      <c r="AV103" s="13"/>
      <c r="AW103" s="13"/>
      <c r="AZ103" s="13"/>
      <c r="BA103" s="13"/>
      <c r="BB103" s="13"/>
      <c r="BE103" s="13"/>
      <c r="BF103" s="13"/>
      <c r="BG103" s="13"/>
    </row>
    <row r="104" spans="1:59" s="11" customFormat="1" ht="16.8">
      <c r="B104" s="13"/>
      <c r="C104" s="13"/>
      <c r="D104" s="13"/>
      <c r="E104" s="10"/>
      <c r="G104" s="7"/>
      <c r="H104" s="26"/>
      <c r="I104" s="22"/>
      <c r="K104"/>
      <c r="L104" s="4"/>
      <c r="M104" s="114" t="s">
        <v>474</v>
      </c>
      <c r="N104" s="115">
        <f>($B$6*$B$4/$B$5)*EXP(-(N101)/($B$7*$B$4))</f>
        <v>3.6656552259290627E-3</v>
      </c>
      <c r="P104"/>
      <c r="Q104" s="4"/>
      <c r="R104" s="21" t="s">
        <v>24</v>
      </c>
      <c r="S104" s="22">
        <f>($B$6*$B$4/$B$5)*EXP(-(S101)/($B$7*$B$4))</f>
        <v>2.7987200958095829E-2</v>
      </c>
      <c r="T104" s="25"/>
      <c r="V104" s="12"/>
      <c r="W104" s="12"/>
      <c r="X104" s="12"/>
      <c r="AA104" s="12"/>
      <c r="AB104" s="12"/>
      <c r="AC104" s="12"/>
      <c r="AD104" s="12"/>
      <c r="AF104" s="12"/>
      <c r="AG104" s="12"/>
      <c r="AH104" s="12"/>
      <c r="AK104" s="12"/>
      <c r="AL104" s="12"/>
      <c r="AM104" s="12"/>
      <c r="AN104" s="12"/>
      <c r="AP104" s="13"/>
      <c r="AQ104" s="13"/>
      <c r="AR104" s="13"/>
      <c r="AU104" s="13"/>
      <c r="AV104" s="13"/>
      <c r="AW104" s="13"/>
      <c r="AZ104" s="13"/>
      <c r="BA104" s="13"/>
      <c r="BB104" s="13"/>
      <c r="BE104" s="13"/>
      <c r="BF104" s="13"/>
      <c r="BG104" s="13"/>
    </row>
    <row r="105" spans="1:59" s="11" customFormat="1" ht="16.8">
      <c r="B105" s="13"/>
      <c r="C105" s="13"/>
      <c r="D105" s="13"/>
      <c r="E105" s="10"/>
      <c r="G105" s="7"/>
      <c r="H105" s="26"/>
      <c r="I105" s="22"/>
      <c r="L105" s="4"/>
      <c r="M105" s="21" t="s">
        <v>31</v>
      </c>
      <c r="N105" s="30">
        <v>2.1</v>
      </c>
      <c r="O105" s="7" t="s">
        <v>158</v>
      </c>
      <c r="P105"/>
      <c r="Q105" s="4"/>
      <c r="R105" s="21" t="s">
        <v>31</v>
      </c>
      <c r="S105" s="30">
        <v>14</v>
      </c>
      <c r="T105" s="7" t="s">
        <v>158</v>
      </c>
      <c r="V105" s="12"/>
      <c r="W105" s="12"/>
      <c r="X105" s="12"/>
      <c r="AA105" s="12"/>
      <c r="AB105" s="12"/>
      <c r="AC105" s="12"/>
      <c r="AD105" s="12"/>
      <c r="AF105" s="12"/>
      <c r="AG105" s="12"/>
      <c r="AH105" s="12"/>
      <c r="AK105" s="12"/>
      <c r="AL105" s="12"/>
      <c r="AM105" s="12"/>
      <c r="AN105" s="12"/>
      <c r="AP105" s="13"/>
      <c r="AQ105" s="13"/>
      <c r="AR105" s="13"/>
      <c r="AU105" s="13"/>
      <c r="AV105" s="13"/>
      <c r="AW105" s="13"/>
      <c r="AZ105" s="13"/>
      <c r="BA105" s="13"/>
      <c r="BB105" s="13"/>
      <c r="BE105" s="13"/>
      <c r="BF105" s="13"/>
      <c r="BG105" s="13"/>
    </row>
    <row r="106" spans="1:59" s="11" customFormat="1" ht="16.8">
      <c r="B106" s="13"/>
      <c r="C106" s="13"/>
      <c r="D106" s="13"/>
      <c r="E106" s="10"/>
      <c r="G106" s="7"/>
      <c r="H106" s="26"/>
      <c r="I106" s="22"/>
      <c r="L106" s="7"/>
      <c r="M106" s="114" t="s">
        <v>473</v>
      </c>
      <c r="N106" s="115">
        <v>3.8E-3</v>
      </c>
      <c r="O106" s="116" t="s">
        <v>472</v>
      </c>
      <c r="Q106" s="7"/>
      <c r="R106" s="26"/>
      <c r="S106" s="22"/>
      <c r="T106" s="7"/>
      <c r="V106" s="12"/>
      <c r="W106" s="12"/>
      <c r="X106" s="12"/>
      <c r="AA106" s="12"/>
      <c r="AB106" s="12"/>
      <c r="AC106" s="12"/>
      <c r="AD106" s="12"/>
      <c r="AF106" s="12"/>
      <c r="AG106" s="12"/>
      <c r="AH106" s="12"/>
      <c r="AK106" s="12"/>
      <c r="AL106" s="12"/>
      <c r="AM106" s="12"/>
      <c r="AN106" s="12"/>
      <c r="AP106" s="13"/>
      <c r="AQ106" s="13"/>
      <c r="AR106" s="13"/>
      <c r="AU106" s="13"/>
      <c r="AV106" s="13"/>
      <c r="AW106" s="13"/>
      <c r="AZ106" s="13"/>
      <c r="BA106" s="13"/>
      <c r="BB106" s="13"/>
      <c r="BE106" s="13"/>
      <c r="BF106" s="13"/>
      <c r="BG106" s="13"/>
    </row>
    <row r="107" spans="1:59" s="11" customFormat="1">
      <c r="B107" s="13"/>
      <c r="C107" s="13"/>
      <c r="D107" s="13"/>
      <c r="E107" s="10"/>
      <c r="G107" s="7"/>
      <c r="H107" s="26"/>
      <c r="I107" s="22"/>
      <c r="L107" s="7"/>
      <c r="M107" s="26"/>
      <c r="N107" s="22"/>
      <c r="O107" s="7"/>
      <c r="Q107" s="7"/>
      <c r="R107" s="26"/>
      <c r="S107" s="22"/>
      <c r="T107" s="7"/>
      <c r="V107" s="12"/>
      <c r="W107" s="12"/>
      <c r="X107" s="12"/>
      <c r="AA107" s="12"/>
      <c r="AB107" s="12"/>
      <c r="AC107" s="12"/>
      <c r="AD107" s="12"/>
      <c r="AF107" s="12"/>
      <c r="AG107" s="12"/>
      <c r="AH107" s="12"/>
      <c r="AK107" s="12"/>
      <c r="AL107" s="12"/>
      <c r="AM107" s="12"/>
      <c r="AN107" s="12"/>
      <c r="AP107" s="13"/>
      <c r="AQ107" s="13"/>
      <c r="AR107" s="13"/>
      <c r="AU107" s="13"/>
      <c r="AV107" s="13"/>
      <c r="AW107" s="13"/>
      <c r="AZ107" s="13"/>
      <c r="BA107" s="13"/>
      <c r="BB107" s="13"/>
      <c r="BE107" s="13"/>
      <c r="BF107" s="13"/>
      <c r="BG107" s="13"/>
    </row>
    <row r="108" spans="1:59">
      <c r="F108" s="36" t="s">
        <v>190</v>
      </c>
      <c r="G108" s="13"/>
      <c r="H108" s="13"/>
      <c r="I108" s="13"/>
      <c r="K108" s="36" t="s">
        <v>190</v>
      </c>
      <c r="L108" s="7"/>
      <c r="M108" s="26"/>
      <c r="N108" s="22"/>
      <c r="O108" s="7"/>
      <c r="P108" s="36" t="s">
        <v>190</v>
      </c>
      <c r="Q108" s="7"/>
      <c r="R108" s="26"/>
      <c r="S108" s="22"/>
      <c r="T108" s="7"/>
      <c r="U108" s="11"/>
      <c r="V108" s="13"/>
      <c r="W108" s="13"/>
      <c r="X108" s="13"/>
      <c r="Y108" s="10"/>
      <c r="Z108" s="11"/>
      <c r="AA108" s="13"/>
      <c r="AB108" s="13"/>
      <c r="AC108" s="13"/>
      <c r="AD108" s="13"/>
      <c r="AE108" s="11"/>
      <c r="AF108" s="13"/>
      <c r="AG108" s="13"/>
      <c r="AH108" s="13"/>
      <c r="AI108" s="10"/>
      <c r="AJ108" s="11"/>
      <c r="AK108" s="13"/>
      <c r="AL108" s="13"/>
      <c r="AM108" s="13"/>
      <c r="AN108" s="13"/>
      <c r="AO108" s="11"/>
      <c r="AP108" s="13"/>
      <c r="AQ108" s="13"/>
      <c r="AR108" s="13"/>
      <c r="AS108" s="11"/>
      <c r="AT108" s="11"/>
      <c r="AU108" s="13"/>
      <c r="AV108" s="13"/>
      <c r="AW108" s="13"/>
      <c r="AX108" s="11"/>
      <c r="AZ108" s="2"/>
      <c r="BA108" s="2"/>
      <c r="BB108" s="3"/>
      <c r="BE108" s="3"/>
      <c r="BF108" s="3"/>
      <c r="BG108" s="3"/>
    </row>
    <row r="109" spans="1:59" ht="15.6">
      <c r="A109" s="1" t="s">
        <v>50</v>
      </c>
      <c r="B109" s="5" t="s">
        <v>8</v>
      </c>
      <c r="C109" s="5" t="s">
        <v>0</v>
      </c>
      <c r="D109" s="5" t="s">
        <v>1</v>
      </c>
      <c r="F109" s="1" t="s">
        <v>401</v>
      </c>
      <c r="G109" s="16"/>
      <c r="H109" s="16"/>
      <c r="I109" s="16"/>
      <c r="K109" s="1" t="s">
        <v>95</v>
      </c>
      <c r="L109" s="25"/>
      <c r="M109" s="25"/>
      <c r="N109" s="25"/>
      <c r="O109" s="11"/>
      <c r="P109" s="1" t="s">
        <v>97</v>
      </c>
      <c r="Q109" s="25"/>
      <c r="R109" s="25"/>
      <c r="S109" s="25"/>
      <c r="T109" s="13"/>
      <c r="U109" s="11"/>
      <c r="V109" s="13"/>
      <c r="W109" s="13"/>
      <c r="X109" s="13"/>
      <c r="Y109" s="11"/>
      <c r="Z109" s="11"/>
      <c r="AA109" s="13"/>
      <c r="AB109" s="13"/>
      <c r="AC109" s="13"/>
      <c r="AD109" s="13"/>
      <c r="AE109" s="11"/>
      <c r="AF109" s="13"/>
      <c r="AG109" s="13"/>
      <c r="AH109" s="13"/>
      <c r="AI109" s="11"/>
      <c r="AJ109" s="11"/>
      <c r="AK109" s="13"/>
      <c r="AL109" s="13"/>
      <c r="AM109" s="13"/>
      <c r="AN109" s="13"/>
      <c r="AO109" s="11"/>
      <c r="AP109" s="13"/>
      <c r="AQ109" s="13"/>
      <c r="AR109" s="13"/>
      <c r="AS109" s="11"/>
      <c r="AT109" s="11"/>
      <c r="AU109" s="14"/>
      <c r="AV109" s="13"/>
      <c r="AW109" s="13"/>
      <c r="AX109" s="11"/>
      <c r="AZ109" s="2"/>
      <c r="BA109" s="2"/>
      <c r="BB109" s="4"/>
      <c r="BC109" s="6"/>
      <c r="BE109" s="4"/>
      <c r="BF109" s="4"/>
      <c r="BG109" s="4"/>
    </row>
    <row r="110" spans="1:59" ht="15.6">
      <c r="A110" t="s">
        <v>58</v>
      </c>
      <c r="B110" s="31">
        <v>-766.89799000000005</v>
      </c>
      <c r="C110" s="2">
        <v>-766.88059599999997</v>
      </c>
      <c r="D110" s="2">
        <v>-766.94235100000003</v>
      </c>
      <c r="G110" s="5" t="s">
        <v>8</v>
      </c>
      <c r="H110" s="5" t="s">
        <v>0</v>
      </c>
      <c r="I110" s="5" t="s">
        <v>1</v>
      </c>
      <c r="L110" s="5" t="s">
        <v>8</v>
      </c>
      <c r="M110" s="5" t="s">
        <v>0</v>
      </c>
      <c r="N110" s="5" t="s">
        <v>1</v>
      </c>
      <c r="O110" s="11"/>
      <c r="Q110" s="5" t="s">
        <v>8</v>
      </c>
      <c r="R110" s="5" t="s">
        <v>0</v>
      </c>
      <c r="S110" s="5" t="s">
        <v>1</v>
      </c>
      <c r="T110" s="13"/>
      <c r="U110" s="11"/>
      <c r="V110" s="13"/>
      <c r="W110" s="13"/>
      <c r="X110" s="13"/>
      <c r="Y110" s="11"/>
      <c r="Z110" s="11"/>
      <c r="AA110" s="13"/>
      <c r="AB110" s="13"/>
      <c r="AC110" s="13"/>
      <c r="AD110" s="13"/>
      <c r="AE110" s="11"/>
      <c r="AF110" s="13"/>
      <c r="AG110" s="13"/>
      <c r="AH110" s="13"/>
      <c r="AI110" s="11"/>
      <c r="AJ110" s="11"/>
      <c r="AK110" s="13"/>
      <c r="AL110" s="13"/>
      <c r="AM110" s="13"/>
      <c r="AN110" s="13"/>
      <c r="AO110" s="11"/>
      <c r="AP110" s="13"/>
      <c r="AQ110" s="13"/>
      <c r="AR110" s="13"/>
      <c r="AS110" s="23"/>
      <c r="AT110" s="11"/>
      <c r="AU110" s="7"/>
      <c r="AV110" s="14"/>
      <c r="AW110" s="14"/>
      <c r="AX110" s="11"/>
      <c r="AZ110" s="3"/>
      <c r="BA110" s="3"/>
      <c r="BB110" s="3"/>
      <c r="BE110" s="3"/>
      <c r="BF110" s="3"/>
      <c r="BG110" s="3"/>
    </row>
    <row r="111" spans="1:59">
      <c r="A111" t="s">
        <v>59</v>
      </c>
      <c r="B111" s="2">
        <v>-766.89537399999995</v>
      </c>
      <c r="C111" s="2">
        <v>-766.87775899999997</v>
      </c>
      <c r="D111" s="2">
        <v>-766.93990599999995</v>
      </c>
      <c r="F111" t="s">
        <v>79</v>
      </c>
      <c r="G111" s="32">
        <v>-766.89870900000005</v>
      </c>
      <c r="H111" s="32">
        <v>-766.88157799999999</v>
      </c>
      <c r="I111" s="32">
        <v>-766.94263100000001</v>
      </c>
      <c r="K111" t="s">
        <v>79</v>
      </c>
      <c r="L111" s="32">
        <v>-766.89870900000005</v>
      </c>
      <c r="M111" s="32">
        <v>-766.88157799999999</v>
      </c>
      <c r="N111" s="32">
        <v>-766.94263100000001</v>
      </c>
      <c r="O111" s="11"/>
      <c r="P111" t="s">
        <v>79</v>
      </c>
      <c r="Q111" s="32">
        <v>-766.89870900000005</v>
      </c>
      <c r="R111" s="32">
        <v>-766.88157799999999</v>
      </c>
      <c r="S111" s="32">
        <v>-766.94263100000001</v>
      </c>
      <c r="T111" s="13"/>
      <c r="U111" s="11"/>
      <c r="V111" s="13"/>
      <c r="W111" s="13"/>
      <c r="X111" s="13"/>
      <c r="Y111" s="11"/>
      <c r="Z111" s="11"/>
      <c r="AA111" s="13"/>
      <c r="AB111" s="13"/>
      <c r="AC111" s="13"/>
      <c r="AD111" s="13"/>
      <c r="AE111" s="11"/>
      <c r="AF111" s="13"/>
      <c r="AG111" s="13"/>
      <c r="AH111" s="13"/>
      <c r="AI111" s="11"/>
      <c r="AJ111" s="11"/>
      <c r="AK111" s="13"/>
      <c r="AL111" s="13"/>
      <c r="AM111" s="13"/>
      <c r="AN111" s="13"/>
      <c r="AO111" s="11"/>
      <c r="AP111" s="13"/>
      <c r="AQ111" s="13"/>
      <c r="AR111" s="13"/>
      <c r="AS111" s="23"/>
      <c r="AT111" s="11"/>
      <c r="AU111" s="7"/>
      <c r="AV111" s="14"/>
      <c r="AW111" s="14"/>
      <c r="AX111" s="11"/>
      <c r="AZ111" s="3"/>
      <c r="BA111" s="3"/>
      <c r="BB111" s="3"/>
      <c r="BE111" s="3"/>
      <c r="BF111" s="3"/>
      <c r="BG111" s="3"/>
    </row>
    <row r="112" spans="1:59">
      <c r="A112" t="s">
        <v>60</v>
      </c>
      <c r="B112" s="2">
        <v>-766.89624500000002</v>
      </c>
      <c r="C112" s="2">
        <v>-766.87906799999996</v>
      </c>
      <c r="D112" s="2">
        <v>-766.94042200000001</v>
      </c>
      <c r="F112" t="s">
        <v>26</v>
      </c>
      <c r="G112" s="2">
        <v>-766.86986000000002</v>
      </c>
      <c r="H112" s="2">
        <v>-766.85397499999999</v>
      </c>
      <c r="I112" s="2">
        <v>-766.91133600000001</v>
      </c>
      <c r="J112" s="6"/>
      <c r="K112" t="s">
        <v>26</v>
      </c>
      <c r="L112" s="2">
        <v>-766.865048</v>
      </c>
      <c r="M112" s="2">
        <v>-766.84854700000005</v>
      </c>
      <c r="N112" s="2">
        <v>-766.90765399999998</v>
      </c>
      <c r="O112" s="1"/>
      <c r="P112" t="s">
        <v>26</v>
      </c>
      <c r="Q112" s="2">
        <v>-766.86276799999996</v>
      </c>
      <c r="R112" s="2">
        <v>-766.84602800000005</v>
      </c>
      <c r="S112" s="2">
        <v>-766.90581199999997</v>
      </c>
      <c r="T112" s="13"/>
      <c r="U112" s="11"/>
      <c r="V112" s="13"/>
      <c r="W112" s="13"/>
      <c r="X112" s="13"/>
      <c r="Y112" s="11"/>
      <c r="Z112" s="11"/>
      <c r="AA112" s="13"/>
      <c r="AB112" s="13"/>
      <c r="AC112" s="13"/>
      <c r="AD112" s="13"/>
      <c r="AE112" s="11"/>
      <c r="AF112" s="13"/>
      <c r="AG112" s="13"/>
      <c r="AH112" s="13"/>
      <c r="AI112" s="11"/>
      <c r="AJ112" s="11"/>
      <c r="AK112" s="13"/>
      <c r="AL112" s="13"/>
      <c r="AM112" s="13"/>
      <c r="AN112" s="13"/>
      <c r="AO112" s="11"/>
      <c r="AP112" s="13"/>
      <c r="AQ112" s="13"/>
      <c r="AR112" s="13"/>
      <c r="AS112" s="23"/>
      <c r="AT112" s="11"/>
      <c r="AU112" s="7"/>
      <c r="AV112" s="14"/>
      <c r="AW112" s="14"/>
      <c r="AX112" s="11"/>
      <c r="AZ112" s="3"/>
      <c r="BA112" s="3"/>
      <c r="BB112" s="3"/>
      <c r="BE112" s="3"/>
      <c r="BF112" s="3"/>
      <c r="BG112" s="3"/>
    </row>
    <row r="113" spans="1:59">
      <c r="A113" t="s">
        <v>61</v>
      </c>
      <c r="B113" s="2">
        <v>-766.89528199999995</v>
      </c>
      <c r="C113" s="2">
        <v>-766.87780699999996</v>
      </c>
      <c r="D113" s="2">
        <v>-766.94006100000001</v>
      </c>
      <c r="F113" t="s">
        <v>127</v>
      </c>
      <c r="G113" s="2">
        <v>-766.87359900000001</v>
      </c>
      <c r="H113" s="2">
        <v>-766.85785099999998</v>
      </c>
      <c r="I113" s="2">
        <v>-766.914762</v>
      </c>
      <c r="K113" t="s">
        <v>127</v>
      </c>
      <c r="L113" s="2">
        <v>-766.86103700000001</v>
      </c>
      <c r="M113" s="2">
        <v>-766.84473300000002</v>
      </c>
      <c r="N113" s="2">
        <v>-766.90356699999995</v>
      </c>
      <c r="O113" s="11"/>
      <c r="P113" t="s">
        <v>127</v>
      </c>
      <c r="Q113" s="2">
        <v>-766.86640999999997</v>
      </c>
      <c r="R113" s="2">
        <v>-766.85022800000002</v>
      </c>
      <c r="S113" s="2">
        <v>-766.90790900000002</v>
      </c>
      <c r="U113" s="11"/>
      <c r="V113" s="13"/>
      <c r="W113" s="13"/>
      <c r="X113" s="13"/>
      <c r="Y113" s="11"/>
      <c r="Z113" s="11"/>
      <c r="AA113" s="13"/>
      <c r="AB113" s="13"/>
      <c r="AC113" s="13"/>
      <c r="AD113" s="13"/>
      <c r="AE113" s="11"/>
      <c r="AF113" s="13"/>
      <c r="AG113" s="13"/>
      <c r="AH113" s="13"/>
      <c r="AI113" s="11"/>
      <c r="AJ113" s="11"/>
      <c r="AK113" s="13"/>
      <c r="AL113" s="13"/>
      <c r="AM113" s="13"/>
      <c r="AN113" s="13"/>
      <c r="AO113" s="11"/>
      <c r="AP113" s="13"/>
      <c r="AQ113" s="13"/>
      <c r="AR113" s="13"/>
      <c r="AS113" s="23"/>
      <c r="AT113" s="11"/>
      <c r="AU113" s="7"/>
      <c r="AV113" s="14"/>
      <c r="AW113" s="14"/>
      <c r="AX113" s="11"/>
      <c r="AZ113" s="3"/>
      <c r="BA113" s="3"/>
      <c r="BB113" s="3"/>
      <c r="BE113" s="3"/>
      <c r="BF113" s="3"/>
      <c r="BG113" s="3"/>
    </row>
    <row r="114" spans="1:59">
      <c r="A114" t="s">
        <v>79</v>
      </c>
      <c r="B114" s="32">
        <v>-766.89870900000005</v>
      </c>
      <c r="C114" s="32">
        <v>-766.88157799999999</v>
      </c>
      <c r="D114" s="32">
        <v>-766.94263100000001</v>
      </c>
      <c r="E114" s="1" t="s">
        <v>83</v>
      </c>
      <c r="F114" t="s">
        <v>154</v>
      </c>
      <c r="G114" s="2">
        <v>-766.87499100000002</v>
      </c>
      <c r="H114" s="2">
        <v>-766.85972400000003</v>
      </c>
      <c r="I114" s="2">
        <v>-766.91529500000001</v>
      </c>
      <c r="J114" s="1" t="s">
        <v>83</v>
      </c>
      <c r="K114" t="s">
        <v>154</v>
      </c>
      <c r="L114" s="2">
        <v>-766.86723300000006</v>
      </c>
      <c r="M114" s="2">
        <v>-766.85146599999996</v>
      </c>
      <c r="N114" s="2">
        <v>-766.90883399999996</v>
      </c>
      <c r="O114" s="1" t="s">
        <v>83</v>
      </c>
      <c r="P114" t="s">
        <v>154</v>
      </c>
      <c r="Q114" s="2">
        <v>-766.86975800000005</v>
      </c>
      <c r="R114" s="2">
        <v>-766.85399700000005</v>
      </c>
      <c r="S114" s="2">
        <v>-766.91060800000002</v>
      </c>
      <c r="T114" s="1" t="s">
        <v>83</v>
      </c>
      <c r="U114" s="11"/>
      <c r="V114" s="13"/>
      <c r="W114" s="13"/>
      <c r="X114" s="13"/>
      <c r="Y114" s="11"/>
      <c r="Z114" s="11"/>
      <c r="AA114" s="13"/>
      <c r="AB114" s="13"/>
      <c r="AC114" s="13"/>
      <c r="AD114" s="13"/>
      <c r="AE114" s="11"/>
      <c r="AF114" s="13"/>
      <c r="AG114" s="13"/>
      <c r="AH114" s="13"/>
      <c r="AI114" s="11"/>
      <c r="AJ114" s="11"/>
      <c r="AK114" s="13"/>
      <c r="AL114" s="13"/>
      <c r="AM114" s="13"/>
      <c r="AN114" s="13"/>
      <c r="AO114" s="11"/>
      <c r="AP114" s="13"/>
      <c r="AQ114" s="13"/>
      <c r="AR114" s="13"/>
      <c r="AS114" s="23"/>
      <c r="AT114" s="11"/>
      <c r="AU114" s="7"/>
      <c r="AV114" s="14"/>
      <c r="AW114" s="14"/>
      <c r="AX114" s="11"/>
      <c r="AZ114" s="3"/>
      <c r="BA114" s="3"/>
      <c r="BB114" s="3"/>
      <c r="BE114" s="3"/>
      <c r="BF114" s="3"/>
      <c r="BG114" s="3"/>
    </row>
    <row r="115" spans="1:59">
      <c r="A115" t="s">
        <v>123</v>
      </c>
      <c r="B115" s="32">
        <v>-766.89733899999999</v>
      </c>
      <c r="C115" s="32">
        <v>-766.88018499999998</v>
      </c>
      <c r="D115" s="32">
        <v>-766.941416</v>
      </c>
      <c r="E115" s="4">
        <f>(B114-$B$17)*627.51</f>
        <v>1.4972388600008355</v>
      </c>
      <c r="F115" t="s">
        <v>104</v>
      </c>
      <c r="G115" s="2">
        <v>-766.89130299999999</v>
      </c>
      <c r="H115" s="2">
        <v>-766.87547900000004</v>
      </c>
      <c r="I115" s="2">
        <v>-766.93294700000001</v>
      </c>
      <c r="K115" t="s">
        <v>105</v>
      </c>
      <c r="L115" s="2">
        <v>-766.89682900000003</v>
      </c>
      <c r="M115" s="2">
        <v>-766.87918500000001</v>
      </c>
      <c r="N115" s="2">
        <v>-766.94142499999998</v>
      </c>
      <c r="O115" s="1" t="s">
        <v>83</v>
      </c>
      <c r="P115" t="s">
        <v>106</v>
      </c>
      <c r="Q115" s="2"/>
      <c r="R115" s="2"/>
      <c r="S115" s="2"/>
      <c r="T115" s="13"/>
      <c r="U115" s="11"/>
      <c r="V115" s="13"/>
      <c r="W115" s="13"/>
      <c r="X115" s="13"/>
      <c r="Y115" s="11"/>
      <c r="Z115" s="11"/>
      <c r="AA115" s="13"/>
      <c r="AB115" s="13"/>
      <c r="AC115" s="13"/>
      <c r="AD115" s="13"/>
      <c r="AE115" s="11"/>
      <c r="AF115" s="13"/>
      <c r="AG115" s="13"/>
      <c r="AH115" s="13"/>
      <c r="AI115" s="11"/>
      <c r="AJ115" s="11"/>
      <c r="AK115" s="13"/>
      <c r="AL115" s="13"/>
      <c r="AM115" s="13"/>
      <c r="AN115" s="13"/>
      <c r="AO115" s="11"/>
      <c r="AP115" s="13"/>
      <c r="AQ115" s="13"/>
      <c r="AR115" s="13"/>
      <c r="AS115" s="23"/>
      <c r="AT115" s="11"/>
      <c r="AU115" s="7"/>
      <c r="AV115" s="14"/>
      <c r="AW115" s="14"/>
      <c r="AX115" s="11"/>
      <c r="AZ115" s="3"/>
      <c r="BA115" s="3"/>
      <c r="BB115" s="3"/>
      <c r="BE115" s="3"/>
      <c r="BF115" s="3"/>
      <c r="BG115" s="3"/>
    </row>
    <row r="116" spans="1:59">
      <c r="B116" s="32"/>
      <c r="C116" s="32"/>
      <c r="D116" s="32"/>
      <c r="E116" s="1"/>
      <c r="F116" t="s">
        <v>138</v>
      </c>
      <c r="G116" s="2">
        <v>-766.89565300000004</v>
      </c>
      <c r="H116" s="2">
        <v>-766.88038200000005</v>
      </c>
      <c r="I116" s="2">
        <v>-766.93611699999997</v>
      </c>
      <c r="J116" s="1" t="s">
        <v>83</v>
      </c>
      <c r="K116" t="s">
        <v>141</v>
      </c>
      <c r="L116" s="2">
        <v>-766.89675899999997</v>
      </c>
      <c r="M116" s="2">
        <v>-766.87915099999998</v>
      </c>
      <c r="N116" s="2">
        <v>-766.941104</v>
      </c>
      <c r="O116" s="11"/>
      <c r="P116" t="s">
        <v>115</v>
      </c>
      <c r="Q116" s="2">
        <v>-766.95561899999996</v>
      </c>
      <c r="R116" s="2">
        <v>-766.93759</v>
      </c>
      <c r="S116" s="2">
        <v>-767.00047600000005</v>
      </c>
      <c r="T116" s="13"/>
      <c r="U116" s="11"/>
      <c r="V116" s="13"/>
      <c r="W116" s="13"/>
      <c r="X116" s="13"/>
      <c r="Y116" s="11"/>
      <c r="Z116" s="11"/>
      <c r="AA116" s="13"/>
      <c r="AB116" s="13"/>
      <c r="AC116" s="13"/>
      <c r="AD116" s="13"/>
      <c r="AE116" s="11"/>
      <c r="AF116" s="13"/>
      <c r="AG116" s="13"/>
      <c r="AH116" s="13"/>
      <c r="AI116" s="11"/>
      <c r="AJ116" s="11"/>
      <c r="AK116" s="13"/>
      <c r="AL116" s="13"/>
      <c r="AM116" s="13"/>
      <c r="AN116" s="13"/>
      <c r="AO116" s="11"/>
      <c r="AP116" s="13"/>
      <c r="AQ116" s="13"/>
      <c r="AR116" s="13"/>
      <c r="AS116" s="23"/>
      <c r="AT116" s="11"/>
      <c r="AU116" s="7"/>
      <c r="AV116" s="14"/>
      <c r="AW116" s="14"/>
      <c r="AX116" s="11"/>
      <c r="AZ116" s="3"/>
      <c r="BA116" s="3"/>
      <c r="BB116" s="3"/>
      <c r="BE116" s="3"/>
      <c r="BF116" s="3"/>
      <c r="BG116" s="3"/>
    </row>
    <row r="117" spans="1:59" ht="16.8">
      <c r="B117" s="32"/>
      <c r="C117" s="32"/>
      <c r="D117" s="32"/>
      <c r="E117" s="1"/>
      <c r="G117" s="3" t="s">
        <v>2</v>
      </c>
      <c r="H117" s="3" t="s">
        <v>4</v>
      </c>
      <c r="I117" s="3" t="s">
        <v>5</v>
      </c>
      <c r="L117" s="3" t="s">
        <v>2</v>
      </c>
      <c r="M117" s="3" t="s">
        <v>4</v>
      </c>
      <c r="N117" s="3" t="s">
        <v>5</v>
      </c>
      <c r="O117" s="11"/>
      <c r="P117" t="s">
        <v>150</v>
      </c>
      <c r="Q117" s="2">
        <v>-766.95806800000003</v>
      </c>
      <c r="R117" s="2">
        <v>-766.93982500000004</v>
      </c>
      <c r="S117" s="2">
        <v>-767.00352899999996</v>
      </c>
      <c r="T117" s="1" t="s">
        <v>83</v>
      </c>
      <c r="U117" s="11"/>
      <c r="V117" s="13"/>
      <c r="W117" s="13"/>
      <c r="X117" s="13"/>
      <c r="Y117" s="11"/>
      <c r="Z117" s="11"/>
      <c r="AA117" s="13"/>
      <c r="AB117" s="13"/>
      <c r="AC117" s="13"/>
      <c r="AD117" s="13"/>
      <c r="AE117" s="11"/>
      <c r="AF117" s="13"/>
      <c r="AG117" s="13"/>
      <c r="AH117" s="13"/>
      <c r="AI117" s="11"/>
      <c r="AJ117" s="11"/>
      <c r="AK117" s="13"/>
      <c r="AL117" s="13"/>
      <c r="AM117" s="13"/>
      <c r="AN117" s="13"/>
      <c r="AO117" s="11"/>
      <c r="AP117" s="13"/>
      <c r="AQ117" s="13"/>
      <c r="AR117" s="13"/>
      <c r="AS117" s="23"/>
      <c r="AT117" s="11"/>
      <c r="AU117" s="7"/>
      <c r="AV117" s="14"/>
      <c r="AW117" s="14"/>
      <c r="AX117" s="11"/>
      <c r="AZ117" s="3"/>
      <c r="BA117" s="3"/>
      <c r="BB117" s="3"/>
      <c r="BE117" s="3"/>
      <c r="BF117" s="3"/>
      <c r="BG117" s="3"/>
    </row>
    <row r="118" spans="1:59" ht="16.8">
      <c r="B118" s="32"/>
      <c r="C118" s="32"/>
      <c r="D118" s="32"/>
      <c r="E118" s="1"/>
      <c r="G118" s="4">
        <f>(G114-G111)*627.51</f>
        <v>14.883282180019309</v>
      </c>
      <c r="H118" s="4">
        <f t="shared" ref="H118:I118" si="10">(H114-H111)*627.51</f>
        <v>13.713603539976198</v>
      </c>
      <c r="I118" s="20">
        <f t="shared" si="10"/>
        <v>17.153613359994445</v>
      </c>
      <c r="L118" s="4">
        <f>(L114-L111)*627.51</f>
        <v>19.751504759998642</v>
      </c>
      <c r="M118" s="4">
        <f t="shared" ref="M118:N118" si="11">(M114-M111)*627.51</f>
        <v>18.895581120019454</v>
      </c>
      <c r="N118" s="20">
        <f t="shared" si="11"/>
        <v>21.20795547003112</v>
      </c>
      <c r="O118" s="11"/>
      <c r="Q118" s="3" t="s">
        <v>2</v>
      </c>
      <c r="R118" s="3" t="s">
        <v>4</v>
      </c>
      <c r="S118" s="3" t="s">
        <v>5</v>
      </c>
      <c r="T118" s="13"/>
      <c r="U118" s="11"/>
      <c r="V118" s="13"/>
      <c r="W118" s="13"/>
      <c r="X118" s="13"/>
      <c r="Y118" s="11"/>
      <c r="Z118" s="11"/>
      <c r="AA118" s="13"/>
      <c r="AB118" s="13"/>
      <c r="AC118" s="13"/>
      <c r="AD118" s="13"/>
      <c r="AE118" s="11"/>
      <c r="AF118" s="13"/>
      <c r="AG118" s="13"/>
      <c r="AH118" s="13"/>
      <c r="AI118" s="11"/>
      <c r="AJ118" s="11"/>
      <c r="AK118" s="13"/>
      <c r="AL118" s="13"/>
      <c r="AM118" s="13"/>
      <c r="AN118" s="13"/>
      <c r="AO118" s="11"/>
      <c r="AP118" s="13"/>
      <c r="AQ118" s="13"/>
      <c r="AR118" s="13"/>
      <c r="AS118" s="23"/>
      <c r="AT118" s="11"/>
      <c r="AU118" s="7"/>
      <c r="AV118" s="14"/>
      <c r="AW118" s="14"/>
      <c r="AX118" s="11"/>
      <c r="AZ118" s="3"/>
      <c r="BA118" s="3"/>
      <c r="BB118" s="3"/>
      <c r="BE118" s="3"/>
      <c r="BF118" s="3"/>
      <c r="BG118" s="3"/>
    </row>
    <row r="119" spans="1:59" ht="15.6">
      <c r="B119" s="32"/>
      <c r="C119" s="32"/>
      <c r="D119" s="32"/>
      <c r="E119" s="1"/>
      <c r="G119" s="3" t="s">
        <v>3</v>
      </c>
      <c r="H119" s="3" t="s">
        <v>7</v>
      </c>
      <c r="I119" s="3" t="s">
        <v>6</v>
      </c>
      <c r="L119" s="3" t="s">
        <v>3</v>
      </c>
      <c r="M119" s="3" t="s">
        <v>7</v>
      </c>
      <c r="N119" s="3" t="s">
        <v>6</v>
      </c>
      <c r="O119" s="11"/>
      <c r="Q119" s="4">
        <f>(Q114-Q111)*627.51</f>
        <v>18.167042010004007</v>
      </c>
      <c r="R119" s="4">
        <f t="shared" ref="R119:S119" si="12">(R114-R111)*627.51</f>
        <v>17.307353309962984</v>
      </c>
      <c r="S119" s="20">
        <f t="shared" si="12"/>
        <v>20.094752729988102</v>
      </c>
      <c r="T119" s="13"/>
      <c r="U119" s="11"/>
      <c r="V119" s="13"/>
      <c r="W119" s="13"/>
      <c r="X119" s="13"/>
      <c r="Y119" s="11"/>
      <c r="Z119" s="11"/>
      <c r="AA119" s="13"/>
      <c r="AB119" s="13"/>
      <c r="AC119" s="13"/>
      <c r="AD119" s="13"/>
      <c r="AE119" s="11"/>
      <c r="AF119" s="13"/>
      <c r="AG119" s="13"/>
      <c r="AH119" s="13"/>
      <c r="AI119" s="11"/>
      <c r="AJ119" s="11"/>
      <c r="AK119" s="13"/>
      <c r="AL119" s="13"/>
      <c r="AM119" s="13"/>
      <c r="AN119" s="13"/>
      <c r="AO119" s="11"/>
      <c r="AP119" s="13"/>
      <c r="AQ119" s="13"/>
      <c r="AR119" s="13"/>
      <c r="AS119" s="23"/>
      <c r="AT119" s="11"/>
      <c r="AU119" s="7"/>
      <c r="AV119" s="14"/>
      <c r="AW119" s="14"/>
      <c r="AX119" s="11"/>
      <c r="AZ119" s="3"/>
      <c r="BA119" s="3"/>
      <c r="BB119" s="3"/>
      <c r="BE119" s="3"/>
      <c r="BF119" s="3"/>
      <c r="BG119" s="3"/>
    </row>
    <row r="120" spans="1:59" ht="15.6">
      <c r="B120" s="32"/>
      <c r="C120" s="32"/>
      <c r="D120" s="32"/>
      <c r="E120" s="1"/>
      <c r="G120" s="4">
        <f>(G116-G111)*627.51</f>
        <v>1.9176705600094419</v>
      </c>
      <c r="H120" s="4">
        <f>(H116-H111)*627.51</f>
        <v>0.75050195995999502</v>
      </c>
      <c r="I120" s="4">
        <f>(I116-I111)*627.51</f>
        <v>4.0876001400240476</v>
      </c>
      <c r="L120" s="4">
        <f>(L115-L111)*627.51</f>
        <v>1.1797188000177607</v>
      </c>
      <c r="M120" s="4">
        <f>(M115-M111)*627.51</f>
        <v>1.5016314299897453</v>
      </c>
      <c r="N120" s="4">
        <f>(N115-N111)*627.51</f>
        <v>0.7567770600154915</v>
      </c>
      <c r="O120" s="11"/>
      <c r="Q120" s="3" t="s">
        <v>3</v>
      </c>
      <c r="R120" s="3" t="s">
        <v>7</v>
      </c>
      <c r="S120" s="3" t="s">
        <v>6</v>
      </c>
      <c r="T120" s="13"/>
      <c r="U120" s="11"/>
      <c r="V120" s="13"/>
      <c r="W120" s="13"/>
      <c r="X120" s="13"/>
      <c r="Y120" s="11"/>
      <c r="Z120" s="11"/>
      <c r="AA120" s="13"/>
      <c r="AB120" s="13"/>
      <c r="AC120" s="13"/>
      <c r="AD120" s="13"/>
      <c r="AE120" s="11"/>
      <c r="AF120" s="13"/>
      <c r="AG120" s="13"/>
      <c r="AH120" s="13"/>
      <c r="AI120" s="11"/>
      <c r="AJ120" s="11"/>
      <c r="AK120" s="13"/>
      <c r="AL120" s="13"/>
      <c r="AM120" s="13"/>
      <c r="AN120" s="13"/>
      <c r="AO120" s="11"/>
      <c r="AP120" s="13"/>
      <c r="AQ120" s="13"/>
      <c r="AR120" s="13"/>
      <c r="AS120" s="23"/>
      <c r="AT120" s="11"/>
      <c r="AU120" s="7"/>
      <c r="AV120" s="14"/>
      <c r="AW120" s="14"/>
      <c r="AX120" s="11"/>
      <c r="AZ120" s="3"/>
      <c r="BA120" s="3"/>
      <c r="BB120" s="3"/>
      <c r="BE120" s="3"/>
      <c r="BF120" s="3"/>
      <c r="BG120" s="3"/>
    </row>
    <row r="121" spans="1:59" ht="16.8">
      <c r="B121" s="32"/>
      <c r="C121" s="32"/>
      <c r="D121" s="32"/>
      <c r="E121" s="1"/>
      <c r="G121" s="4"/>
      <c r="H121" s="21" t="s">
        <v>24</v>
      </c>
      <c r="I121" s="30">
        <f>($B$6*$B$4/$B$5)*EXP(-(I118)/($B$7*$B$4))</f>
        <v>1.6262763386300316</v>
      </c>
      <c r="L121" s="4"/>
      <c r="M121" s="21" t="s">
        <v>24</v>
      </c>
      <c r="N121" s="22">
        <f>($B$6*$B$4/$B$5)*EXP(-(N118)/($B$7*$B$4))</f>
        <v>1.7272540365540494E-3</v>
      </c>
      <c r="O121" s="11"/>
      <c r="Q121" s="4">
        <f>(Q117-Q111)*627.51</f>
        <v>-37.248366089982547</v>
      </c>
      <c r="R121" s="4">
        <f>(R117-R111)*627.51</f>
        <v>-36.550574970032145</v>
      </c>
      <c r="S121" s="4">
        <f>(S117-S111)*627.51</f>
        <v>-38.214103979969835</v>
      </c>
      <c r="T121" s="13"/>
      <c r="V121" s="13"/>
      <c r="W121" s="13"/>
      <c r="X121" s="13"/>
      <c r="Y121" s="11"/>
      <c r="Z121" s="11"/>
      <c r="AA121" s="13"/>
      <c r="AB121" s="13"/>
      <c r="AC121" s="13"/>
      <c r="AD121" s="13"/>
      <c r="AE121" s="11"/>
      <c r="AF121" s="13"/>
      <c r="AG121" s="13"/>
      <c r="AH121" s="13"/>
      <c r="AI121" s="11"/>
      <c r="AJ121" s="11"/>
      <c r="AK121" s="13"/>
      <c r="AL121" s="13"/>
      <c r="AM121" s="13"/>
      <c r="AN121" s="13"/>
      <c r="AO121" s="11"/>
      <c r="AP121" s="13"/>
      <c r="AQ121" s="13"/>
      <c r="AR121" s="13"/>
      <c r="AS121" s="23"/>
      <c r="AT121" s="11"/>
      <c r="AU121" s="7"/>
      <c r="AV121" s="14"/>
      <c r="AW121" s="14"/>
      <c r="AX121" s="11"/>
      <c r="AZ121" s="3"/>
      <c r="BA121" s="3"/>
      <c r="BB121" s="3"/>
      <c r="BE121" s="3"/>
      <c r="BF121" s="3"/>
      <c r="BG121" s="3"/>
    </row>
    <row r="122" spans="1:59" ht="16.8">
      <c r="B122" s="32"/>
      <c r="C122" s="32"/>
      <c r="D122" s="32"/>
      <c r="E122" s="1"/>
      <c r="G122" s="4"/>
      <c r="H122" s="21"/>
      <c r="I122" s="22"/>
      <c r="L122" s="4"/>
      <c r="M122" s="21" t="s">
        <v>31</v>
      </c>
      <c r="N122" s="30">
        <v>2.6</v>
      </c>
      <c r="O122" s="7" t="s">
        <v>158</v>
      </c>
      <c r="Q122" s="4"/>
      <c r="R122" s="21" t="s">
        <v>24</v>
      </c>
      <c r="S122" s="22">
        <f>($B$6*$B$4/$B$5)*EXP(-(S119)/($B$7*$B$4))</f>
        <v>1.1320990802021091E-2</v>
      </c>
      <c r="T122" s="13"/>
      <c r="V122" s="13"/>
      <c r="W122" s="13"/>
      <c r="X122" s="13"/>
      <c r="Y122" s="11"/>
      <c r="Z122" s="11"/>
      <c r="AA122" s="13"/>
      <c r="AB122" s="13"/>
      <c r="AC122" s="13"/>
      <c r="AD122" s="13"/>
      <c r="AE122" s="11"/>
      <c r="AF122" s="13"/>
      <c r="AG122" s="13"/>
      <c r="AH122" s="13"/>
      <c r="AI122" s="11"/>
      <c r="AJ122" s="11"/>
      <c r="AK122" s="13"/>
      <c r="AL122" s="13"/>
      <c r="AM122" s="13"/>
      <c r="AN122" s="13"/>
      <c r="AO122" s="11"/>
      <c r="AP122" s="13"/>
      <c r="AQ122" s="13"/>
      <c r="AR122" s="13"/>
      <c r="AS122" s="23"/>
      <c r="AT122" s="11"/>
      <c r="AU122" s="7"/>
      <c r="AV122" s="14"/>
      <c r="AW122" s="14"/>
      <c r="AX122" s="11"/>
      <c r="AZ122" s="3"/>
      <c r="BA122" s="3"/>
      <c r="BB122" s="3"/>
      <c r="BE122" s="3"/>
      <c r="BF122" s="3"/>
      <c r="BG122" s="3"/>
    </row>
    <row r="123" spans="1:59" ht="16.8">
      <c r="G123" s="4"/>
      <c r="H123" s="21"/>
      <c r="I123" s="22"/>
      <c r="L123" s="4"/>
      <c r="M123" s="21"/>
      <c r="N123" s="22"/>
      <c r="O123" s="11"/>
      <c r="Q123" s="4"/>
      <c r="R123" s="21" t="s">
        <v>31</v>
      </c>
      <c r="S123" s="33">
        <v>33</v>
      </c>
      <c r="T123" s="7" t="s">
        <v>199</v>
      </c>
      <c r="U123" s="11" t="s">
        <v>159</v>
      </c>
      <c r="V123" s="14"/>
      <c r="W123" s="14"/>
      <c r="X123" s="14"/>
      <c r="Y123" s="11"/>
      <c r="Z123" s="11"/>
      <c r="AA123" s="14"/>
      <c r="AB123" s="14"/>
      <c r="AC123" s="14"/>
      <c r="AD123" s="13"/>
      <c r="AE123" s="11"/>
      <c r="AF123" s="14"/>
      <c r="AG123" s="14"/>
      <c r="AH123" s="14"/>
      <c r="AI123" s="11"/>
      <c r="AJ123" s="11"/>
      <c r="AK123" s="14"/>
      <c r="AL123" s="14"/>
      <c r="AM123" s="14"/>
      <c r="AN123" s="13"/>
      <c r="AO123" s="11"/>
      <c r="AP123" s="13"/>
      <c r="AQ123" s="14"/>
      <c r="AR123" s="14"/>
      <c r="AS123" s="11"/>
      <c r="AT123" s="11"/>
      <c r="AU123" s="14"/>
      <c r="AV123" s="7"/>
      <c r="AW123" s="7"/>
      <c r="AX123" s="11"/>
      <c r="AZ123" s="4"/>
      <c r="BA123" s="4"/>
      <c r="BB123" s="4"/>
      <c r="BE123" s="4"/>
      <c r="BF123" s="4"/>
      <c r="BG123" s="4"/>
    </row>
    <row r="124" spans="1:59" s="11" customFormat="1" ht="16.8">
      <c r="G124" s="14"/>
      <c r="H124" s="14"/>
      <c r="I124" s="14"/>
      <c r="L124" s="14"/>
      <c r="M124" s="14"/>
      <c r="N124" s="14"/>
      <c r="P124"/>
      <c r="Q124" s="4"/>
      <c r="R124" s="21" t="s">
        <v>31</v>
      </c>
      <c r="S124" s="30">
        <v>1.2</v>
      </c>
      <c r="T124" s="7" t="s">
        <v>158</v>
      </c>
      <c r="U124" s="11" t="s">
        <v>160</v>
      </c>
      <c r="V124" s="14"/>
      <c r="W124" s="14"/>
      <c r="X124" s="14"/>
      <c r="AA124" s="14"/>
      <c r="AB124" s="14"/>
      <c r="AC124" s="14"/>
      <c r="AD124" s="13"/>
      <c r="AF124" s="14"/>
      <c r="AG124" s="14"/>
      <c r="AH124" s="14"/>
      <c r="AK124" s="14"/>
      <c r="AL124" s="14"/>
      <c r="AM124" s="14"/>
      <c r="AN124" s="13"/>
      <c r="AP124" s="13"/>
      <c r="AQ124" s="14"/>
      <c r="AR124" s="14"/>
      <c r="AU124" s="14"/>
      <c r="AV124" s="7"/>
      <c r="AW124" s="7"/>
      <c r="AZ124" s="7"/>
      <c r="BA124" s="7"/>
      <c r="BB124" s="7"/>
      <c r="BE124" s="7"/>
      <c r="BF124" s="7"/>
      <c r="BG124" s="7"/>
    </row>
    <row r="125" spans="1:59" s="11" customFormat="1">
      <c r="G125" s="14"/>
      <c r="H125" s="14"/>
      <c r="I125" s="14"/>
      <c r="L125" s="14"/>
      <c r="M125" s="14"/>
      <c r="N125" s="14"/>
      <c r="Q125" s="7"/>
      <c r="R125" s="26"/>
      <c r="S125" s="22"/>
      <c r="T125" s="7"/>
      <c r="V125" s="14"/>
      <c r="W125" s="14"/>
      <c r="X125" s="14"/>
      <c r="AA125" s="14"/>
      <c r="AB125" s="14"/>
      <c r="AC125" s="14"/>
      <c r="AD125" s="13"/>
      <c r="AF125" s="14"/>
      <c r="AG125" s="14"/>
      <c r="AH125" s="14"/>
      <c r="AK125" s="14"/>
      <c r="AL125" s="14"/>
      <c r="AM125" s="14"/>
      <c r="AN125" s="13"/>
      <c r="AP125" s="13"/>
      <c r="AQ125" s="14"/>
      <c r="AR125" s="14"/>
      <c r="AU125" s="14"/>
      <c r="AV125" s="7"/>
      <c r="AW125" s="7"/>
      <c r="AZ125" s="7"/>
      <c r="BA125" s="7"/>
      <c r="BB125" s="7"/>
      <c r="BE125" s="7"/>
      <c r="BF125" s="7"/>
      <c r="BG125" s="7"/>
    </row>
    <row r="126" spans="1:59" s="11" customFormat="1">
      <c r="G126" s="14"/>
      <c r="H126" s="14"/>
      <c r="I126" s="14"/>
      <c r="L126" s="14"/>
      <c r="M126" s="14"/>
      <c r="N126" s="14"/>
      <c r="Q126" s="7"/>
      <c r="R126" s="26"/>
      <c r="S126" s="22"/>
      <c r="T126" s="7"/>
      <c r="V126" s="14"/>
      <c r="W126" s="14"/>
      <c r="X126" s="14"/>
      <c r="AA126" s="14"/>
      <c r="AB126" s="14"/>
      <c r="AC126" s="14"/>
      <c r="AD126" s="13"/>
      <c r="AF126" s="14"/>
      <c r="AG126" s="14"/>
      <c r="AH126" s="14"/>
      <c r="AK126" s="14"/>
      <c r="AL126" s="14"/>
      <c r="AM126" s="14"/>
      <c r="AN126" s="13"/>
      <c r="AP126" s="13"/>
      <c r="AQ126" s="14"/>
      <c r="AR126" s="14"/>
      <c r="AU126" s="14"/>
      <c r="AV126" s="7"/>
      <c r="AW126" s="7"/>
      <c r="AZ126" s="7"/>
      <c r="BA126" s="7"/>
      <c r="BB126" s="7"/>
      <c r="BE126" s="7"/>
      <c r="BF126" s="7"/>
      <c r="BG126" s="7"/>
    </row>
    <row r="127" spans="1:59" s="19" customFormat="1">
      <c r="A127" s="19" t="s">
        <v>28</v>
      </c>
    </row>
    <row r="128" spans="1:59">
      <c r="A128" s="28" t="s">
        <v>32</v>
      </c>
      <c r="F128" s="11"/>
      <c r="G128" s="14"/>
      <c r="H128" s="14"/>
      <c r="I128" s="14"/>
      <c r="J128" s="23"/>
      <c r="K128" s="11"/>
      <c r="L128" s="14"/>
      <c r="M128" s="14"/>
      <c r="N128" s="14"/>
      <c r="O128" s="23"/>
      <c r="P128" s="11"/>
      <c r="Q128" s="14"/>
      <c r="R128" s="14"/>
      <c r="S128" s="14"/>
      <c r="T128" s="13"/>
      <c r="U128" s="11"/>
      <c r="V128" s="14"/>
      <c r="W128" s="14"/>
      <c r="X128" s="14"/>
      <c r="Y128" s="11"/>
      <c r="Z128" s="11"/>
      <c r="AA128" s="14"/>
      <c r="AB128" s="14"/>
      <c r="AC128" s="14"/>
      <c r="AD128" s="13"/>
      <c r="AE128" s="11"/>
      <c r="AF128" s="14"/>
      <c r="AG128" s="14"/>
      <c r="AH128" s="14"/>
      <c r="AI128" s="11"/>
      <c r="AJ128" s="11"/>
      <c r="AK128" s="14"/>
      <c r="AL128" s="14"/>
      <c r="AM128" s="14"/>
      <c r="AN128" s="13"/>
      <c r="AO128" s="11"/>
      <c r="AP128" s="7"/>
      <c r="AQ128" s="14"/>
      <c r="AR128" s="14"/>
      <c r="AS128" s="11"/>
      <c r="AT128" s="11"/>
      <c r="AU128" s="11"/>
      <c r="AV128" s="7"/>
      <c r="AW128" s="7"/>
      <c r="AX128" s="11"/>
      <c r="AZ128" s="4"/>
      <c r="BA128" s="4"/>
    </row>
    <row r="129" spans="1:50">
      <c r="A129" s="1" t="s">
        <v>35</v>
      </c>
      <c r="F129" s="36" t="s">
        <v>190</v>
      </c>
      <c r="G129" s="7"/>
      <c r="H129" s="7"/>
      <c r="I129" s="7"/>
      <c r="J129" s="11"/>
      <c r="K129" s="36" t="s">
        <v>190</v>
      </c>
      <c r="L129" s="7"/>
      <c r="M129" s="7"/>
      <c r="N129" s="7"/>
      <c r="O129" s="11"/>
      <c r="P129" s="11"/>
      <c r="Q129" s="7"/>
      <c r="R129" s="7"/>
      <c r="S129" s="7"/>
      <c r="T129" s="13"/>
      <c r="U129" s="11"/>
      <c r="V129" s="7"/>
      <c r="W129" s="7"/>
      <c r="X129" s="7"/>
      <c r="Y129" s="11"/>
      <c r="Z129" s="11"/>
      <c r="AA129" s="7"/>
      <c r="AB129" s="7"/>
      <c r="AC129" s="7"/>
      <c r="AD129" s="13"/>
      <c r="AE129" s="11"/>
      <c r="AF129" s="7"/>
      <c r="AG129" s="7"/>
      <c r="AH129" s="7"/>
      <c r="AI129" s="11"/>
      <c r="AJ129" s="11"/>
      <c r="AK129" s="7"/>
      <c r="AL129" s="7"/>
      <c r="AM129" s="7"/>
      <c r="AN129" s="13"/>
      <c r="AO129" s="11"/>
      <c r="AP129" s="14"/>
      <c r="AQ129" s="7"/>
      <c r="AR129" s="7"/>
      <c r="AS129" s="11"/>
      <c r="AT129" s="11"/>
      <c r="AU129" s="11"/>
      <c r="AV129" s="26"/>
      <c r="AW129" s="22"/>
      <c r="AX129" s="11"/>
    </row>
    <row r="130" spans="1:50" ht="15.6">
      <c r="A130" s="1" t="s">
        <v>34</v>
      </c>
      <c r="B130" s="5" t="s">
        <v>8</v>
      </c>
      <c r="C130" s="5" t="s">
        <v>0</v>
      </c>
      <c r="D130" s="5" t="s">
        <v>1</v>
      </c>
      <c r="F130" s="1" t="s">
        <v>93</v>
      </c>
      <c r="G130" s="16"/>
      <c r="H130" s="16"/>
      <c r="I130" s="16"/>
      <c r="J130" s="16"/>
      <c r="K130" s="1" t="s">
        <v>402</v>
      </c>
      <c r="L130" s="25"/>
      <c r="M130" s="25"/>
      <c r="N130" s="25"/>
      <c r="O130" s="7"/>
      <c r="P130" s="11"/>
      <c r="Q130" s="14"/>
      <c r="R130" s="14"/>
      <c r="S130" s="14"/>
      <c r="T130" s="14"/>
      <c r="U130" s="11"/>
      <c r="V130" s="7"/>
      <c r="W130" s="26"/>
      <c r="X130" s="22"/>
      <c r="Y130" s="23"/>
      <c r="Z130" s="11"/>
      <c r="AA130" s="7"/>
      <c r="AB130" s="26"/>
      <c r="AC130" s="22"/>
      <c r="AD130" s="14"/>
      <c r="AE130" s="11"/>
      <c r="AF130" s="7"/>
      <c r="AG130" s="26"/>
      <c r="AH130" s="22"/>
      <c r="AI130" s="23"/>
      <c r="AJ130" s="11"/>
      <c r="AK130" s="7"/>
      <c r="AL130" s="26"/>
      <c r="AM130" s="22"/>
      <c r="AN130" s="14"/>
      <c r="AO130" s="11"/>
      <c r="AP130" s="7"/>
      <c r="AQ130" s="26"/>
      <c r="AR130" s="22"/>
      <c r="AS130" s="11"/>
      <c r="AT130" s="11"/>
      <c r="AU130" s="11"/>
      <c r="AV130" s="26"/>
      <c r="AW130" s="22"/>
      <c r="AX130" s="11"/>
    </row>
    <row r="131" spans="1:50" ht="15.6">
      <c r="A131" t="s">
        <v>62</v>
      </c>
      <c r="B131" s="31">
        <v>-766.89574900000002</v>
      </c>
      <c r="C131" s="2">
        <v>-766.87884699999995</v>
      </c>
      <c r="D131" s="2">
        <v>-766.93902200000002</v>
      </c>
      <c r="G131" s="5" t="s">
        <v>8</v>
      </c>
      <c r="H131" s="5" t="s">
        <v>0</v>
      </c>
      <c r="I131" s="5" t="s">
        <v>1</v>
      </c>
      <c r="L131" s="5" t="s">
        <v>8</v>
      </c>
      <c r="M131" s="5" t="s">
        <v>0</v>
      </c>
      <c r="N131" s="5" t="s">
        <v>1</v>
      </c>
      <c r="O131" s="11"/>
      <c r="P131" s="11"/>
      <c r="Q131" s="7"/>
      <c r="R131" s="7"/>
      <c r="S131" s="7"/>
      <c r="T131" s="7"/>
      <c r="U131" s="11"/>
      <c r="V131" s="7"/>
      <c r="W131" s="26"/>
      <c r="X131" s="22"/>
      <c r="Y131" s="11"/>
      <c r="Z131" s="11"/>
      <c r="AA131" s="7"/>
      <c r="AB131" s="26"/>
      <c r="AC131" s="22"/>
      <c r="AD131" s="7"/>
      <c r="AE131" s="11"/>
      <c r="AF131" s="7"/>
      <c r="AG131" s="26"/>
      <c r="AH131" s="22"/>
      <c r="AI131" s="11"/>
      <c r="AJ131" s="11"/>
      <c r="AK131" s="7"/>
      <c r="AL131" s="26"/>
      <c r="AM131" s="22"/>
      <c r="AN131" s="7"/>
      <c r="AO131" s="11"/>
      <c r="AP131" s="11"/>
      <c r="AQ131" s="26"/>
      <c r="AR131" s="22"/>
      <c r="AS131" s="11"/>
      <c r="AT131" s="11"/>
      <c r="AU131" s="11"/>
      <c r="AV131" s="11"/>
      <c r="AW131" s="11"/>
      <c r="AX131" s="11"/>
    </row>
    <row r="132" spans="1:50">
      <c r="A132" t="s">
        <v>63</v>
      </c>
      <c r="B132" s="2">
        <v>-766.89405599999998</v>
      </c>
      <c r="C132" s="2">
        <v>-766.87717299999997</v>
      </c>
      <c r="D132" s="2">
        <v>-766.93742999999995</v>
      </c>
      <c r="F132" t="s">
        <v>179</v>
      </c>
      <c r="G132" s="2">
        <v>-766.89978299999996</v>
      </c>
      <c r="H132" s="2">
        <v>-766.882972</v>
      </c>
      <c r="I132" s="2">
        <v>-766.94273799999996</v>
      </c>
      <c r="K132" t="s">
        <v>179</v>
      </c>
      <c r="L132" s="2">
        <v>-766.89978299999996</v>
      </c>
      <c r="M132" s="2">
        <v>-766.882972</v>
      </c>
      <c r="N132" s="2">
        <v>-766.94273799999996</v>
      </c>
      <c r="O132" s="11"/>
      <c r="P132" s="11"/>
      <c r="Q132" s="7"/>
      <c r="R132" s="26"/>
      <c r="S132" s="22"/>
      <c r="T132" s="7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>
      <c r="A133" t="s">
        <v>64</v>
      </c>
      <c r="B133" s="2">
        <v>-766.89446599999997</v>
      </c>
      <c r="C133" s="2">
        <v>-766.87757599999998</v>
      </c>
      <c r="D133" s="2">
        <v>-766.93809999999996</v>
      </c>
      <c r="F133" t="s">
        <v>26</v>
      </c>
      <c r="G133" s="2">
        <v>-766.86443399999996</v>
      </c>
      <c r="H133" s="2">
        <v>-766.84909000000005</v>
      </c>
      <c r="I133" s="2">
        <v>-766.90447600000005</v>
      </c>
      <c r="J133" s="1" t="s">
        <v>83</v>
      </c>
      <c r="K133" t="s">
        <v>26</v>
      </c>
      <c r="L133" s="2">
        <v>-766.87300900000002</v>
      </c>
      <c r="M133" s="2">
        <v>-766.85724000000005</v>
      </c>
      <c r="N133" s="2">
        <v>-766.91424900000004</v>
      </c>
      <c r="P133" s="11"/>
      <c r="Q133" s="7"/>
      <c r="R133" s="26"/>
      <c r="S133" s="2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>
      <c r="A134" t="s">
        <v>65</v>
      </c>
      <c r="B134" s="2">
        <v>-766.89392099999998</v>
      </c>
      <c r="C134" s="2">
        <v>-766.87707599999999</v>
      </c>
      <c r="D134" s="2">
        <v>-766.93721200000005</v>
      </c>
      <c r="F134" t="s">
        <v>127</v>
      </c>
      <c r="G134" s="2">
        <v>-766.85853599999996</v>
      </c>
      <c r="H134" s="2">
        <v>-766.842805</v>
      </c>
      <c r="I134" s="2">
        <v>-766.89918799999998</v>
      </c>
      <c r="K134" t="s">
        <v>127</v>
      </c>
      <c r="L134" s="2">
        <v>-766.871081</v>
      </c>
      <c r="M134" s="2">
        <v>-766.85523799999999</v>
      </c>
      <c r="N134" s="2">
        <v>-766.91233699999998</v>
      </c>
      <c r="O134" s="7"/>
      <c r="P134" s="7"/>
      <c r="Q134" s="7"/>
      <c r="R134" s="26"/>
      <c r="S134" s="22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>
      <c r="A135" t="s">
        <v>80</v>
      </c>
      <c r="B135" s="2">
        <v>-766.89455699999996</v>
      </c>
      <c r="C135" s="2">
        <v>-766.87741300000005</v>
      </c>
      <c r="D135" s="2">
        <v>-766.93843800000002</v>
      </c>
      <c r="F135" t="s">
        <v>107</v>
      </c>
      <c r="G135" s="2">
        <v>-766.88908600000002</v>
      </c>
      <c r="H135" s="2">
        <v>-766.87325699999997</v>
      </c>
      <c r="I135" s="2">
        <v>-766.92957000000001</v>
      </c>
      <c r="J135" s="1" t="s">
        <v>83</v>
      </c>
      <c r="K135" t="s">
        <v>108</v>
      </c>
      <c r="L135" s="2">
        <v>-766.89014599999996</v>
      </c>
      <c r="M135" s="2">
        <v>-766.87417600000003</v>
      </c>
      <c r="N135" s="2">
        <v>-766.93183599999998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>
      <c r="A136" t="s">
        <v>124</v>
      </c>
      <c r="B136" s="2">
        <v>-766.89335200000005</v>
      </c>
      <c r="C136" s="2">
        <v>-766.876082</v>
      </c>
      <c r="D136" s="2">
        <v>-766.937051</v>
      </c>
      <c r="F136" t="s">
        <v>143</v>
      </c>
      <c r="G136" s="2">
        <v>-766.88138700000002</v>
      </c>
      <c r="H136" s="2">
        <v>-766.86529599999994</v>
      </c>
      <c r="I136" s="2">
        <v>-766.92229699999996</v>
      </c>
      <c r="K136" t="s">
        <v>144</v>
      </c>
      <c r="L136" s="2">
        <v>-766.88525500000003</v>
      </c>
      <c r="M136" s="2">
        <v>-766.86885299999994</v>
      </c>
      <c r="N136" s="2">
        <v>-766.92791999999997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8">
      <c r="A137" t="s">
        <v>156</v>
      </c>
      <c r="B137" s="2">
        <v>-766.89318700000001</v>
      </c>
      <c r="C137" s="2">
        <v>-766.87587199999996</v>
      </c>
      <c r="D137" s="2">
        <v>-766.93688799999995</v>
      </c>
      <c r="G137" s="3" t="s">
        <v>2</v>
      </c>
      <c r="H137" s="3" t="s">
        <v>4</v>
      </c>
      <c r="I137" s="3" t="s">
        <v>5</v>
      </c>
      <c r="J137" s="6"/>
      <c r="K137" s="1" t="s">
        <v>171</v>
      </c>
      <c r="L137" s="34">
        <v>-766.89361199999996</v>
      </c>
      <c r="M137" s="34">
        <v>-766.87763600000005</v>
      </c>
      <c r="N137" s="34">
        <v>-766.93474000000003</v>
      </c>
      <c r="O137" s="1" t="s">
        <v>83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</row>
    <row r="138" spans="1:50">
      <c r="A138" t="s">
        <v>179</v>
      </c>
      <c r="B138" s="2">
        <v>-766.89978299999996</v>
      </c>
      <c r="C138" s="2">
        <v>-766.882972</v>
      </c>
      <c r="D138" s="2">
        <v>-766.94273799999996</v>
      </c>
      <c r="E138" s="1" t="s">
        <v>83</v>
      </c>
      <c r="G138" s="4">
        <f>(G133-G132)*627.51</f>
        <v>22.181850989997816</v>
      </c>
      <c r="H138" s="4">
        <f>(H133-H132)*627.51</f>
        <v>21.261293819967793</v>
      </c>
      <c r="I138" s="20">
        <f>(I133-I132)*627.51</f>
        <v>24.009787619948458</v>
      </c>
      <c r="K138" s="1" t="s">
        <v>154</v>
      </c>
      <c r="L138" s="34">
        <v>-766.87632399999995</v>
      </c>
      <c r="M138" s="34">
        <v>-766.86073599999997</v>
      </c>
      <c r="N138" s="34">
        <v>-766.91689499999995</v>
      </c>
      <c r="O138" s="1" t="s">
        <v>83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</row>
    <row r="139" spans="1:50" ht="15.6">
      <c r="A139" s="110" t="s">
        <v>467</v>
      </c>
      <c r="B139" s="109">
        <v>-766.89564299999995</v>
      </c>
      <c r="C139" s="109">
        <v>-766.87884399999996</v>
      </c>
      <c r="D139" s="109">
        <v>-766.93882299999996</v>
      </c>
      <c r="E139" s="4">
        <f>(B138-$B$17)*627.51</f>
        <v>0.82329312006157351</v>
      </c>
      <c r="G139" s="3" t="s">
        <v>3</v>
      </c>
      <c r="H139" s="3" t="s">
        <v>7</v>
      </c>
      <c r="I139" s="3" t="s">
        <v>6</v>
      </c>
      <c r="K139" t="s">
        <v>183</v>
      </c>
      <c r="L139" s="34"/>
      <c r="M139" s="34"/>
      <c r="N139" s="34"/>
      <c r="O139" s="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</row>
    <row r="140" spans="1:50" ht="16.8">
      <c r="A140" s="110" t="s">
        <v>470</v>
      </c>
      <c r="B140" s="109">
        <v>-766.89009699999997</v>
      </c>
      <c r="C140" s="109">
        <v>-766.87353099999996</v>
      </c>
      <c r="D140" s="109">
        <v>-766.93260099999998</v>
      </c>
      <c r="G140" s="4">
        <f>(G135-G132)*627.51</f>
        <v>6.7124744699601226</v>
      </c>
      <c r="H140" s="4">
        <f>(H135-H132)*627.51</f>
        <v>6.0962596500177835</v>
      </c>
      <c r="I140" s="4">
        <f>(I135-I132)*627.51</f>
        <v>8.2630516799689708</v>
      </c>
      <c r="L140" s="3" t="s">
        <v>2</v>
      </c>
      <c r="M140" s="3" t="s">
        <v>4</v>
      </c>
      <c r="N140" s="3" t="s">
        <v>5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</row>
    <row r="141" spans="1:50" ht="16.8">
      <c r="B141" s="2"/>
      <c r="C141" s="111" t="s">
        <v>471</v>
      </c>
      <c r="D141" s="112">
        <f>627.51*(D139-D138)</f>
        <v>2.4567016500039722</v>
      </c>
      <c r="G141" s="4"/>
      <c r="H141" s="21" t="s">
        <v>24</v>
      </c>
      <c r="I141" s="30">
        <f>($B$6*$B$4/$B$5)*EXP(-(I138)/($B$7*$B$4))</f>
        <v>1.5213439334651575E-5</v>
      </c>
      <c r="J141" s="7"/>
      <c r="L141" s="4">
        <f>(L138-L132)*627.51</f>
        <v>14.720757090001607</v>
      </c>
      <c r="M141" s="4">
        <f>(M138-M132)*627.51</f>
        <v>13.953312360013049</v>
      </c>
      <c r="N141" s="20">
        <f>(N138-N132)*627.51</f>
        <v>16.21674093000561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</row>
    <row r="142" spans="1:50" ht="15.6">
      <c r="B142" s="2"/>
      <c r="C142" s="2"/>
      <c r="D142" s="2"/>
      <c r="G142" s="4"/>
      <c r="H142" s="21"/>
      <c r="I142" s="22"/>
      <c r="J142" s="16"/>
      <c r="L142" s="3" t="s">
        <v>3</v>
      </c>
      <c r="M142" s="3" t="s">
        <v>7</v>
      </c>
      <c r="N142" s="3" t="s">
        <v>6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</row>
    <row r="143" spans="1:50">
      <c r="B143" s="2"/>
      <c r="C143" s="2"/>
      <c r="D143" s="2"/>
      <c r="G143" s="4"/>
      <c r="H143" s="21"/>
      <c r="I143" s="22"/>
      <c r="J143" s="16"/>
      <c r="L143" s="4">
        <f>(L137-L132)*627.51</f>
        <v>3.872364209996749</v>
      </c>
      <c r="M143" s="4">
        <f>(M137-M132)*627.51</f>
        <v>3.3483933599641955</v>
      </c>
      <c r="N143" s="4">
        <f>(N137-N132)*627.51</f>
        <v>5.0188249799557987</v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</row>
    <row r="144" spans="1:50" s="11" customFormat="1" ht="16.8">
      <c r="B144" s="13"/>
      <c r="C144" s="13"/>
      <c r="D144" s="13"/>
      <c r="G144" s="7"/>
      <c r="H144" s="26"/>
      <c r="I144" s="22"/>
      <c r="J144" s="25"/>
      <c r="K144"/>
      <c r="L144" s="4"/>
      <c r="M144" s="21" t="s">
        <v>24</v>
      </c>
      <c r="N144" s="33">
        <f>($B$6*$B$4/$B$5)*EXP(-(N141)/($B$7*$B$4))</f>
        <v>7.9138029206591147</v>
      </c>
    </row>
    <row r="145" spans="1:47" s="11" customFormat="1">
      <c r="B145" s="13"/>
      <c r="C145" s="13"/>
      <c r="D145" s="13"/>
      <c r="G145" s="7"/>
      <c r="H145" s="26"/>
      <c r="I145" s="22"/>
      <c r="J145" s="25"/>
      <c r="L145" s="7"/>
      <c r="M145" s="26"/>
      <c r="N145" s="22"/>
    </row>
    <row r="146" spans="1:47" s="11" customFormat="1">
      <c r="B146" s="13"/>
      <c r="C146" s="13"/>
      <c r="D146" s="13"/>
      <c r="G146" s="7"/>
      <c r="H146" s="26"/>
      <c r="I146" s="22"/>
      <c r="J146" s="25"/>
      <c r="L146" s="7"/>
      <c r="M146" s="26"/>
      <c r="N146" s="22"/>
    </row>
    <row r="147" spans="1:47">
      <c r="F147" s="36" t="s">
        <v>190</v>
      </c>
      <c r="G147" s="7"/>
      <c r="H147" s="26"/>
      <c r="I147" s="22"/>
      <c r="K147" s="36" t="s">
        <v>190</v>
      </c>
      <c r="L147" s="4"/>
      <c r="M147" s="21"/>
      <c r="N147" s="22"/>
      <c r="O147" s="11"/>
      <c r="P147" s="36" t="s">
        <v>190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</row>
    <row r="148" spans="1:47" ht="15.6">
      <c r="A148" s="1" t="s">
        <v>49</v>
      </c>
      <c r="B148" s="5" t="s">
        <v>8</v>
      </c>
      <c r="C148" s="5" t="s">
        <v>0</v>
      </c>
      <c r="D148" s="5" t="s">
        <v>1</v>
      </c>
      <c r="F148" s="1" t="s">
        <v>84</v>
      </c>
      <c r="G148" s="16"/>
      <c r="H148" s="16"/>
      <c r="I148" s="16"/>
      <c r="K148" s="1" t="s">
        <v>90</v>
      </c>
      <c r="L148" s="25"/>
      <c r="M148" s="25"/>
      <c r="N148" s="25"/>
      <c r="O148" s="11"/>
      <c r="P148" s="1" t="s">
        <v>403</v>
      </c>
      <c r="Q148" s="25"/>
      <c r="R148" s="25"/>
      <c r="S148" s="25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</row>
    <row r="149" spans="1:47" ht="15.6">
      <c r="A149" t="s">
        <v>66</v>
      </c>
      <c r="B149" s="31">
        <v>-766.89395300000001</v>
      </c>
      <c r="C149" s="2">
        <v>-766.87694299999998</v>
      </c>
      <c r="D149" s="2">
        <v>-766.93733299999997</v>
      </c>
      <c r="G149" s="5" t="s">
        <v>8</v>
      </c>
      <c r="H149" s="5" t="s">
        <v>0</v>
      </c>
      <c r="I149" s="5" t="s">
        <v>1</v>
      </c>
      <c r="L149" s="5" t="s">
        <v>8</v>
      </c>
      <c r="M149" s="5" t="s">
        <v>0</v>
      </c>
      <c r="N149" s="5" t="s">
        <v>1</v>
      </c>
      <c r="O149" s="11"/>
      <c r="Q149" s="5" t="s">
        <v>8</v>
      </c>
      <c r="R149" s="5" t="s">
        <v>0</v>
      </c>
      <c r="S149" s="5" t="s">
        <v>1</v>
      </c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</row>
    <row r="150" spans="1:47">
      <c r="A150" t="s">
        <v>67</v>
      </c>
      <c r="B150" s="2">
        <v>-766.89373699999999</v>
      </c>
      <c r="C150" s="2">
        <v>-766.87637500000005</v>
      </c>
      <c r="D150" s="2">
        <v>-766.93785000000003</v>
      </c>
      <c r="F150" t="s">
        <v>170</v>
      </c>
      <c r="G150" s="2">
        <v>-766.89926700000001</v>
      </c>
      <c r="H150" s="2">
        <v>-766.88245500000005</v>
      </c>
      <c r="I150" s="2">
        <v>-766.941911</v>
      </c>
      <c r="K150" t="s">
        <v>170</v>
      </c>
      <c r="L150" s="2">
        <v>-766.89926700000001</v>
      </c>
      <c r="M150" s="2">
        <v>-766.88245500000005</v>
      </c>
      <c r="N150" s="2">
        <v>-766.941911</v>
      </c>
      <c r="O150" s="11"/>
      <c r="P150" t="s">
        <v>170</v>
      </c>
      <c r="Q150" s="2">
        <v>-766.89926700000001</v>
      </c>
      <c r="R150" s="2">
        <v>-766.88245500000005</v>
      </c>
      <c r="S150" s="2">
        <v>-766.941911</v>
      </c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>
      <c r="A151" t="s">
        <v>68</v>
      </c>
      <c r="B151" s="2">
        <v>-766.89282500000002</v>
      </c>
      <c r="C151" s="2">
        <v>-766.87600199999997</v>
      </c>
      <c r="D151" s="2">
        <v>-766.936151</v>
      </c>
      <c r="F151" t="s">
        <v>26</v>
      </c>
      <c r="G151" s="2">
        <v>-766.86137099999996</v>
      </c>
      <c r="H151" s="2">
        <v>-766.84525699999995</v>
      </c>
      <c r="I151" s="2">
        <v>-766.90297099999998</v>
      </c>
      <c r="J151" s="1"/>
      <c r="K151" t="s">
        <v>26</v>
      </c>
      <c r="L151" s="2">
        <v>-766.86733200000003</v>
      </c>
      <c r="M151" s="2">
        <v>-766.85117000000002</v>
      </c>
      <c r="N151" s="2">
        <v>-766.90889900000002</v>
      </c>
      <c r="O151" s="11"/>
      <c r="P151" t="s">
        <v>26</v>
      </c>
      <c r="Q151" s="2">
        <v>-766.87346000000002</v>
      </c>
      <c r="R151" s="2">
        <v>-766.85760900000002</v>
      </c>
      <c r="S151" s="2">
        <v>-766.91454199999998</v>
      </c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</row>
    <row r="152" spans="1:47">
      <c r="A152" t="s">
        <v>69</v>
      </c>
      <c r="B152" s="2">
        <v>-766.89549299999999</v>
      </c>
      <c r="C152" s="2">
        <v>-766.87850800000001</v>
      </c>
      <c r="D152" s="2">
        <v>-766.938399</v>
      </c>
      <c r="F152" t="s">
        <v>127</v>
      </c>
      <c r="G152" s="2">
        <v>-766.86098400000003</v>
      </c>
      <c r="H152" s="2">
        <v>-766.84468800000002</v>
      </c>
      <c r="I152" s="2">
        <v>-766.90306899999996</v>
      </c>
      <c r="K152" t="s">
        <v>127</v>
      </c>
      <c r="L152" s="2">
        <v>-766.86773300000004</v>
      </c>
      <c r="M152" s="2">
        <v>-766.85125400000004</v>
      </c>
      <c r="N152" s="2">
        <v>-766.90968099999998</v>
      </c>
      <c r="O152" s="1" t="s">
        <v>83</v>
      </c>
      <c r="P152" t="s">
        <v>127</v>
      </c>
      <c r="Q152" s="2">
        <v>-766.87469999999996</v>
      </c>
      <c r="R152" s="2">
        <v>-766.85859200000004</v>
      </c>
      <c r="S152" s="2">
        <v>-766.91617199999996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7">
      <c r="A153" t="s">
        <v>81</v>
      </c>
      <c r="B153" s="2">
        <v>-766.89765</v>
      </c>
      <c r="C153" s="2">
        <v>-766.88097600000003</v>
      </c>
      <c r="D153" s="2">
        <v>-766.94036500000004</v>
      </c>
      <c r="F153" t="s">
        <v>154</v>
      </c>
      <c r="G153" s="2" t="s">
        <v>155</v>
      </c>
      <c r="H153" s="2"/>
      <c r="I153" s="2"/>
      <c r="K153" t="s">
        <v>154</v>
      </c>
      <c r="L153" s="2">
        <v>-766.86720100000002</v>
      </c>
      <c r="M153" s="2">
        <v>-766.851223</v>
      </c>
      <c r="N153" s="2">
        <v>-766.90812900000003</v>
      </c>
      <c r="O153" s="1"/>
      <c r="P153" t="s">
        <v>154</v>
      </c>
      <c r="Q153" s="2">
        <v>-766.87487699999997</v>
      </c>
      <c r="R153" s="2">
        <v>-766.85882100000003</v>
      </c>
      <c r="S153" s="2">
        <v>-766.91625999999997</v>
      </c>
      <c r="T153" s="1" t="s">
        <v>83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</row>
    <row r="154" spans="1:47">
      <c r="A154" t="s">
        <v>125</v>
      </c>
      <c r="B154" s="2">
        <v>-766.89748299999997</v>
      </c>
      <c r="C154" s="2">
        <v>-766.88051099999996</v>
      </c>
      <c r="D154" s="2">
        <v>-766.94081500000004</v>
      </c>
      <c r="F154" t="s">
        <v>183</v>
      </c>
      <c r="G154" s="2" t="s">
        <v>155</v>
      </c>
      <c r="H154" s="2"/>
      <c r="I154" s="2"/>
      <c r="J154" s="1"/>
      <c r="K154" t="s">
        <v>110</v>
      </c>
      <c r="L154" s="2">
        <v>-766.89339099999995</v>
      </c>
      <c r="M154" s="2">
        <v>-766.87602600000002</v>
      </c>
      <c r="N154" s="2">
        <v>-766.93729399999995</v>
      </c>
      <c r="O154" s="1" t="s">
        <v>83</v>
      </c>
      <c r="P154" t="s">
        <v>111</v>
      </c>
      <c r="Q154" s="2">
        <v>-766.89097600000002</v>
      </c>
      <c r="R154" s="2">
        <v>-766.87498700000003</v>
      </c>
      <c r="S154" s="2">
        <v>-766.932413</v>
      </c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7">
      <c r="A155" t="s">
        <v>170</v>
      </c>
      <c r="B155" s="2">
        <v>-766.89926700000001</v>
      </c>
      <c r="C155" s="2">
        <v>-766.88245500000005</v>
      </c>
      <c r="D155" s="2">
        <v>-766.941911</v>
      </c>
      <c r="E155" s="1" t="s">
        <v>83</v>
      </c>
      <c r="F155" t="s">
        <v>197</v>
      </c>
      <c r="G155" s="2" t="s">
        <v>155</v>
      </c>
      <c r="H155" s="2"/>
      <c r="I155" s="2"/>
      <c r="J155" s="1"/>
      <c r="K155" t="s">
        <v>146</v>
      </c>
      <c r="L155" s="2" t="s">
        <v>155</v>
      </c>
      <c r="M155" s="2"/>
      <c r="N155" s="2"/>
      <c r="O155" s="11"/>
      <c r="P155" t="s">
        <v>147</v>
      </c>
      <c r="Q155" s="2">
        <v>-766.89295000000004</v>
      </c>
      <c r="R155" s="2">
        <v>-766.87681599999996</v>
      </c>
      <c r="S155" s="2">
        <v>-766.93459900000005</v>
      </c>
      <c r="T155" s="1" t="s">
        <v>83</v>
      </c>
      <c r="U155" s="11"/>
      <c r="V155" s="11"/>
      <c r="W155" s="11"/>
      <c r="X155" s="11"/>
      <c r="Y155" s="11"/>
      <c r="Z155" s="11"/>
      <c r="AA155" s="11"/>
    </row>
    <row r="156" spans="1:47" ht="16.8">
      <c r="B156" s="2"/>
      <c r="C156" s="2"/>
      <c r="D156" s="2"/>
      <c r="E156" s="4">
        <f>(B155-$B$17)*627.51</f>
        <v>1.1470882800288051</v>
      </c>
      <c r="F156" t="s">
        <v>198</v>
      </c>
      <c r="G156" s="2" t="s">
        <v>155</v>
      </c>
      <c r="H156" s="2"/>
      <c r="I156" s="2"/>
      <c r="J156" s="1"/>
      <c r="K156" t="s">
        <v>188</v>
      </c>
      <c r="L156" s="2" t="s">
        <v>155</v>
      </c>
      <c r="M156" s="2"/>
      <c r="N156" s="2"/>
      <c r="O156" s="11"/>
      <c r="Q156" s="3" t="s">
        <v>2</v>
      </c>
      <c r="R156" s="3" t="s">
        <v>4</v>
      </c>
      <c r="S156" s="3" t="s">
        <v>5</v>
      </c>
      <c r="T156" s="11"/>
      <c r="U156" s="11"/>
      <c r="V156" s="11"/>
      <c r="W156" s="11"/>
      <c r="X156" s="11"/>
      <c r="Y156" s="11"/>
      <c r="Z156" s="11"/>
      <c r="AA156" s="11"/>
    </row>
    <row r="157" spans="1:47" ht="16.8">
      <c r="B157" s="2"/>
      <c r="C157" s="2"/>
      <c r="D157" s="2"/>
      <c r="E157" s="1"/>
      <c r="F157" t="s">
        <v>26</v>
      </c>
      <c r="G157" s="2">
        <v>-766.865005</v>
      </c>
      <c r="H157" s="2">
        <v>-766.84872099999995</v>
      </c>
      <c r="I157" s="2">
        <v>-766.90685199999996</v>
      </c>
      <c r="J157" s="1" t="s">
        <v>264</v>
      </c>
      <c r="L157" s="3" t="s">
        <v>2</v>
      </c>
      <c r="M157" s="3" t="s">
        <v>4</v>
      </c>
      <c r="N157" s="3" t="s">
        <v>5</v>
      </c>
      <c r="O157" s="11"/>
      <c r="Q157" s="4">
        <f>(Q153-Q150)*627.51</f>
        <v>15.304968900024747</v>
      </c>
      <c r="R157" s="4">
        <f t="shared" ref="R157:S157" si="13">(R153-R150)*627.51</f>
        <v>14.830571340009712</v>
      </c>
      <c r="S157" s="20">
        <f t="shared" si="13"/>
        <v>16.09625901002444</v>
      </c>
      <c r="T157" s="11"/>
      <c r="U157" s="11"/>
      <c r="V157" s="11"/>
      <c r="W157" s="11"/>
      <c r="X157" s="11"/>
      <c r="Y157" s="11"/>
      <c r="Z157" s="11"/>
      <c r="AA157" s="11"/>
    </row>
    <row r="158" spans="1:47" ht="15.6">
      <c r="B158" s="2"/>
      <c r="C158" s="2"/>
      <c r="D158" s="2"/>
      <c r="E158" s="1"/>
      <c r="F158" t="s">
        <v>212</v>
      </c>
      <c r="G158" s="2">
        <v>-766.89106800000002</v>
      </c>
      <c r="H158" s="2">
        <v>-766.87399300000004</v>
      </c>
      <c r="I158" s="2">
        <v>-766.93429800000001</v>
      </c>
      <c r="J158" s="1"/>
      <c r="L158" s="4">
        <f>(L152-L150)*627.51</f>
        <v>19.787900339978094</v>
      </c>
      <c r="M158" s="4">
        <f>(M152-M150)*627.51</f>
        <v>19.57893951000629</v>
      </c>
      <c r="N158" s="20">
        <f>(N152-N150)*627.51</f>
        <v>20.224647300016848</v>
      </c>
      <c r="O158" s="11"/>
      <c r="Q158" s="3" t="s">
        <v>3</v>
      </c>
      <c r="R158" s="3" t="s">
        <v>7</v>
      </c>
      <c r="S158" s="3" t="s">
        <v>6</v>
      </c>
      <c r="T158" s="11"/>
      <c r="U158" s="11"/>
      <c r="V158" s="11"/>
      <c r="W158" s="11"/>
      <c r="X158" s="11"/>
      <c r="Y158" s="11"/>
      <c r="Z158" s="11"/>
      <c r="AA158" s="11"/>
    </row>
    <row r="159" spans="1:47" ht="15.6">
      <c r="B159" s="2"/>
      <c r="C159" s="2"/>
      <c r="D159" s="2"/>
      <c r="E159" s="1"/>
      <c r="F159" t="s">
        <v>213</v>
      </c>
      <c r="G159" s="2">
        <v>-766.88870699999995</v>
      </c>
      <c r="H159" s="2">
        <v>-766.871217</v>
      </c>
      <c r="I159" s="2">
        <v>-766.93280700000003</v>
      </c>
      <c r="J159" s="1"/>
      <c r="L159" s="3" t="s">
        <v>3</v>
      </c>
      <c r="M159" s="3" t="s">
        <v>7</v>
      </c>
      <c r="N159" s="3" t="s">
        <v>6</v>
      </c>
      <c r="O159" s="11"/>
      <c r="Q159" s="4">
        <f>(Q155-Q150)*627.51</f>
        <v>3.9639806699794589</v>
      </c>
      <c r="R159" s="4">
        <f>(R155-R150)*627.51</f>
        <v>3.5385288900548666</v>
      </c>
      <c r="S159" s="4">
        <f>(S155-S150)*627.51</f>
        <v>4.5883531199725418</v>
      </c>
      <c r="T159" s="11"/>
      <c r="U159" s="11"/>
      <c r="V159" s="11"/>
      <c r="W159" s="11"/>
      <c r="X159" s="11"/>
      <c r="Y159" s="11"/>
      <c r="Z159" s="11"/>
      <c r="AA159" s="11"/>
    </row>
    <row r="160" spans="1:47" ht="16.8">
      <c r="B160" s="2"/>
      <c r="C160" s="2"/>
      <c r="D160" s="2"/>
      <c r="E160" s="1"/>
      <c r="F160" t="s">
        <v>214</v>
      </c>
      <c r="G160" s="2"/>
      <c r="H160" s="2"/>
      <c r="I160" s="2"/>
      <c r="J160" s="1"/>
      <c r="L160" s="4">
        <f>(L154-L150)*627.51</f>
        <v>3.6872487600360828</v>
      </c>
      <c r="M160" s="4">
        <f>(M154-M150)*627.51</f>
        <v>4.0342617900160347</v>
      </c>
      <c r="N160" s="4">
        <f>(N154-N150)*627.51</f>
        <v>2.8972136700332203</v>
      </c>
      <c r="O160" s="11"/>
      <c r="Q160" s="4"/>
      <c r="R160" s="21" t="s">
        <v>24</v>
      </c>
      <c r="S160" s="30">
        <f>($B$6*$B$4/$B$5)*EXP(-(S157)/($B$7*$B$4))</f>
        <v>9.699694832209369</v>
      </c>
      <c r="T160" s="11"/>
      <c r="U160" s="11"/>
      <c r="V160" s="11"/>
      <c r="W160" s="11"/>
      <c r="X160" s="11"/>
      <c r="Y160" s="11"/>
      <c r="Z160" s="11"/>
      <c r="AA160" s="11"/>
    </row>
    <row r="161" spans="1:27" s="11" customFormat="1" ht="16.8">
      <c r="B161" s="13"/>
      <c r="C161" s="13"/>
      <c r="D161" s="13"/>
      <c r="E161" s="10"/>
      <c r="F161" t="s">
        <v>109</v>
      </c>
      <c r="G161" s="2">
        <v>-766.89294500000005</v>
      </c>
      <c r="H161" s="2">
        <v>-766.87543400000004</v>
      </c>
      <c r="I161" s="2">
        <v>-766.93768</v>
      </c>
      <c r="J161"/>
      <c r="K161"/>
      <c r="L161" s="4"/>
      <c r="M161" s="21" t="s">
        <v>24</v>
      </c>
      <c r="N161" s="22">
        <f>($B$6*$B$4/$B$5)*EXP(-(N158)/($B$7*$B$4))</f>
        <v>9.0909123221583985E-3</v>
      </c>
      <c r="P161"/>
      <c r="Q161" s="4"/>
      <c r="R161" s="21"/>
      <c r="S161" s="22"/>
    </row>
    <row r="162" spans="1:27" s="11" customFormat="1" ht="16.8">
      <c r="B162" s="13"/>
      <c r="C162" s="13"/>
      <c r="D162" s="13"/>
      <c r="E162" s="10"/>
      <c r="F162" t="s">
        <v>145</v>
      </c>
      <c r="G162" s="2">
        <v>-766.89088200000003</v>
      </c>
      <c r="H162" s="2">
        <v>-766.87311899999997</v>
      </c>
      <c r="I162" s="2">
        <v>-766.93496100000004</v>
      </c>
      <c r="J162"/>
      <c r="K162"/>
      <c r="L162" s="4"/>
      <c r="M162" s="21" t="s">
        <v>31</v>
      </c>
      <c r="N162" s="33">
        <v>13</v>
      </c>
      <c r="O162" s="7" t="s">
        <v>158</v>
      </c>
      <c r="Q162" s="7"/>
      <c r="R162" s="26"/>
      <c r="S162" s="22"/>
    </row>
    <row r="163" spans="1:27" s="11" customFormat="1">
      <c r="B163" s="13"/>
      <c r="C163" s="13"/>
      <c r="D163" s="13"/>
      <c r="E163" s="10"/>
      <c r="F163" t="s">
        <v>181</v>
      </c>
      <c r="G163" s="2">
        <v>-766.89523999999994</v>
      </c>
      <c r="H163" s="2">
        <v>-766.87800000000004</v>
      </c>
      <c r="I163" s="2">
        <v>-766.93919100000005</v>
      </c>
      <c r="J163" s="1" t="s">
        <v>83</v>
      </c>
      <c r="K163"/>
      <c r="L163" s="4"/>
      <c r="M163" s="21"/>
      <c r="N163" s="22"/>
      <c r="O163" s="7"/>
      <c r="Q163" s="7"/>
      <c r="R163" s="26"/>
      <c r="S163" s="22"/>
    </row>
    <row r="164" spans="1:27" s="11" customFormat="1" ht="15.6">
      <c r="B164" s="13"/>
      <c r="C164" s="13"/>
      <c r="D164" s="13"/>
      <c r="E164" s="10"/>
      <c r="F164"/>
      <c r="G164" s="3" t="s">
        <v>215</v>
      </c>
      <c r="H164" s="3" t="s">
        <v>216</v>
      </c>
      <c r="I164" s="3" t="s">
        <v>217</v>
      </c>
      <c r="J164" s="1"/>
      <c r="K164"/>
      <c r="L164" s="4"/>
      <c r="M164" s="21"/>
      <c r="N164" s="22"/>
      <c r="O164" s="7"/>
      <c r="Q164" s="7"/>
      <c r="R164" s="26"/>
      <c r="S164" s="22"/>
    </row>
    <row r="165" spans="1:27" s="11" customFormat="1">
      <c r="B165" s="13"/>
      <c r="C165" s="13"/>
      <c r="D165" s="13"/>
      <c r="E165" s="10"/>
      <c r="F165"/>
      <c r="G165" s="4">
        <f>(G158-G150)*627.51</f>
        <v>5.1449544899940509</v>
      </c>
      <c r="H165" s="4">
        <f>(H158-H150)*627.51</f>
        <v>5.3099896200054149</v>
      </c>
      <c r="I165" s="4">
        <f>(I158-I150)*627.51</f>
        <v>4.7772336299950418</v>
      </c>
      <c r="J165" s="1"/>
      <c r="L165" s="7"/>
      <c r="M165" s="26"/>
      <c r="N165" s="22"/>
      <c r="O165" s="7"/>
      <c r="Q165" s="7"/>
      <c r="R165" s="26"/>
      <c r="S165" s="22"/>
    </row>
    <row r="166" spans="1:27" s="11" customFormat="1" ht="16.8">
      <c r="B166" s="13"/>
      <c r="C166" s="13"/>
      <c r="D166" s="13"/>
      <c r="E166" s="10"/>
      <c r="F166"/>
      <c r="G166" s="3" t="s">
        <v>2</v>
      </c>
      <c r="H166" s="3" t="s">
        <v>4</v>
      </c>
      <c r="I166" s="3" t="s">
        <v>5</v>
      </c>
      <c r="J166"/>
      <c r="L166" s="7"/>
      <c r="M166" s="26"/>
      <c r="N166" s="22"/>
      <c r="O166" s="7"/>
      <c r="Q166" s="7"/>
      <c r="R166" s="26"/>
      <c r="S166" s="22"/>
    </row>
    <row r="167" spans="1:27" s="11" customFormat="1">
      <c r="B167" s="13"/>
      <c r="C167" s="13"/>
      <c r="D167" s="13"/>
      <c r="E167" s="10"/>
      <c r="F167"/>
      <c r="G167" s="4">
        <f>(G157-G150)*627.51</f>
        <v>21.499747620007813</v>
      </c>
      <c r="H167" s="4">
        <f t="shared" ref="H167:I167" si="14">(H157-H150)*627.51</f>
        <v>21.168422340059593</v>
      </c>
      <c r="I167" s="20">
        <f t="shared" si="14"/>
        <v>21.999873090029229</v>
      </c>
      <c r="J167"/>
      <c r="L167" s="7"/>
      <c r="M167" s="26"/>
      <c r="N167" s="22"/>
      <c r="O167" s="7"/>
      <c r="Q167" s="7"/>
      <c r="R167" s="26"/>
      <c r="S167" s="22"/>
    </row>
    <row r="168" spans="1:27" s="11" customFormat="1" ht="15.6">
      <c r="B168" s="13"/>
      <c r="C168" s="13"/>
      <c r="D168" s="13"/>
      <c r="E168" s="10"/>
      <c r="F168"/>
      <c r="G168" s="3" t="s">
        <v>3</v>
      </c>
      <c r="H168" s="3" t="s">
        <v>7</v>
      </c>
      <c r="I168" s="3" t="s">
        <v>6</v>
      </c>
      <c r="L168" s="7"/>
      <c r="M168" s="26"/>
      <c r="N168" s="22"/>
      <c r="O168" s="7"/>
      <c r="Q168" s="7"/>
      <c r="R168" s="26"/>
      <c r="S168" s="22"/>
    </row>
    <row r="169" spans="1:27" s="11" customFormat="1">
      <c r="B169" s="13"/>
      <c r="C169" s="13"/>
      <c r="D169" s="13"/>
      <c r="E169" s="10"/>
      <c r="F169"/>
      <c r="G169" s="4">
        <f>(G163-G150)*627.51</f>
        <v>2.5269827700405481</v>
      </c>
      <c r="H169" s="4">
        <f>(H163-H150)*627.51</f>
        <v>2.7955570500045201</v>
      </c>
      <c r="I169" s="4">
        <f>(I163-I150)*627.51</f>
        <v>1.7068271999710531</v>
      </c>
      <c r="J169" s="16"/>
      <c r="L169" s="7"/>
      <c r="M169" s="26"/>
      <c r="N169" s="22"/>
      <c r="O169" s="7"/>
      <c r="Q169" s="7"/>
      <c r="R169" s="26"/>
      <c r="S169" s="22"/>
    </row>
    <row r="170" spans="1:27" s="11" customFormat="1" ht="16.8">
      <c r="B170" s="13"/>
      <c r="C170" s="13"/>
      <c r="D170" s="13"/>
      <c r="E170" s="10"/>
      <c r="F170"/>
      <c r="G170" s="4"/>
      <c r="H170" s="21" t="s">
        <v>24</v>
      </c>
      <c r="I170" s="22">
        <f>($B$6*$B$4/$B$5)*EXP(-(I167)/($B$7*$B$4))</f>
        <v>4.5340771143479434E-4</v>
      </c>
      <c r="J170"/>
      <c r="L170" s="7"/>
      <c r="M170" s="26"/>
      <c r="N170" s="22"/>
      <c r="O170" s="7"/>
      <c r="Q170" s="7"/>
      <c r="R170" s="26"/>
      <c r="S170" s="22"/>
    </row>
    <row r="171" spans="1:27" s="11" customFormat="1" ht="16.8">
      <c r="B171" s="13"/>
      <c r="C171" s="13"/>
      <c r="D171" s="13"/>
      <c r="E171" s="10"/>
      <c r="F171"/>
      <c r="G171" s="4"/>
      <c r="H171" s="21" t="s">
        <v>31</v>
      </c>
      <c r="I171" s="30">
        <v>0.39</v>
      </c>
      <c r="J171" s="7" t="s">
        <v>157</v>
      </c>
      <c r="L171" s="7"/>
      <c r="M171" s="26"/>
      <c r="N171" s="22"/>
      <c r="O171" s="7"/>
      <c r="Q171" s="7"/>
      <c r="R171" s="26"/>
      <c r="S171" s="22"/>
    </row>
    <row r="172" spans="1:27">
      <c r="F172" s="11"/>
      <c r="G172" s="7"/>
      <c r="H172" s="26"/>
      <c r="I172" s="22"/>
      <c r="J172" s="7"/>
      <c r="K172" s="11"/>
      <c r="L172" s="7"/>
      <c r="M172" s="26"/>
      <c r="N172" s="22"/>
      <c r="O172" s="7"/>
      <c r="P172" s="11"/>
      <c r="Q172" s="7"/>
      <c r="R172" s="26"/>
      <c r="S172" s="22"/>
      <c r="T172" s="11"/>
      <c r="U172" s="11"/>
      <c r="V172" s="11"/>
      <c r="W172" s="11"/>
      <c r="X172" s="11"/>
      <c r="Y172" s="11"/>
      <c r="Z172" s="11"/>
      <c r="AA172" s="11"/>
    </row>
    <row r="173" spans="1:27" ht="15.6">
      <c r="A173" s="1" t="s">
        <v>50</v>
      </c>
      <c r="B173" s="5" t="s">
        <v>8</v>
      </c>
      <c r="C173" s="5" t="s">
        <v>0</v>
      </c>
      <c r="D173" s="5" t="s">
        <v>1</v>
      </c>
      <c r="F173" s="36" t="s">
        <v>190</v>
      </c>
      <c r="G173" s="7"/>
      <c r="H173" s="26"/>
      <c r="I173" s="22"/>
      <c r="J173" s="7"/>
      <c r="K173" s="36" t="s">
        <v>190</v>
      </c>
      <c r="L173" s="11"/>
      <c r="M173" s="11"/>
      <c r="N173" s="11"/>
      <c r="O173" s="11"/>
      <c r="P173" s="36" t="s">
        <v>190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>
      <c r="A174" t="s">
        <v>70</v>
      </c>
      <c r="B174" s="31">
        <v>-766.89966600000002</v>
      </c>
      <c r="C174" s="2">
        <v>-766.88254800000004</v>
      </c>
      <c r="D174" s="2">
        <v>-766.94313</v>
      </c>
      <c r="F174" s="1" t="s">
        <v>401</v>
      </c>
      <c r="G174" s="16"/>
      <c r="H174" s="16"/>
      <c r="I174" s="16"/>
      <c r="K174" s="1" t="s">
        <v>95</v>
      </c>
      <c r="L174" s="25"/>
      <c r="M174" s="25"/>
      <c r="N174" s="25"/>
      <c r="O174" s="11"/>
      <c r="P174" s="1" t="s">
        <v>97</v>
      </c>
      <c r="Q174" s="25"/>
      <c r="R174" s="25"/>
      <c r="S174" s="25"/>
      <c r="T174" s="11"/>
    </row>
    <row r="175" spans="1:27" ht="15.6">
      <c r="A175" t="s">
        <v>71</v>
      </c>
      <c r="B175" s="2">
        <v>-766.89956400000005</v>
      </c>
      <c r="C175" s="2">
        <v>-766.88246700000002</v>
      </c>
      <c r="D175" s="2">
        <v>-766.94296299999996</v>
      </c>
      <c r="G175" s="5" t="s">
        <v>8</v>
      </c>
      <c r="H175" s="5" t="s">
        <v>0</v>
      </c>
      <c r="I175" s="5" t="s">
        <v>1</v>
      </c>
      <c r="L175" s="5" t="s">
        <v>8</v>
      </c>
      <c r="M175" s="5" t="s">
        <v>0</v>
      </c>
      <c r="N175" s="5" t="s">
        <v>1</v>
      </c>
      <c r="O175" s="11"/>
      <c r="Q175" s="5" t="s">
        <v>8</v>
      </c>
      <c r="R175" s="5" t="s">
        <v>0</v>
      </c>
      <c r="S175" s="5" t="s">
        <v>1</v>
      </c>
    </row>
    <row r="176" spans="1:27">
      <c r="A176" t="s">
        <v>72</v>
      </c>
      <c r="B176" s="2">
        <v>-766.89771499999995</v>
      </c>
      <c r="C176" s="2">
        <v>-766.88057900000001</v>
      </c>
      <c r="D176" s="2">
        <v>-766.941329</v>
      </c>
      <c r="F176" t="s">
        <v>73</v>
      </c>
      <c r="G176" s="2">
        <v>-766.90100900000004</v>
      </c>
      <c r="H176" s="2">
        <v>-766.88397399999997</v>
      </c>
      <c r="I176" s="2">
        <v>-766.94432900000004</v>
      </c>
      <c r="K176" t="s">
        <v>73</v>
      </c>
      <c r="L176" s="2">
        <v>-766.90100900000004</v>
      </c>
      <c r="M176" s="2">
        <v>-766.88397399999997</v>
      </c>
      <c r="N176" s="2">
        <v>-766.94432900000004</v>
      </c>
      <c r="O176" s="11"/>
      <c r="P176" t="s">
        <v>73</v>
      </c>
      <c r="Q176" s="2">
        <v>-766.90100900000004</v>
      </c>
      <c r="R176" s="2">
        <v>-766.88397399999997</v>
      </c>
      <c r="S176" s="2">
        <v>-766.94432900000004</v>
      </c>
    </row>
    <row r="177" spans="1:20">
      <c r="A177" t="s">
        <v>73</v>
      </c>
      <c r="B177" s="2">
        <v>-766.90100900000004</v>
      </c>
      <c r="C177" s="2">
        <v>-766.88397399999997</v>
      </c>
      <c r="D177" s="2">
        <v>-766.94432900000004</v>
      </c>
      <c r="E177" s="1" t="s">
        <v>83</v>
      </c>
      <c r="F177" t="s">
        <v>26</v>
      </c>
      <c r="G177" s="2">
        <v>-766.87147000000004</v>
      </c>
      <c r="H177" s="2">
        <v>-766.85535200000004</v>
      </c>
      <c r="I177" s="2">
        <v>-766.91320199999996</v>
      </c>
      <c r="J177" s="1" t="s">
        <v>83</v>
      </c>
      <c r="K177" t="s">
        <v>26</v>
      </c>
      <c r="L177" s="2">
        <v>-766.86428100000001</v>
      </c>
      <c r="M177" s="2">
        <v>-766.84761700000001</v>
      </c>
      <c r="N177" s="2">
        <v>-766.90701300000001</v>
      </c>
      <c r="O177" s="1"/>
      <c r="P177" t="s">
        <v>26</v>
      </c>
      <c r="Q177" s="2">
        <v>-766.86834899999997</v>
      </c>
      <c r="R177" s="2">
        <v>-766.852034</v>
      </c>
      <c r="S177" s="2">
        <v>-766.91014199999995</v>
      </c>
      <c r="T177" s="1" t="s">
        <v>83</v>
      </c>
    </row>
    <row r="178" spans="1:20">
      <c r="A178" t="s">
        <v>82</v>
      </c>
      <c r="B178" s="32">
        <v>-766.89931000000001</v>
      </c>
      <c r="C178" s="32">
        <v>-766.88199699999996</v>
      </c>
      <c r="D178" s="32">
        <v>-766.94336399999997</v>
      </c>
      <c r="E178" s="4">
        <f>(B177-$B$17)*627.51</f>
        <v>5.3965860006428557E-2</v>
      </c>
      <c r="F178" t="s">
        <v>127</v>
      </c>
      <c r="G178" s="2" t="s">
        <v>155</v>
      </c>
      <c r="H178" s="2"/>
      <c r="I178" s="2"/>
      <c r="K178" t="s">
        <v>127</v>
      </c>
      <c r="L178" s="2">
        <v>-766.86296500000003</v>
      </c>
      <c r="M178" s="2">
        <v>-766.84665700000005</v>
      </c>
      <c r="N178" s="2">
        <v>-766.90564600000005</v>
      </c>
      <c r="O178" s="11"/>
      <c r="P178" t="s">
        <v>127</v>
      </c>
      <c r="Q178" s="2">
        <v>-766.86787300000003</v>
      </c>
      <c r="R178" s="2">
        <v>-766.85147099999995</v>
      </c>
      <c r="S178" s="2">
        <v>-766.90980200000001</v>
      </c>
    </row>
    <row r="179" spans="1:20">
      <c r="A179" t="s">
        <v>126</v>
      </c>
      <c r="B179" s="32">
        <v>-766.896705</v>
      </c>
      <c r="C179" s="32">
        <v>-766.87978899999996</v>
      </c>
      <c r="D179" s="32">
        <v>-766.93974300000002</v>
      </c>
      <c r="F179" t="s">
        <v>154</v>
      </c>
      <c r="G179" s="2" t="s">
        <v>155</v>
      </c>
      <c r="H179" s="2"/>
      <c r="I179" s="2"/>
      <c r="K179" t="s">
        <v>154</v>
      </c>
      <c r="L179" s="2">
        <v>-766.865589</v>
      </c>
      <c r="M179" s="2">
        <v>-766.84890499999995</v>
      </c>
      <c r="N179" s="2">
        <v>-766.90846199999999</v>
      </c>
      <c r="O179" s="1" t="s">
        <v>83</v>
      </c>
      <c r="P179" t="s">
        <v>154</v>
      </c>
      <c r="Q179" s="2">
        <v>-766.86783500000001</v>
      </c>
      <c r="R179" s="2">
        <v>-766.85145199999999</v>
      </c>
      <c r="S179" s="2">
        <v>-766.90969800000005</v>
      </c>
    </row>
    <row r="180" spans="1:20">
      <c r="F180" t="s">
        <v>112</v>
      </c>
      <c r="G180" s="2">
        <v>-766.89181399999995</v>
      </c>
      <c r="H180" s="2">
        <v>-766.87565400000005</v>
      </c>
      <c r="I180" s="2">
        <v>-766.93401400000005</v>
      </c>
      <c r="J180" s="1" t="s">
        <v>83</v>
      </c>
      <c r="K180" t="s">
        <v>113</v>
      </c>
      <c r="L180" s="2">
        <v>-766.89675899999997</v>
      </c>
      <c r="M180" s="2">
        <v>-766.87915799999996</v>
      </c>
      <c r="N180" s="2">
        <v>-766.941014</v>
      </c>
      <c r="O180" s="1" t="s">
        <v>83</v>
      </c>
      <c r="P180" t="s">
        <v>183</v>
      </c>
      <c r="Q180" s="2">
        <v>-766.86762499999998</v>
      </c>
      <c r="R180" s="2">
        <v>-766.85165700000005</v>
      </c>
      <c r="S180" s="2">
        <v>-766.90875500000004</v>
      </c>
    </row>
    <row r="181" spans="1:20">
      <c r="F181" t="s">
        <v>149</v>
      </c>
      <c r="G181" s="2">
        <v>-766.89210400000002</v>
      </c>
      <c r="H181" s="2">
        <v>-766.87602100000004</v>
      </c>
      <c r="I181" s="2">
        <v>-766.93386699999996</v>
      </c>
      <c r="K181" t="s">
        <v>148</v>
      </c>
      <c r="L181" s="2">
        <v>-766.89474700000005</v>
      </c>
      <c r="M181" s="2">
        <v>-766.87685899999997</v>
      </c>
      <c r="N181" s="2">
        <v>-766.93919500000004</v>
      </c>
      <c r="O181" s="11"/>
      <c r="P181" t="s">
        <v>114</v>
      </c>
      <c r="Q181" s="2"/>
      <c r="R181" s="2"/>
      <c r="S181" s="2"/>
    </row>
    <row r="182" spans="1:20" ht="16.8">
      <c r="F182" t="s">
        <v>195</v>
      </c>
      <c r="G182" s="2">
        <v>-766.89178900000002</v>
      </c>
      <c r="H182" s="2">
        <v>-766.87563899999998</v>
      </c>
      <c r="I182" s="2">
        <v>-766.93401300000005</v>
      </c>
      <c r="J182" s="1"/>
      <c r="L182" s="3" t="s">
        <v>2</v>
      </c>
      <c r="M182" s="3" t="s">
        <v>4</v>
      </c>
      <c r="N182" s="3" t="s">
        <v>5</v>
      </c>
      <c r="P182" t="s">
        <v>117</v>
      </c>
      <c r="Q182" s="2">
        <v>-766.96458299999995</v>
      </c>
      <c r="R182" s="2">
        <v>-766.94693700000005</v>
      </c>
      <c r="S182" s="2">
        <v>-767.00846000000001</v>
      </c>
      <c r="T182" s="1" t="s">
        <v>83</v>
      </c>
    </row>
    <row r="183" spans="1:20" ht="16.8">
      <c r="G183" s="3" t="s">
        <v>2</v>
      </c>
      <c r="H183" s="3" t="s">
        <v>4</v>
      </c>
      <c r="I183" s="3" t="s">
        <v>5</v>
      </c>
      <c r="L183" s="4">
        <f>(L179-L176)*627.51</f>
        <v>22.226404200028011</v>
      </c>
      <c r="M183" s="4">
        <f t="shared" ref="M183" si="15">(M179-M176)*627.51</f>
        <v>22.006148190013388</v>
      </c>
      <c r="N183" s="20">
        <f>(N179-N176)*627.51</f>
        <v>22.50690117003322</v>
      </c>
      <c r="P183" t="s">
        <v>152</v>
      </c>
      <c r="Q183" s="2">
        <v>-766.953486</v>
      </c>
      <c r="R183" s="2">
        <v>-766.93485699999997</v>
      </c>
      <c r="S183" s="2">
        <v>-766.99987399999998</v>
      </c>
    </row>
    <row r="184" spans="1:20" ht="16.8">
      <c r="E184" s="11"/>
      <c r="G184" s="4">
        <f>(G177-G176)*627.51</f>
        <v>18.536017889999847</v>
      </c>
      <c r="H184" s="4">
        <f>(H177-H176)*627.51</f>
        <v>17.96059121995453</v>
      </c>
      <c r="I184" s="20">
        <f>(I177-I176)*627.51</f>
        <v>19.532503770052191</v>
      </c>
      <c r="L184" s="3" t="s">
        <v>3</v>
      </c>
      <c r="M184" s="3" t="s">
        <v>7</v>
      </c>
      <c r="N184" s="3" t="s">
        <v>6</v>
      </c>
      <c r="Q184" s="3" t="s">
        <v>2</v>
      </c>
      <c r="R184" s="3" t="s">
        <v>4</v>
      </c>
      <c r="S184" s="3" t="s">
        <v>5</v>
      </c>
    </row>
    <row r="185" spans="1:20" ht="15.6">
      <c r="E185" s="11"/>
      <c r="G185" s="3" t="s">
        <v>3</v>
      </c>
      <c r="H185" s="3" t="s">
        <v>7</v>
      </c>
      <c r="I185" s="3" t="s">
        <v>6</v>
      </c>
      <c r="L185" s="4">
        <f>(L180-L176)*627.51</f>
        <v>2.6669175000439451</v>
      </c>
      <c r="M185" s="4">
        <f>(M180-M176)*627.51</f>
        <v>3.0220881600033009</v>
      </c>
      <c r="N185" s="4">
        <f>(N180-N176)*627.51</f>
        <v>2.0801956500271435</v>
      </c>
      <c r="Q185" s="4">
        <f>(Q177-Q176)*627.51</f>
        <v>20.494476600048991</v>
      </c>
      <c r="R185" s="4">
        <f>(R177-R176)*627.51</f>
        <v>20.042669399976919</v>
      </c>
      <c r="S185" s="20">
        <f>(S177-S176)*627.51</f>
        <v>21.452684370055294</v>
      </c>
    </row>
    <row r="186" spans="1:20" ht="16.8">
      <c r="E186" s="11"/>
      <c r="G186" s="4">
        <f>(G180-G176)*627.51</f>
        <v>5.7699544500568889</v>
      </c>
      <c r="H186" s="4">
        <f t="shared" ref="H186:I186" si="16">(H180-H176)*627.51</f>
        <v>5.2208831999450283</v>
      </c>
      <c r="I186" s="4">
        <f t="shared" si="16"/>
        <v>6.4727656499946127</v>
      </c>
      <c r="L186" s="4"/>
      <c r="M186" s="21" t="s">
        <v>24</v>
      </c>
      <c r="N186" s="22">
        <f>($B$6*$B$4/$B$5)*EXP(-(N183)/($B$7*$B$4))</f>
        <v>1.925690700546058E-4</v>
      </c>
      <c r="Q186" s="3" t="s">
        <v>3</v>
      </c>
      <c r="R186" s="3" t="s">
        <v>7</v>
      </c>
      <c r="S186" s="3" t="s">
        <v>6</v>
      </c>
    </row>
    <row r="187" spans="1:20" ht="16.8">
      <c r="E187" s="11"/>
      <c r="G187" s="4"/>
      <c r="H187" s="21" t="s">
        <v>24</v>
      </c>
      <c r="I187" s="30">
        <f>($B$6*$B$4/$B$5)*EXP(-(I184)/($B$7*$B$4))</f>
        <v>2.9261125376956257E-2</v>
      </c>
      <c r="L187" s="4"/>
      <c r="M187" s="21" t="s">
        <v>31</v>
      </c>
      <c r="N187" s="30">
        <v>0.34</v>
      </c>
      <c r="O187" s="7" t="s">
        <v>158</v>
      </c>
      <c r="Q187" s="4">
        <f>(Q182-Q176)*627.51</f>
        <v>-39.893320739939263</v>
      </c>
      <c r="R187" s="4">
        <f>(R182-R176)*627.51</f>
        <v>-39.509912130051198</v>
      </c>
      <c r="S187" s="4">
        <f>(S182-S176)*627.51</f>
        <v>-40.242843809984215</v>
      </c>
    </row>
    <row r="188" spans="1:20" ht="16.8">
      <c r="E188" s="11"/>
      <c r="G188" s="4"/>
      <c r="H188" s="21"/>
      <c r="I188" s="22"/>
      <c r="Q188" s="4"/>
      <c r="R188" s="21" t="s">
        <v>24</v>
      </c>
      <c r="S188" s="22">
        <f>($B$6*$B$4/$B$5)*EXP(-(S185)/($B$7*$B$4))</f>
        <v>1.1424807326920069E-3</v>
      </c>
    </row>
    <row r="189" spans="1:20" ht="16.8">
      <c r="Q189" s="4"/>
      <c r="R189" s="21" t="s">
        <v>31</v>
      </c>
      <c r="S189" s="33">
        <v>0.89</v>
      </c>
      <c r="T189" s="7" t="s">
        <v>158</v>
      </c>
    </row>
    <row r="190" spans="1:20">
      <c r="A190" s="11"/>
      <c r="B190" s="11"/>
      <c r="C190" s="11"/>
      <c r="D190" s="11"/>
    </row>
    <row r="191" spans="1:20">
      <c r="A191" s="11"/>
      <c r="B191" s="11"/>
      <c r="C191" s="11"/>
      <c r="D191" s="11"/>
    </row>
    <row r="192" spans="1:20" s="37" customFormat="1">
      <c r="A192" s="37" t="s">
        <v>200</v>
      </c>
    </row>
    <row r="195" spans="1:14">
      <c r="A195" s="28" t="s">
        <v>32</v>
      </c>
    </row>
    <row r="196" spans="1:14" ht="15.6">
      <c r="A196" s="1" t="s">
        <v>201</v>
      </c>
      <c r="F196" s="1" t="s">
        <v>205</v>
      </c>
      <c r="K196" s="1" t="s">
        <v>209</v>
      </c>
    </row>
    <row r="197" spans="1:14" ht="15.6">
      <c r="B197" s="5" t="s">
        <v>8</v>
      </c>
      <c r="C197" s="5" t="s">
        <v>0</v>
      </c>
      <c r="D197" s="5" t="s">
        <v>1</v>
      </c>
      <c r="G197" s="5" t="s">
        <v>8</v>
      </c>
      <c r="H197" s="5" t="s">
        <v>0</v>
      </c>
      <c r="I197" s="5" t="s">
        <v>1</v>
      </c>
      <c r="L197" s="5" t="s">
        <v>8</v>
      </c>
      <c r="M197" s="5" t="s">
        <v>0</v>
      </c>
      <c r="N197" s="5" t="s">
        <v>1</v>
      </c>
    </row>
    <row r="198" spans="1:14">
      <c r="A198" t="s">
        <v>202</v>
      </c>
      <c r="B198" s="2">
        <v>-766.90048300000001</v>
      </c>
      <c r="C198" s="2">
        <v>-766.88341500000001</v>
      </c>
      <c r="D198" s="2">
        <v>-766.94329400000004</v>
      </c>
      <c r="F198" t="s">
        <v>202</v>
      </c>
      <c r="G198" s="2">
        <v>-766.90048300000001</v>
      </c>
      <c r="H198" s="2">
        <v>-766.88341500000001</v>
      </c>
      <c r="I198" s="2">
        <v>-766.94329400000004</v>
      </c>
      <c r="K198" t="s">
        <v>202</v>
      </c>
      <c r="L198" s="2">
        <v>-766.90048300000001</v>
      </c>
      <c r="M198" s="2">
        <v>-766.88341500000001</v>
      </c>
      <c r="N198" s="2">
        <v>-766.94329400000004</v>
      </c>
    </row>
    <row r="199" spans="1:14">
      <c r="A199" t="s">
        <v>203</v>
      </c>
      <c r="B199" s="2">
        <v>-616.56235300000003</v>
      </c>
      <c r="C199" s="2">
        <v>-616.54674899999998</v>
      </c>
      <c r="D199" s="2">
        <v>-616.60359500000004</v>
      </c>
      <c r="F199" t="s">
        <v>206</v>
      </c>
      <c r="G199" s="2">
        <v>-766.89918399999999</v>
      </c>
      <c r="H199" s="2">
        <v>-766.88180799999998</v>
      </c>
      <c r="I199" s="2">
        <v>-766.94262600000002</v>
      </c>
      <c r="K199" t="s">
        <v>210</v>
      </c>
      <c r="L199" s="2">
        <v>-766.84856200000002</v>
      </c>
      <c r="M199" s="2">
        <v>-766.83227599999998</v>
      </c>
      <c r="N199" s="2">
        <v>-766.88973999999996</v>
      </c>
    </row>
    <row r="200" spans="1:14">
      <c r="A200" t="s">
        <v>204</v>
      </c>
      <c r="B200" s="2">
        <v>-150.314877</v>
      </c>
      <c r="C200" s="2">
        <v>-150.31157099999999</v>
      </c>
      <c r="D200" s="2">
        <v>-150.33482599999999</v>
      </c>
      <c r="F200" t="s">
        <v>208</v>
      </c>
      <c r="G200" s="2">
        <v>-766.86005</v>
      </c>
      <c r="H200" s="2">
        <v>-766.84365400000002</v>
      </c>
      <c r="I200" s="2">
        <v>-766.90127199999995</v>
      </c>
      <c r="K200" t="s">
        <v>211</v>
      </c>
      <c r="L200" s="2">
        <v>-766.88439600000004</v>
      </c>
      <c r="M200" s="2">
        <v>-766.86804400000005</v>
      </c>
      <c r="N200" s="2">
        <v>-766.925432</v>
      </c>
    </row>
    <row r="201" spans="1:14" ht="16.8">
      <c r="A201" t="s">
        <v>266</v>
      </c>
      <c r="B201" s="2">
        <v>-766.87526600000001</v>
      </c>
      <c r="C201" s="2">
        <v>-766.85792200000003</v>
      </c>
      <c r="D201" s="2">
        <v>-766.91841999999997</v>
      </c>
      <c r="E201" s="1" t="s">
        <v>265</v>
      </c>
      <c r="F201" t="s">
        <v>207</v>
      </c>
      <c r="G201" s="2">
        <v>-766.90293099999997</v>
      </c>
      <c r="H201" s="2">
        <v>-766.88616000000002</v>
      </c>
      <c r="I201" s="2">
        <v>-766.94489799999997</v>
      </c>
      <c r="L201" s="3" t="s">
        <v>2</v>
      </c>
      <c r="M201" s="3" t="s">
        <v>4</v>
      </c>
      <c r="N201" s="3" t="s">
        <v>5</v>
      </c>
    </row>
    <row r="202" spans="1:14" ht="16.8">
      <c r="B202" s="3" t="s">
        <v>2</v>
      </c>
      <c r="C202" s="3" t="s">
        <v>4</v>
      </c>
      <c r="D202" s="3" t="s">
        <v>5</v>
      </c>
      <c r="G202" s="3" t="s">
        <v>2</v>
      </c>
      <c r="H202" s="3" t="s">
        <v>4</v>
      </c>
      <c r="I202" s="3" t="s">
        <v>5</v>
      </c>
      <c r="L202" s="4">
        <f>(L199-L198)*627.51</f>
        <v>32.580946709995608</v>
      </c>
      <c r="M202" s="4">
        <f>(M199-M198)*627.51</f>
        <v>32.090233890021764</v>
      </c>
      <c r="N202" s="20">
        <f>(N199-N198)*627.51</f>
        <v>33.605670540047996</v>
      </c>
    </row>
    <row r="203" spans="1:14" ht="15.6">
      <c r="B203" s="4">
        <f>(B201-B198)*627.51</f>
        <v>15.823919669998634</v>
      </c>
      <c r="C203" s="4">
        <f t="shared" ref="C203:D203" si="17">(C201-C198)*627.51</f>
        <v>15.997112429989402</v>
      </c>
      <c r="D203" s="20">
        <f t="shared" si="17"/>
        <v>15.608683740042675</v>
      </c>
      <c r="G203" s="4">
        <f>(G200-G198)*627.51</f>
        <v>25.37211183000456</v>
      </c>
      <c r="H203" s="4">
        <f t="shared" ref="H203:I203" si="18">(H200-H198)*627.51</f>
        <v>24.950425109999124</v>
      </c>
      <c r="I203" s="20">
        <f t="shared" si="18"/>
        <v>26.369225220055316</v>
      </c>
      <c r="L203" s="3" t="s">
        <v>3</v>
      </c>
      <c r="M203" s="3" t="s">
        <v>7</v>
      </c>
      <c r="N203" s="3" t="s">
        <v>6</v>
      </c>
    </row>
    <row r="204" spans="1:14" ht="15.6">
      <c r="B204" s="3" t="s">
        <v>3</v>
      </c>
      <c r="C204" s="3" t="s">
        <v>7</v>
      </c>
      <c r="D204" s="3" t="s">
        <v>6</v>
      </c>
      <c r="G204" s="3" t="s">
        <v>3</v>
      </c>
      <c r="H204" s="3" t="s">
        <v>7</v>
      </c>
      <c r="I204" s="3" t="s">
        <v>6</v>
      </c>
      <c r="L204" s="4">
        <f>(L200-L198)*627.51</f>
        <v>10.094753369981445</v>
      </c>
      <c r="M204" s="4">
        <f>(M200-M198)*627.51</f>
        <v>9.6454562099743768</v>
      </c>
      <c r="N204" s="4">
        <f>(N200-N198)*627.51</f>
        <v>11.208583620022878</v>
      </c>
    </row>
    <row r="205" spans="1:14" ht="16.8">
      <c r="B205" s="4">
        <f>(B200+B199-B198)*627.51</f>
        <v>14.591490029971277</v>
      </c>
      <c r="C205" s="4">
        <f>(C200+C199-C198)*627.51</f>
        <v>15.747363450049241</v>
      </c>
      <c r="D205" s="4">
        <f>(D200+D199-D198)*627.51</f>
        <v>3.0578562299843348</v>
      </c>
      <c r="G205" s="4">
        <f>(G201-G198)*627.51</f>
        <v>-1.5361444799739479</v>
      </c>
      <c r="H205" s="4">
        <f t="shared" ref="H205:I205" si="19">(H201-H198)*627.51</f>
        <v>-1.722514950002785</v>
      </c>
      <c r="I205" s="4">
        <f t="shared" si="19"/>
        <v>-1.006526039955653</v>
      </c>
      <c r="L205" s="4"/>
      <c r="M205" s="21" t="s">
        <v>24</v>
      </c>
      <c r="N205" s="30">
        <f>($B$6*$B$4/$B$5)*EXP(-(N202)/($B$7*$B$4))</f>
        <v>1.3921912729749983E-12</v>
      </c>
    </row>
    <row r="206" spans="1:14" ht="16.8">
      <c r="C206" s="21" t="s">
        <v>24</v>
      </c>
      <c r="D206" s="30">
        <f>($B$6*$B$4/$B$5)*EXP(-(D203)/($B$7*$B$4))</f>
        <v>22.099981415015222</v>
      </c>
      <c r="G206" s="4"/>
      <c r="H206" s="21" t="s">
        <v>24</v>
      </c>
      <c r="I206" s="30">
        <f>($B$6*$B$4/$B$5)*EXP(-(I203)/($B$7*$B$4))</f>
        <v>2.8287373196212929E-7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2B4D-F921-4274-BF0A-630FDD212E08}">
  <dimension ref="A1:CM207"/>
  <sheetViews>
    <sheetView tabSelected="1" topLeftCell="A46" zoomScale="50" zoomScaleNormal="50" workbookViewId="0">
      <selection activeCell="B24" sqref="B24"/>
    </sheetView>
  </sheetViews>
  <sheetFormatPr defaultRowHeight="14.4"/>
  <cols>
    <col min="1" max="1" width="79.109375" customWidth="1"/>
    <col min="2" max="2" width="9.6640625" bestFit="1" customWidth="1"/>
    <col min="3" max="3" width="8.88671875" customWidth="1"/>
    <col min="4" max="4" width="55.44140625" customWidth="1"/>
    <col min="5" max="5" width="8.88671875" customWidth="1"/>
    <col min="6" max="6" width="9.33203125" customWidth="1"/>
    <col min="7" max="7" width="76.109375" customWidth="1"/>
    <col min="8" max="8" width="10.5546875" customWidth="1"/>
    <col min="9" max="9" width="8.88671875" customWidth="1"/>
    <col min="10" max="10" width="58.5546875" customWidth="1"/>
    <col min="11" max="11" width="8.88671875" customWidth="1"/>
    <col min="12" max="12" width="9.5546875" customWidth="1"/>
    <col min="13" max="13" width="49" bestFit="1" customWidth="1"/>
    <col min="14" max="14" width="10.44140625" customWidth="1"/>
    <col min="15" max="15" width="51.88671875" bestFit="1" customWidth="1"/>
    <col min="16" max="17" width="8.88671875" customWidth="1"/>
    <col min="18" max="18" width="51.6640625" bestFit="1" customWidth="1"/>
    <col min="19" max="19" width="8.88671875" customWidth="1"/>
    <col min="20" max="20" width="8.77734375" customWidth="1"/>
    <col min="21" max="21" width="51.88671875" bestFit="1" customWidth="1"/>
    <col min="22" max="22" width="10" customWidth="1"/>
    <col min="23" max="23" width="8.88671875" customWidth="1"/>
    <col min="24" max="24" width="79.109375" customWidth="1"/>
    <col min="25" max="25" width="9.6640625" bestFit="1" customWidth="1"/>
    <col min="26" max="26" width="8.88671875" customWidth="1"/>
    <col min="27" max="27" width="55.44140625" customWidth="1"/>
    <col min="28" max="28" width="8.88671875" customWidth="1"/>
    <col min="29" max="29" width="9.33203125" customWidth="1"/>
    <col min="30" max="30" width="76.109375" customWidth="1"/>
    <col min="31" max="31" width="10.5546875" customWidth="1"/>
    <col min="32" max="32" width="8.88671875" customWidth="1"/>
    <col min="33" max="33" width="58.5546875" customWidth="1"/>
    <col min="34" max="34" width="8.88671875" customWidth="1"/>
    <col min="35" max="35" width="9.5546875" customWidth="1"/>
    <col min="36" max="36" width="49" bestFit="1" customWidth="1"/>
    <col min="37" max="37" width="10.44140625" customWidth="1"/>
    <col min="38" max="38" width="51.88671875" bestFit="1" customWidth="1"/>
    <col min="39" max="40" width="8.88671875" customWidth="1"/>
    <col min="41" max="41" width="51.6640625" bestFit="1" customWidth="1"/>
    <col min="42" max="42" width="8.88671875" customWidth="1"/>
    <col min="43" max="43" width="8.77734375" customWidth="1"/>
    <col min="44" max="44" width="51.88671875" bestFit="1" customWidth="1"/>
    <col min="45" max="45" width="10" customWidth="1"/>
    <col min="46" max="46" width="10.109375" customWidth="1"/>
    <col min="47" max="47" width="79.109375" customWidth="1"/>
    <col min="48" max="48" width="9.6640625" bestFit="1" customWidth="1"/>
    <col min="49" max="49" width="8.88671875" customWidth="1"/>
    <col min="50" max="50" width="55.44140625" customWidth="1"/>
    <col min="51" max="51" width="8.88671875" customWidth="1"/>
    <col min="52" max="52" width="9.33203125" customWidth="1"/>
    <col min="53" max="53" width="76.109375" customWidth="1"/>
    <col min="54" max="54" width="10.5546875" customWidth="1"/>
    <col min="55" max="55" width="8.88671875" customWidth="1"/>
    <col min="56" max="56" width="58.5546875" customWidth="1"/>
    <col min="57" max="57" width="8.88671875" customWidth="1"/>
    <col min="58" max="58" width="9.5546875" customWidth="1"/>
    <col min="59" max="59" width="49" bestFit="1" customWidth="1"/>
    <col min="60" max="60" width="10.44140625" customWidth="1"/>
    <col min="61" max="61" width="51.88671875" bestFit="1" customWidth="1"/>
    <col min="62" max="63" width="8.88671875" customWidth="1"/>
    <col min="64" max="64" width="51.6640625" bestFit="1" customWidth="1"/>
    <col min="65" max="65" width="8.88671875" customWidth="1"/>
    <col min="66" max="66" width="8.77734375" customWidth="1"/>
    <col min="67" max="67" width="51.88671875" bestFit="1" customWidth="1"/>
    <col min="68" max="68" width="10" customWidth="1"/>
    <col min="69" max="69" width="23.77734375" customWidth="1"/>
    <col min="70" max="70" width="27.6640625" customWidth="1"/>
    <col min="71" max="71" width="37.109375" bestFit="1" customWidth="1"/>
    <col min="72" max="72" width="42.33203125" bestFit="1" customWidth="1"/>
    <col min="73" max="73" width="37.109375" bestFit="1" customWidth="1"/>
    <col min="74" max="75" width="42.33203125" bestFit="1" customWidth="1"/>
    <col min="76" max="76" width="34" bestFit="1" customWidth="1"/>
    <col min="77" max="77" width="39.33203125" bestFit="1" customWidth="1"/>
    <col min="78" max="78" width="39.5546875" bestFit="1" customWidth="1"/>
    <col min="79" max="80" width="34" bestFit="1" customWidth="1"/>
    <col min="81" max="81" width="39.5546875" bestFit="1" customWidth="1"/>
    <col min="82" max="82" width="42.33203125" bestFit="1" customWidth="1"/>
    <col min="83" max="83" width="42.33203125" customWidth="1"/>
    <col min="84" max="84" width="42.6640625" customWidth="1"/>
    <col min="85" max="85" width="33.77734375" bestFit="1" customWidth="1"/>
    <col min="86" max="86" width="39.33203125" bestFit="1" customWidth="1"/>
    <col min="87" max="87" width="20.6640625" bestFit="1" customWidth="1"/>
  </cols>
  <sheetData>
    <row r="1" spans="1:88" ht="21" customHeight="1">
      <c r="A1" s="38" t="s">
        <v>218</v>
      </c>
    </row>
    <row r="2" spans="1:88" s="35" customFormat="1" ht="21" customHeight="1">
      <c r="A2" s="1"/>
    </row>
    <row r="3" spans="1:88" s="35" customFormat="1" ht="21" customHeight="1">
      <c r="A3" s="1" t="s">
        <v>231</v>
      </c>
    </row>
    <row r="4" spans="1:88" ht="21" customHeight="1">
      <c r="A4" t="s">
        <v>225</v>
      </c>
      <c r="B4" s="9">
        <v>24600000000</v>
      </c>
    </row>
    <row r="5" spans="1:88" ht="21" customHeight="1">
      <c r="A5" t="s">
        <v>226</v>
      </c>
      <c r="B5" s="9">
        <v>24600000</v>
      </c>
    </row>
    <row r="6" spans="1:88" ht="21" customHeight="1">
      <c r="A6" t="s">
        <v>223</v>
      </c>
      <c r="B6" s="8">
        <v>1</v>
      </c>
    </row>
    <row r="7" spans="1:88" ht="21" customHeight="1">
      <c r="A7" t="s">
        <v>222</v>
      </c>
      <c r="B7" s="9">
        <v>8.9999999999999996E-12</v>
      </c>
    </row>
    <row r="8" spans="1:88" ht="21" customHeight="1">
      <c r="A8" t="s">
        <v>227</v>
      </c>
      <c r="B8" s="8">
        <v>30</v>
      </c>
    </row>
    <row r="9" spans="1:88" ht="21" customHeight="1">
      <c r="A9" t="s">
        <v>224</v>
      </c>
      <c r="B9" s="9">
        <v>2.3000000000000001E-11</v>
      </c>
    </row>
    <row r="10" spans="1:88" ht="21" customHeight="1"/>
    <row r="11" spans="1:88" s="17" customFormat="1" ht="21" customHeight="1">
      <c r="A11" s="17" t="s">
        <v>25</v>
      </c>
    </row>
    <row r="12" spans="1:88" s="50" customFormat="1" ht="21" customHeight="1">
      <c r="A12" s="88" t="s">
        <v>416</v>
      </c>
      <c r="X12" s="89" t="s">
        <v>417</v>
      </c>
      <c r="Y12" s="89" t="s">
        <v>418</v>
      </c>
      <c r="Z12" s="91">
        <v>0.1</v>
      </c>
      <c r="AU12" s="90" t="s">
        <v>420</v>
      </c>
      <c r="AV12" s="90" t="s">
        <v>418</v>
      </c>
      <c r="AW12" s="97">
        <v>0.1</v>
      </c>
      <c r="BR12" s="106" t="s">
        <v>421</v>
      </c>
    </row>
    <row r="13" spans="1:88" ht="21" customHeight="1">
      <c r="A13" s="15" t="s">
        <v>268</v>
      </c>
      <c r="G13" s="15" t="s">
        <v>280</v>
      </c>
      <c r="S13" s="11"/>
      <c r="T13" s="60"/>
      <c r="U13" s="11"/>
      <c r="V13" s="11"/>
      <c r="W13" s="11"/>
      <c r="X13" s="15" t="s">
        <v>268</v>
      </c>
      <c r="AD13" s="15" t="s">
        <v>280</v>
      </c>
      <c r="AP13" s="11"/>
      <c r="AQ13" s="60"/>
      <c r="AR13" s="11"/>
      <c r="AS13" s="11"/>
      <c r="AT13" s="11"/>
      <c r="AU13" s="15" t="s">
        <v>268</v>
      </c>
      <c r="BA13" s="15" t="s">
        <v>280</v>
      </c>
      <c r="BM13" s="11"/>
      <c r="BN13" s="60"/>
      <c r="BO13" s="11"/>
      <c r="BP13" s="11"/>
      <c r="BS13" s="1" t="s">
        <v>422</v>
      </c>
    </row>
    <row r="14" spans="1:88" ht="21" customHeight="1">
      <c r="A14" t="s">
        <v>262</v>
      </c>
      <c r="B14" s="66">
        <v>0.9</v>
      </c>
      <c r="C14" s="39" t="s">
        <v>219</v>
      </c>
      <c r="G14" t="s">
        <v>262</v>
      </c>
      <c r="H14" s="66">
        <v>0.9</v>
      </c>
      <c r="I14" s="39" t="s">
        <v>219</v>
      </c>
      <c r="S14" s="11"/>
      <c r="T14" s="60"/>
      <c r="U14" s="11"/>
      <c r="V14" s="11"/>
      <c r="W14" s="11"/>
      <c r="X14" t="s">
        <v>262</v>
      </c>
      <c r="Y14" s="66">
        <f>$B$14+(1-$B$14)*Z$12</f>
        <v>0.91</v>
      </c>
      <c r="Z14" s="39" t="s">
        <v>219</v>
      </c>
      <c r="AD14" t="s">
        <v>262</v>
      </c>
      <c r="AE14" s="66">
        <f>$H$14+(1-$H$14)*Z$12</f>
        <v>0.91</v>
      </c>
      <c r="AF14" s="39" t="s">
        <v>219</v>
      </c>
      <c r="AP14" s="11"/>
      <c r="AQ14" s="60"/>
      <c r="AR14" s="11"/>
      <c r="AS14" s="11"/>
      <c r="AT14" s="11"/>
      <c r="AU14" t="s">
        <v>262</v>
      </c>
      <c r="AV14" s="66">
        <f>$B$14-($B$14*AW$12)</f>
        <v>0.81</v>
      </c>
      <c r="AW14" s="39" t="s">
        <v>219</v>
      </c>
      <c r="BA14" t="s">
        <v>262</v>
      </c>
      <c r="BB14" s="66">
        <f>$H$14-($H$14*AW$12)</f>
        <v>0.81</v>
      </c>
      <c r="BC14" s="39" t="s">
        <v>219</v>
      </c>
      <c r="BM14" s="11"/>
      <c r="BN14" s="60"/>
      <c r="BO14" s="11"/>
      <c r="BP14" s="11"/>
      <c r="BR14" s="5" t="s">
        <v>233</v>
      </c>
      <c r="BS14" s="15" t="s">
        <v>423</v>
      </c>
      <c r="BT14" s="15" t="s">
        <v>424</v>
      </c>
      <c r="BU14" s="15" t="s">
        <v>425</v>
      </c>
      <c r="BV14" s="15" t="s">
        <v>426</v>
      </c>
      <c r="BW14" s="15" t="s">
        <v>427</v>
      </c>
      <c r="BX14" s="15" t="s">
        <v>428</v>
      </c>
      <c r="BY14" s="15" t="s">
        <v>429</v>
      </c>
      <c r="BZ14" s="15" t="s">
        <v>430</v>
      </c>
      <c r="CA14" s="15" t="s">
        <v>428</v>
      </c>
      <c r="CB14" s="15" t="s">
        <v>429</v>
      </c>
      <c r="CC14" s="15" t="s">
        <v>430</v>
      </c>
      <c r="CD14" s="15" t="s">
        <v>431</v>
      </c>
      <c r="CE14" s="15" t="s">
        <v>432</v>
      </c>
      <c r="CF14" s="15" t="s">
        <v>427</v>
      </c>
      <c r="CG14" s="51" t="s">
        <v>234</v>
      </c>
      <c r="CI14" s="51"/>
      <c r="CJ14" s="51"/>
    </row>
    <row r="15" spans="1:88" ht="21" customHeight="1">
      <c r="A15" t="s">
        <v>271</v>
      </c>
      <c r="B15" s="66">
        <v>0.62</v>
      </c>
      <c r="C15" t="s">
        <v>272</v>
      </c>
      <c r="G15" t="s">
        <v>271</v>
      </c>
      <c r="H15" s="66">
        <v>0.62</v>
      </c>
      <c r="I15" t="s">
        <v>220</v>
      </c>
      <c r="S15" s="11"/>
      <c r="T15" s="60"/>
      <c r="U15" s="11"/>
      <c r="V15" s="11"/>
      <c r="W15" s="11"/>
      <c r="X15" t="s">
        <v>271</v>
      </c>
      <c r="Y15" s="66">
        <f>$B$15+(1-$B$15)*Z$12</f>
        <v>0.65800000000000003</v>
      </c>
      <c r="Z15" t="s">
        <v>272</v>
      </c>
      <c r="AD15" t="s">
        <v>271</v>
      </c>
      <c r="AE15" s="66">
        <f>$H$15+(1-$H$15)*Z$12</f>
        <v>0.65800000000000003</v>
      </c>
      <c r="AF15" t="s">
        <v>220</v>
      </c>
      <c r="AP15" s="11"/>
      <c r="AQ15" s="60"/>
      <c r="AR15" s="11"/>
      <c r="AS15" s="11"/>
      <c r="AT15" s="11"/>
      <c r="AU15" t="s">
        <v>271</v>
      </c>
      <c r="AV15" s="66">
        <f>$B$15-($B$15*AW$12)</f>
        <v>0.55800000000000005</v>
      </c>
      <c r="AW15" t="s">
        <v>272</v>
      </c>
      <c r="BA15" t="s">
        <v>271</v>
      </c>
      <c r="BB15" s="66">
        <f>$H$15-($H$15*AW$12)</f>
        <v>0.55800000000000005</v>
      </c>
      <c r="BC15" t="s">
        <v>220</v>
      </c>
      <c r="BM15" s="11"/>
      <c r="BN15" s="60"/>
      <c r="BO15" s="11"/>
      <c r="BP15" s="11"/>
      <c r="BR15" s="32">
        <v>1E-3</v>
      </c>
      <c r="BS15" s="52">
        <f>$B$28*(0.5*$B$42)/($B$41+$B$42+$B$43+($B$7*$BR15*$B$4)+($B$9*$B$8*$B$5))</f>
        <v>2.6392542669344439E-3</v>
      </c>
      <c r="BT15" s="52">
        <f>$B$28*($B$43)/($B$41+$B$42+$B$43+($B$7*$BR15*$B$4)+($B$9*$B$8*$B$5))</f>
        <v>2.647842969495464E-3</v>
      </c>
      <c r="BU15" s="52">
        <f>$B$29*(0.5*$B$42)/($B$41+$B$42+$B$43+($B$7*$BR15*$B$4)+($B$9*$B$8*$B$5))</f>
        <v>2.6392542669344439E-3</v>
      </c>
      <c r="BV15" s="52">
        <f>$B$29*($B$43)/($B$41+$B$42+$B$43+($B$7*$BR15*$B$4)+($B$9*$B$8*$B$5))</f>
        <v>2.647842969495464E-3</v>
      </c>
      <c r="BW15" s="52">
        <f>$B$30*($H$43)/($H$42+$H$43+($B$7*$BR15*$B$4)+($B$9*$B$8*$B$5))</f>
        <v>8.0587399746053345E-3</v>
      </c>
      <c r="BX15" s="52">
        <f>$B$32*(0.5*$K$41)/($K$41+$K$42+$K$43+($B$7*$BR15*$B$4)+($B$9*$B$8*$B$5))</f>
        <v>7.1561955582215189E-4</v>
      </c>
      <c r="BY15" s="52">
        <f>$B$32*(0.5*$K$41)/($K$41+$K$42+$K$43+($B$7*$BR15*$B$4)+($B$9*$B$8*$B$5))</f>
        <v>7.1561955582215189E-4</v>
      </c>
      <c r="BZ15" s="52">
        <f>$B$32*($K$43)/($K$41+$K$42+$K$43+($B$7*$BR15*$B$4)+($B$9*$B$8*$B$5))</f>
        <v>5.7704917504953048E-3</v>
      </c>
      <c r="CA15" s="52">
        <f>$B$33*(0.5*$K$41)/($K$41+$K$43+($B$7*$BR15*$B$4)+($B$9*$B$8*$B$5))</f>
        <v>9.9284429939111942E-4</v>
      </c>
      <c r="CB15" s="52">
        <f>$B$33*(0.5*$K$41)/($K$41+$K$43+($B$7*$BR15*$B$4)+($B$9*$B$8*$B$5))</f>
        <v>9.9284429939111942E-4</v>
      </c>
      <c r="CC15" s="52">
        <f>$B$33*($K$43)/($K$41+$K$43+($B$7*$BR15*$B$4)+($B$9*$B$8*$B$5))</f>
        <v>8.0059296766710839E-3</v>
      </c>
      <c r="CD15" s="52">
        <f t="shared" ref="CD15:CD43" si="0">$H$28*($P$43)/($P$41+$P$43+($B$7*$BR15*$B$4)+($B$9*$B$8*$B$5))</f>
        <v>3.4695930969123965E-3</v>
      </c>
      <c r="CE15" s="52">
        <f t="shared" ref="CE15:CE43" si="1">$H$29*($P$43)/($P$41+$P$43+($B$7*$BR15*$B$4)+($B$9*$B$8*$B$5))</f>
        <v>3.4695930969123965E-3</v>
      </c>
      <c r="CF15" s="52">
        <f t="shared" ref="CF15:CF43" si="2">$H$30*($V$43)/($V$43+($B$7*$BR15*$B$4)+($B$9*$B$8*$B$5))</f>
        <v>4.1620039117151991E-3</v>
      </c>
      <c r="CG15" s="70">
        <f>SUM(BS15:CF15)</f>
        <v>4.6927473690598076E-2</v>
      </c>
      <c r="CI15" s="52"/>
      <c r="CJ15" s="52"/>
    </row>
    <row r="16" spans="1:88" ht="21" customHeight="1">
      <c r="A16" t="s">
        <v>290</v>
      </c>
      <c r="B16" s="32">
        <v>0.67</v>
      </c>
      <c r="C16" t="s">
        <v>273</v>
      </c>
      <c r="G16" t="s">
        <v>291</v>
      </c>
      <c r="H16" s="32">
        <v>0.33</v>
      </c>
      <c r="I16" t="s">
        <v>269</v>
      </c>
      <c r="S16" s="11"/>
      <c r="T16" s="60"/>
      <c r="U16" s="11"/>
      <c r="V16" s="11"/>
      <c r="W16" s="11"/>
      <c r="X16" t="s">
        <v>290</v>
      </c>
      <c r="Y16" s="66">
        <f>$B$16+(1-$B$16)*Z$12</f>
        <v>0.70300000000000007</v>
      </c>
      <c r="Z16" t="s">
        <v>273</v>
      </c>
      <c r="AD16" t="s">
        <v>291</v>
      </c>
      <c r="AE16" s="66">
        <f>$H$16+(1-$H$16)*Z$12</f>
        <v>0.39700000000000002</v>
      </c>
      <c r="AF16" t="s">
        <v>269</v>
      </c>
      <c r="AP16" s="11"/>
      <c r="AQ16" s="60"/>
      <c r="AR16" s="11"/>
      <c r="AS16" s="11"/>
      <c r="AT16" s="11"/>
      <c r="AU16" t="s">
        <v>290</v>
      </c>
      <c r="AV16" s="66">
        <f>$B$16-($B$16*AW$12)</f>
        <v>0.60299999999999998</v>
      </c>
      <c r="AW16" t="s">
        <v>273</v>
      </c>
      <c r="BA16" t="s">
        <v>291</v>
      </c>
      <c r="BB16" s="66">
        <f>$H$16-($H$16*AW$12)</f>
        <v>0.29700000000000004</v>
      </c>
      <c r="BC16" t="s">
        <v>269</v>
      </c>
      <c r="BM16" s="11"/>
      <c r="BN16" s="60"/>
      <c r="BO16" s="11"/>
      <c r="BP16" s="11"/>
      <c r="BR16" s="32">
        <v>2E-3</v>
      </c>
      <c r="BS16" s="52">
        <f t="shared" ref="BS16:BS43" si="3">$B$28*(0.5*$B$42)/($B$41+$B$42+$B$43+($B$7*$BR16*$B$4)+($B$9*$B$8*$B$5))</f>
        <v>2.639240759937734E-3</v>
      </c>
      <c r="BT16" s="52">
        <f t="shared" ref="BT16:BT43" si="4">$B$28*($B$43)/($B$41+$B$42+$B$43+($B$7*$BR16*$B$4)+($B$9*$B$8*$B$5))</f>
        <v>2.6478294185440739E-3</v>
      </c>
      <c r="BU16" s="52">
        <f t="shared" ref="BU16:BU43" si="5">$B$29*(0.5*$B$42)/($B$41+$B$42+$B$43+($B$7*$BR16*$B$4)+($B$9*$B$8*$B$5))</f>
        <v>2.639240759937734E-3</v>
      </c>
      <c r="BV16" s="52">
        <f t="shared" ref="BV16:BV43" si="6">$B$29*($B$43)/($B$41+$B$42+$B$43+($B$7*$BR16*$B$4)+($B$9*$B$8*$B$5))</f>
        <v>2.6478294185440739E-3</v>
      </c>
      <c r="BW16" s="52">
        <f t="shared" ref="BW16:BW43" si="7">$B$30*($H$43)/($H$42+$H$43+($B$7*$BR16*$B$4)+($B$9*$B$8*$B$5))</f>
        <v>8.0586529860868887E-3</v>
      </c>
      <c r="BX16" s="52">
        <f t="shared" ref="BX16:BY43" si="8">$B$32*(0.5*$K$41)/($K$41+$K$42+$K$43+($B$7*$BR16*$B$4)+($B$9*$B$8*$B$5))</f>
        <v>7.1559497914072288E-4</v>
      </c>
      <c r="BY16" s="52">
        <f t="shared" si="8"/>
        <v>7.1559497914072288E-4</v>
      </c>
      <c r="BZ16" s="52">
        <f t="shared" ref="BZ16:BZ43" si="9">$B$32*($K$43)/($K$41+$K$42+$K$43+($B$7*$BR16*$B$4)+($B$9*$B$8*$B$5))</f>
        <v>5.7702935732148117E-3</v>
      </c>
      <c r="CA16" s="52">
        <f t="shared" ref="CA16:CB43" si="10">$B$33*(0.5*$K$41)/($K$41+$K$43+($B$7*$BR16*$B$4)+($B$9*$B$8*$B$5))</f>
        <v>9.9279699348614144E-4</v>
      </c>
      <c r="CB16" s="52">
        <f t="shared" si="10"/>
        <v>9.9279699348614144E-4</v>
      </c>
      <c r="CC16" s="52">
        <f t="shared" ref="CC16:CC43" si="11">$B$33*($K$43)/($K$41+$K$43+($B$7*$BR16*$B$4)+($B$9*$B$8*$B$5))</f>
        <v>8.005548219327998E-3</v>
      </c>
      <c r="CD16" s="52">
        <f t="shared" si="0"/>
        <v>3.4695458580317057E-3</v>
      </c>
      <c r="CE16" s="52">
        <f t="shared" si="1"/>
        <v>3.4695458580317057E-3</v>
      </c>
      <c r="CF16" s="52">
        <f t="shared" si="2"/>
        <v>4.1619568038686666E-3</v>
      </c>
      <c r="CG16" s="70">
        <f t="shared" ref="CG16:CG43" si="12">SUM(BS16:CF16)</f>
        <v>4.6926467600779127E-2</v>
      </c>
      <c r="CI16" s="52"/>
      <c r="CJ16" s="52"/>
    </row>
    <row r="17" spans="1:88" ht="21" customHeight="1">
      <c r="A17" t="s">
        <v>263</v>
      </c>
      <c r="B17" s="66">
        <v>0.19</v>
      </c>
      <c r="C17" t="s">
        <v>221</v>
      </c>
      <c r="G17" t="s">
        <v>263</v>
      </c>
      <c r="H17" s="66">
        <v>0.19</v>
      </c>
      <c r="I17" t="s">
        <v>221</v>
      </c>
      <c r="S17" s="11"/>
      <c r="T17" s="60"/>
      <c r="U17" s="11"/>
      <c r="V17" s="11"/>
      <c r="W17" s="11"/>
      <c r="X17" t="s">
        <v>263</v>
      </c>
      <c r="Y17" s="66">
        <f>$B$17+(1-$B$17)*Z$12</f>
        <v>0.27100000000000002</v>
      </c>
      <c r="Z17" t="s">
        <v>221</v>
      </c>
      <c r="AD17" t="s">
        <v>263</v>
      </c>
      <c r="AE17" s="66">
        <f>$H$17+(1-$H$17)*Z$12</f>
        <v>0.27100000000000002</v>
      </c>
      <c r="AF17" t="s">
        <v>221</v>
      </c>
      <c r="AP17" s="11"/>
      <c r="AQ17" s="60"/>
      <c r="AR17" s="11"/>
      <c r="AS17" s="11"/>
      <c r="AT17" s="11"/>
      <c r="AU17" t="s">
        <v>263</v>
      </c>
      <c r="AV17" s="66">
        <f>$B$17-($B$17*AW$12)</f>
        <v>0.17099999999999999</v>
      </c>
      <c r="AW17" t="s">
        <v>221</v>
      </c>
      <c r="BA17" t="s">
        <v>263</v>
      </c>
      <c r="BB17" s="66">
        <f>$H$17-($H$17*AW$12)</f>
        <v>0.17099999999999999</v>
      </c>
      <c r="BC17" t="s">
        <v>221</v>
      </c>
      <c r="BM17" s="11"/>
      <c r="BN17" s="60"/>
      <c r="BO17" s="11"/>
      <c r="BP17" s="11"/>
      <c r="BR17" s="32">
        <f>BR16+0.002</f>
        <v>4.0000000000000001E-3</v>
      </c>
      <c r="BS17" s="52">
        <f t="shared" si="3"/>
        <v>2.6392137463590623E-3</v>
      </c>
      <c r="BT17" s="52">
        <f t="shared" si="4"/>
        <v>2.6478023170573911E-3</v>
      </c>
      <c r="BU17" s="52">
        <f t="shared" si="5"/>
        <v>2.6392137463590623E-3</v>
      </c>
      <c r="BV17" s="52">
        <f t="shared" si="6"/>
        <v>2.6478023170573911E-3</v>
      </c>
      <c r="BW17" s="52">
        <f t="shared" si="7"/>
        <v>8.0584790146837598E-3</v>
      </c>
      <c r="BX17" s="52">
        <f t="shared" si="8"/>
        <v>7.1554583084177162E-4</v>
      </c>
      <c r="BY17" s="52">
        <f t="shared" si="8"/>
        <v>7.1554583084177162E-4</v>
      </c>
      <c r="BZ17" s="52">
        <f t="shared" si="9"/>
        <v>5.7698972594872984E-3</v>
      </c>
      <c r="CA17" s="52">
        <f t="shared" si="10"/>
        <v>9.9270239519876177E-4</v>
      </c>
      <c r="CB17" s="52">
        <f t="shared" si="10"/>
        <v>9.9270239519876177E-4</v>
      </c>
      <c r="CC17" s="52">
        <f t="shared" si="11"/>
        <v>8.0047854136828817E-3</v>
      </c>
      <c r="CD17" s="52">
        <f t="shared" si="0"/>
        <v>3.4694513841291921E-3</v>
      </c>
      <c r="CE17" s="52">
        <f t="shared" si="1"/>
        <v>3.4694513841291921E-3</v>
      </c>
      <c r="CF17" s="52">
        <f t="shared" si="2"/>
        <v>4.1618625913746824E-3</v>
      </c>
      <c r="CG17" s="70">
        <f t="shared" si="12"/>
        <v>4.6924455626400977E-2</v>
      </c>
      <c r="CI17" s="52"/>
      <c r="CJ17" s="52"/>
    </row>
    <row r="18" spans="1:88" ht="21" customHeight="1">
      <c r="A18" s="15" t="s">
        <v>270</v>
      </c>
      <c r="B18" s="52">
        <f>B14*B15*B16*B17</f>
        <v>7.103340000000001E-2</v>
      </c>
      <c r="G18" s="15" t="s">
        <v>281</v>
      </c>
      <c r="H18" s="52">
        <f>H14*H15*H16*H17</f>
        <v>3.4986600000000007E-2</v>
      </c>
      <c r="S18" s="11"/>
      <c r="T18" s="60"/>
      <c r="U18" s="11"/>
      <c r="V18" s="11"/>
      <c r="W18" s="11"/>
      <c r="X18" s="15" t="s">
        <v>270</v>
      </c>
      <c r="Y18" s="52">
        <f>Y14*Y15*Y16*Y17</f>
        <v>0.11407537414000003</v>
      </c>
      <c r="AD18" s="15" t="s">
        <v>281</v>
      </c>
      <c r="AE18" s="52">
        <f>AE14*AE15*AE16*AE17</f>
        <v>6.4420943860000024E-2</v>
      </c>
      <c r="AP18" s="11"/>
      <c r="AQ18" s="60"/>
      <c r="AR18" s="11"/>
      <c r="AS18" s="11"/>
      <c r="AT18" s="11"/>
      <c r="AU18" s="15" t="s">
        <v>270</v>
      </c>
      <c r="AV18" s="52">
        <f>AV14*AV15*AV16*AV17</f>
        <v>4.6605013739999999E-2</v>
      </c>
      <c r="BA18" s="15" t="s">
        <v>281</v>
      </c>
      <c r="BB18" s="52">
        <f>BB14*BB15*BB16*BB17</f>
        <v>2.2954708260000001E-2</v>
      </c>
      <c r="BM18" s="11"/>
      <c r="BN18" s="60"/>
      <c r="BO18" s="11"/>
      <c r="BP18" s="11"/>
      <c r="BR18" s="32">
        <f t="shared" ref="BR18" si="13">BR17+0.002</f>
        <v>6.0000000000000001E-3</v>
      </c>
      <c r="BS18" s="52">
        <f t="shared" si="3"/>
        <v>2.6391867333333714E-3</v>
      </c>
      <c r="BT18" s="52">
        <f t="shared" si="4"/>
        <v>2.6477752161254892E-3</v>
      </c>
      <c r="BU18" s="52">
        <f t="shared" si="5"/>
        <v>2.6391867333333714E-3</v>
      </c>
      <c r="BV18" s="52">
        <f t="shared" si="6"/>
        <v>2.6477752161254892E-3</v>
      </c>
      <c r="BW18" s="52">
        <f t="shared" si="7"/>
        <v>8.0583050507919089E-3</v>
      </c>
      <c r="BX18" s="52">
        <f t="shared" si="8"/>
        <v>7.1549668929353678E-4</v>
      </c>
      <c r="BY18" s="52">
        <f t="shared" si="8"/>
        <v>7.1549668929353678E-4</v>
      </c>
      <c r="BZ18" s="52">
        <f t="shared" si="9"/>
        <v>5.7695010001950686E-3</v>
      </c>
      <c r="CA18" s="52">
        <f t="shared" si="10"/>
        <v>9.9260781493718865E-4</v>
      </c>
      <c r="CB18" s="52">
        <f t="shared" si="10"/>
        <v>9.9260781493718865E-4</v>
      </c>
      <c r="CC18" s="52">
        <f t="shared" si="11"/>
        <v>8.0040227533912135E-3</v>
      </c>
      <c r="CD18" s="52">
        <f t="shared" si="0"/>
        <v>3.4693569153714881E-3</v>
      </c>
      <c r="CE18" s="52">
        <f t="shared" si="1"/>
        <v>3.4693569153714881E-3</v>
      </c>
      <c r="CF18" s="52">
        <f t="shared" si="2"/>
        <v>4.1617683831459019E-3</v>
      </c>
      <c r="CG18" s="70">
        <f t="shared" si="12"/>
        <v>4.6922443925646248E-2</v>
      </c>
      <c r="CI18" s="52"/>
      <c r="CJ18" s="52"/>
    </row>
    <row r="19" spans="1:88" ht="21" customHeight="1">
      <c r="A19" s="68" t="s">
        <v>274</v>
      </c>
      <c r="B19" s="67">
        <f>B18+H18</f>
        <v>0.10602000000000002</v>
      </c>
      <c r="G19" s="48"/>
      <c r="H19" s="49"/>
      <c r="I19" s="49"/>
      <c r="J19" s="49"/>
      <c r="K19" s="49"/>
      <c r="L19" s="49"/>
      <c r="S19" s="11"/>
      <c r="T19" s="60"/>
      <c r="U19" s="11"/>
      <c r="V19" s="11"/>
      <c r="W19" s="11"/>
      <c r="X19" s="68" t="s">
        <v>274</v>
      </c>
      <c r="Y19" s="67">
        <f>Y18+AE18</f>
        <v>0.17849631800000004</v>
      </c>
      <c r="AD19" s="48"/>
      <c r="AE19" s="49"/>
      <c r="AF19" s="49"/>
      <c r="AG19" s="49"/>
      <c r="AH19" s="49"/>
      <c r="AI19" s="49"/>
      <c r="AP19" s="11"/>
      <c r="AQ19" s="60"/>
      <c r="AR19" s="11"/>
      <c r="AS19" s="11"/>
      <c r="AT19" s="11"/>
      <c r="AU19" s="68" t="s">
        <v>274</v>
      </c>
      <c r="AV19" s="67">
        <f>AV18+BB18</f>
        <v>6.9559722000000004E-2</v>
      </c>
      <c r="BA19" s="48"/>
      <c r="BB19" s="49"/>
      <c r="BC19" s="49"/>
      <c r="BD19" s="49"/>
      <c r="BE19" s="49"/>
      <c r="BF19" s="49"/>
      <c r="BM19" s="11"/>
      <c r="BN19" s="60"/>
      <c r="BO19" s="11"/>
      <c r="BP19" s="11"/>
      <c r="BR19" s="32">
        <f>BR18+0.002</f>
        <v>8.0000000000000002E-3</v>
      </c>
      <c r="BS19" s="52">
        <f t="shared" si="3"/>
        <v>2.6391597208606453E-3</v>
      </c>
      <c r="BT19" s="52">
        <f t="shared" si="4"/>
        <v>2.6477481157483516E-3</v>
      </c>
      <c r="BU19" s="52">
        <f t="shared" si="5"/>
        <v>2.6391597208606453E-3</v>
      </c>
      <c r="BV19" s="52">
        <f t="shared" si="6"/>
        <v>2.6477481157483516E-3</v>
      </c>
      <c r="BW19" s="52">
        <f t="shared" si="7"/>
        <v>8.058131094410852E-3</v>
      </c>
      <c r="BX19" s="52">
        <f t="shared" si="8"/>
        <v>7.1544755449462765E-4</v>
      </c>
      <c r="BY19" s="52">
        <f t="shared" si="8"/>
        <v>7.1544755449462765E-4</v>
      </c>
      <c r="BZ19" s="52">
        <f t="shared" si="9"/>
        <v>5.7691047953269082E-3</v>
      </c>
      <c r="CA19" s="52">
        <f t="shared" si="10"/>
        <v>9.9251325269627058E-4</v>
      </c>
      <c r="CB19" s="52">
        <f t="shared" si="10"/>
        <v>9.9251325269627058E-4</v>
      </c>
      <c r="CC19" s="52">
        <f t="shared" si="11"/>
        <v>8.0032602384114502E-3</v>
      </c>
      <c r="CD19" s="52">
        <f t="shared" si="0"/>
        <v>3.469262451758172E-3</v>
      </c>
      <c r="CE19" s="52">
        <f t="shared" si="1"/>
        <v>3.469262451758172E-3</v>
      </c>
      <c r="CF19" s="52">
        <f t="shared" si="2"/>
        <v>4.1616741791820318E-3</v>
      </c>
      <c r="CG19" s="70">
        <f t="shared" si="12"/>
        <v>4.6920432498447386E-2</v>
      </c>
      <c r="CI19" s="52"/>
      <c r="CJ19" s="52"/>
    </row>
    <row r="20" spans="1:88" ht="21" customHeight="1">
      <c r="G20" s="48"/>
      <c r="H20" s="49"/>
      <c r="I20" s="49"/>
      <c r="J20" s="49"/>
      <c r="K20" s="49"/>
      <c r="L20" s="49"/>
      <c r="S20" s="11"/>
      <c r="T20" s="60"/>
      <c r="U20" s="11"/>
      <c r="V20" s="11"/>
      <c r="W20" s="11"/>
      <c r="X20" s="92"/>
      <c r="Y20" s="93" t="s">
        <v>419</v>
      </c>
      <c r="Z20" s="94">
        <v>5</v>
      </c>
      <c r="AD20" s="48"/>
      <c r="AE20" s="49"/>
      <c r="AF20" s="49"/>
      <c r="AG20" s="49"/>
      <c r="AH20" s="49"/>
      <c r="AI20" s="49"/>
      <c r="AP20" s="11"/>
      <c r="AQ20" s="60"/>
      <c r="AR20" s="11"/>
      <c r="AS20" s="11"/>
      <c r="AT20" s="11"/>
      <c r="AU20" s="61"/>
      <c r="AV20" s="98" t="s">
        <v>419</v>
      </c>
      <c r="AW20" s="99">
        <v>0.2</v>
      </c>
      <c r="BA20" s="48"/>
      <c r="BB20" s="49"/>
      <c r="BC20" s="49"/>
      <c r="BD20" s="49"/>
      <c r="BE20" s="49"/>
      <c r="BF20" s="49"/>
      <c r="BM20" s="11"/>
      <c r="BN20" s="60"/>
      <c r="BO20" s="11"/>
      <c r="BP20" s="11"/>
      <c r="BR20" s="32">
        <f>BR19+0.002</f>
        <v>0.01</v>
      </c>
      <c r="BS20" s="52">
        <f t="shared" si="3"/>
        <v>2.6391327089408671E-3</v>
      </c>
      <c r="BT20" s="52">
        <f t="shared" si="4"/>
        <v>2.6477210159259611E-3</v>
      </c>
      <c r="BU20" s="52">
        <f t="shared" si="5"/>
        <v>2.6391327089408671E-3</v>
      </c>
      <c r="BV20" s="52">
        <f t="shared" si="6"/>
        <v>2.6477210159259611E-3</v>
      </c>
      <c r="BW20" s="52">
        <f t="shared" si="7"/>
        <v>8.0579571455401001E-3</v>
      </c>
      <c r="BX20" s="52">
        <f t="shared" si="8"/>
        <v>7.1539842644365373E-4</v>
      </c>
      <c r="BY20" s="52">
        <f t="shared" si="8"/>
        <v>7.1539842644365373E-4</v>
      </c>
      <c r="BZ20" s="52">
        <f t="shared" si="9"/>
        <v>5.7687086448716058E-3</v>
      </c>
      <c r="CA20" s="52">
        <f t="shared" si="10"/>
        <v>9.9241870847085762E-4</v>
      </c>
      <c r="CB20" s="52">
        <f t="shared" si="10"/>
        <v>9.9241870847085762E-4</v>
      </c>
      <c r="CC20" s="52">
        <f t="shared" si="11"/>
        <v>8.0024978687020659E-3</v>
      </c>
      <c r="CD20" s="52">
        <f t="shared" si="0"/>
        <v>3.4691679932888253E-3</v>
      </c>
      <c r="CE20" s="52">
        <f t="shared" si="1"/>
        <v>3.4691679932888253E-3</v>
      </c>
      <c r="CF20" s="52">
        <f t="shared" si="2"/>
        <v>4.161579979482786E-3</v>
      </c>
      <c r="CG20" s="70">
        <f t="shared" si="12"/>
        <v>4.6918421344736894E-2</v>
      </c>
      <c r="CI20" s="52"/>
      <c r="CJ20" s="52"/>
    </row>
    <row r="21" spans="1:88" ht="21" customHeight="1">
      <c r="A21" s="40" t="s">
        <v>296</v>
      </c>
      <c r="G21" s="48"/>
      <c r="H21" s="49"/>
      <c r="I21" s="49"/>
      <c r="J21" s="49"/>
      <c r="K21" s="49"/>
      <c r="L21" s="49"/>
      <c r="S21" s="11"/>
      <c r="T21" s="60"/>
      <c r="U21" s="11"/>
      <c r="V21" s="11"/>
      <c r="W21" s="11"/>
      <c r="X21" s="40" t="s">
        <v>296</v>
      </c>
      <c r="AD21" s="48"/>
      <c r="AE21" s="49"/>
      <c r="AF21" s="49"/>
      <c r="AG21" s="49"/>
      <c r="AH21" s="49"/>
      <c r="AI21" s="49"/>
      <c r="AP21" s="11"/>
      <c r="AQ21" s="60"/>
      <c r="AR21" s="11"/>
      <c r="AS21" s="11"/>
      <c r="AT21" s="11"/>
      <c r="AU21" s="40" t="s">
        <v>296</v>
      </c>
      <c r="BA21" s="48"/>
      <c r="BB21" s="49"/>
      <c r="BC21" s="49"/>
      <c r="BD21" s="49"/>
      <c r="BE21" s="49"/>
      <c r="BF21" s="49"/>
      <c r="BM21" s="11"/>
      <c r="BN21" s="60"/>
      <c r="BO21" s="11"/>
      <c r="BP21" s="11"/>
      <c r="BR21" s="32">
        <v>0.02</v>
      </c>
      <c r="BS21" s="52">
        <f t="shared" si="3"/>
        <v>2.6389976576355993E-3</v>
      </c>
      <c r="BT21" s="52">
        <f t="shared" si="4"/>
        <v>2.6475855251346212E-3</v>
      </c>
      <c r="BU21" s="52">
        <f t="shared" si="5"/>
        <v>2.6389976576355993E-3</v>
      </c>
      <c r="BV21" s="52">
        <f t="shared" si="6"/>
        <v>2.6475855251346212E-3</v>
      </c>
      <c r="BW21" s="52">
        <f t="shared" si="7"/>
        <v>8.0570875138239167E-3</v>
      </c>
      <c r="BX21" s="52">
        <f t="shared" si="8"/>
        <v>7.1515288735917761E-4</v>
      </c>
      <c r="BY21" s="52">
        <f t="shared" si="8"/>
        <v>7.1515288735917761E-4</v>
      </c>
      <c r="BZ21" s="52">
        <f t="shared" si="9"/>
        <v>5.7667287083957696E-3</v>
      </c>
      <c r="CA21" s="52">
        <f t="shared" si="10"/>
        <v>9.9194625739626539E-4</v>
      </c>
      <c r="CB21" s="52">
        <f t="shared" si="10"/>
        <v>9.9194625739626539E-4</v>
      </c>
      <c r="CC21" s="52">
        <f t="shared" si="11"/>
        <v>7.9986881977585217E-3</v>
      </c>
      <c r="CD21" s="52">
        <f t="shared" si="0"/>
        <v>3.4686957780869121E-3</v>
      </c>
      <c r="CE21" s="52">
        <f t="shared" si="1"/>
        <v>3.4686957780869121E-3</v>
      </c>
      <c r="CF21" s="52">
        <f t="shared" si="2"/>
        <v>4.1611090449457586E-3</v>
      </c>
      <c r="CG21" s="70">
        <f t="shared" si="12"/>
        <v>4.6908369676149121E-2</v>
      </c>
      <c r="CI21" s="52"/>
      <c r="CJ21" s="52"/>
    </row>
    <row r="22" spans="1:88" ht="21" customHeight="1">
      <c r="A22" t="s">
        <v>275</v>
      </c>
      <c r="G22" s="48"/>
      <c r="H22" s="49"/>
      <c r="I22" s="49"/>
      <c r="J22" s="49"/>
      <c r="K22" s="49"/>
      <c r="L22" s="49"/>
      <c r="S22" s="11"/>
      <c r="T22" s="60"/>
      <c r="U22" s="11"/>
      <c r="V22" s="11"/>
      <c r="W22" s="11"/>
      <c r="X22" t="s">
        <v>275</v>
      </c>
      <c r="AD22" s="48"/>
      <c r="AE22" s="49"/>
      <c r="AF22" s="49"/>
      <c r="AG22" s="49"/>
      <c r="AH22" s="49"/>
      <c r="AI22" s="49"/>
      <c r="AP22" s="11"/>
      <c r="AQ22" s="60"/>
      <c r="AR22" s="11"/>
      <c r="AS22" s="11"/>
      <c r="AT22" s="11"/>
      <c r="AU22" t="s">
        <v>275</v>
      </c>
      <c r="BA22" s="48"/>
      <c r="BB22" s="49"/>
      <c r="BC22" s="49"/>
      <c r="BD22" s="49"/>
      <c r="BE22" s="49"/>
      <c r="BF22" s="49"/>
      <c r="BM22" s="11"/>
      <c r="BN22" s="60"/>
      <c r="BO22" s="11"/>
      <c r="BP22" s="11"/>
      <c r="BR22" s="32">
        <f>BR21+0.02</f>
        <v>0.04</v>
      </c>
      <c r="BS22" s="52">
        <f t="shared" si="3"/>
        <v>2.638727596486385E-3</v>
      </c>
      <c r="BT22" s="52">
        <f t="shared" si="4"/>
        <v>2.6473145851481864E-3</v>
      </c>
      <c r="BU22" s="52">
        <f t="shared" si="5"/>
        <v>2.638727596486385E-3</v>
      </c>
      <c r="BV22" s="52">
        <f t="shared" si="6"/>
        <v>2.6473145851481864E-3</v>
      </c>
      <c r="BW22" s="52">
        <f t="shared" si="7"/>
        <v>8.0553488133849535E-3</v>
      </c>
      <c r="BX22" s="52">
        <f t="shared" si="8"/>
        <v>7.1466231448699181E-4</v>
      </c>
      <c r="BY22" s="52">
        <f t="shared" si="8"/>
        <v>7.1466231448699181E-4</v>
      </c>
      <c r="BZ22" s="52">
        <f t="shared" si="9"/>
        <v>5.7627729099705679E-3</v>
      </c>
      <c r="CA22" s="52">
        <f t="shared" si="10"/>
        <v>9.910027034544164E-4</v>
      </c>
      <c r="CB22" s="52">
        <f t="shared" si="10"/>
        <v>9.910027034544164E-4</v>
      </c>
      <c r="CC22" s="52">
        <f t="shared" si="11"/>
        <v>7.9910797273173642E-3</v>
      </c>
      <c r="CD22" s="52">
        <f t="shared" si="0"/>
        <v>3.4677517332392352E-3</v>
      </c>
      <c r="CE22" s="52">
        <f t="shared" si="1"/>
        <v>3.4677517332392352E-3</v>
      </c>
      <c r="CF22" s="52">
        <f t="shared" si="2"/>
        <v>4.1601674955519556E-3</v>
      </c>
      <c r="CG22" s="70">
        <f t="shared" si="12"/>
        <v>4.6888286811855279E-2</v>
      </c>
      <c r="CI22" s="52"/>
      <c r="CJ22" s="52"/>
    </row>
    <row r="23" spans="1:88" ht="21" customHeight="1">
      <c r="A23" s="32" t="s">
        <v>228</v>
      </c>
      <c r="B23" s="69">
        <f>'[1]MonoterpeneOO Rxns'!$I$34</f>
        <v>2.2999999999999998</v>
      </c>
      <c r="G23" s="48"/>
      <c r="H23" s="49"/>
      <c r="I23" s="49"/>
      <c r="J23" s="49"/>
      <c r="K23" s="49"/>
      <c r="L23" s="49"/>
      <c r="S23" s="11"/>
      <c r="T23" s="60"/>
      <c r="U23" s="11"/>
      <c r="V23" s="11"/>
      <c r="W23" s="11"/>
      <c r="X23" s="32" t="s">
        <v>228</v>
      </c>
      <c r="Y23" s="96">
        <f>'[1]MonoterpeneOO Rxns'!$I$34*Z$20</f>
        <v>11.5</v>
      </c>
      <c r="AD23" s="48"/>
      <c r="AE23" s="49"/>
      <c r="AF23" s="49"/>
      <c r="AG23" s="49"/>
      <c r="AH23" s="49"/>
      <c r="AI23" s="49"/>
      <c r="AP23" s="11"/>
      <c r="AQ23" s="60"/>
      <c r="AR23" s="11"/>
      <c r="AS23" s="11"/>
      <c r="AT23" s="11"/>
      <c r="AU23" s="32" t="s">
        <v>228</v>
      </c>
      <c r="AV23" s="100">
        <f>'[1]MonoterpeneOO Rxns'!$I$34*AW$20</f>
        <v>0.45999999999999996</v>
      </c>
      <c r="BA23" s="48"/>
      <c r="BB23" s="49"/>
      <c r="BC23" s="49"/>
      <c r="BD23" s="49"/>
      <c r="BE23" s="49"/>
      <c r="BF23" s="49"/>
      <c r="BM23" s="11"/>
      <c r="BN23" s="60"/>
      <c r="BO23" s="11"/>
      <c r="BP23" s="11"/>
      <c r="BR23" s="32">
        <f>BR22+0.02</f>
        <v>0.06</v>
      </c>
      <c r="BS23" s="52">
        <f t="shared" si="3"/>
        <v>2.6384575906047924E-3</v>
      </c>
      <c r="BT23" s="52">
        <f t="shared" si="4"/>
        <v>2.647043700609226E-3</v>
      </c>
      <c r="BU23" s="52">
        <f t="shared" si="5"/>
        <v>2.6384575906047924E-3</v>
      </c>
      <c r="BV23" s="52">
        <f t="shared" si="6"/>
        <v>2.647043700609226E-3</v>
      </c>
      <c r="BW23" s="52">
        <f t="shared" si="7"/>
        <v>8.0536108631989786E-3</v>
      </c>
      <c r="BX23" s="52">
        <f t="shared" si="8"/>
        <v>7.1417241418922698E-4</v>
      </c>
      <c r="BY23" s="52">
        <f t="shared" si="8"/>
        <v>7.1417241418922698E-4</v>
      </c>
      <c r="BZ23" s="52">
        <f t="shared" si="9"/>
        <v>5.7588225349370498E-3</v>
      </c>
      <c r="CA23" s="52">
        <f t="shared" si="10"/>
        <v>9.9006094285162909E-4</v>
      </c>
      <c r="CB23" s="52">
        <f t="shared" si="10"/>
        <v>9.9006094285162909E-4</v>
      </c>
      <c r="CC23" s="52">
        <f t="shared" si="11"/>
        <v>7.9834857176999466E-3</v>
      </c>
      <c r="CD23" s="52">
        <f t="shared" si="0"/>
        <v>3.4668082021167409E-3</v>
      </c>
      <c r="CE23" s="52">
        <f t="shared" si="1"/>
        <v>3.4668082021167409E-3</v>
      </c>
      <c r="CF23" s="52">
        <f t="shared" si="2"/>
        <v>4.1592263721574249E-3</v>
      </c>
      <c r="CG23" s="70">
        <f t="shared" si="12"/>
        <v>4.6868231188736627E-2</v>
      </c>
      <c r="CI23" s="52"/>
      <c r="CJ23" s="52"/>
    </row>
    <row r="24" spans="1:88" ht="21" customHeight="1">
      <c r="A24" s="32" t="s">
        <v>229</v>
      </c>
      <c r="B24" s="69">
        <f>'[1]MonoterpeneOO Rxns'!$N$35</f>
        <v>3.6</v>
      </c>
      <c r="G24" s="48"/>
      <c r="H24" s="49"/>
      <c r="I24" s="49"/>
      <c r="J24" s="49"/>
      <c r="K24" s="49"/>
      <c r="L24" s="49"/>
      <c r="S24" s="11"/>
      <c r="T24" s="60"/>
      <c r="U24" s="11"/>
      <c r="V24" s="11"/>
      <c r="W24" s="11"/>
      <c r="X24" s="32" t="s">
        <v>229</v>
      </c>
      <c r="Y24" s="69">
        <f>'[1]MonoterpeneOO Rxns'!$N$35</f>
        <v>3.6</v>
      </c>
      <c r="AD24" s="48"/>
      <c r="AE24" s="49"/>
      <c r="AF24" s="49"/>
      <c r="AG24" s="49"/>
      <c r="AH24" s="49"/>
      <c r="AI24" s="49"/>
      <c r="AP24" s="11"/>
      <c r="AQ24" s="60"/>
      <c r="AR24" s="11"/>
      <c r="AS24" s="11"/>
      <c r="AT24" s="11"/>
      <c r="AU24" s="32" t="s">
        <v>229</v>
      </c>
      <c r="AV24" s="69">
        <f>'[1]MonoterpeneOO Rxns'!$N$35</f>
        <v>3.6</v>
      </c>
      <c r="BA24" s="48"/>
      <c r="BB24" s="49"/>
      <c r="BC24" s="49"/>
      <c r="BD24" s="49"/>
      <c r="BE24" s="49"/>
      <c r="BF24" s="49"/>
      <c r="BM24" s="11"/>
      <c r="BN24" s="60"/>
      <c r="BO24" s="11"/>
      <c r="BP24" s="11"/>
      <c r="BR24" s="32">
        <f t="shared" ref="BR24:BR25" si="14">BR23+0.02</f>
        <v>0.08</v>
      </c>
      <c r="BS24" s="52">
        <f t="shared" si="3"/>
        <v>2.6381876399738562E-3</v>
      </c>
      <c r="BT24" s="52">
        <f t="shared" si="4"/>
        <v>2.64677287150072E-3</v>
      </c>
      <c r="BU24" s="52">
        <f t="shared" si="5"/>
        <v>2.6381876399738562E-3</v>
      </c>
      <c r="BV24" s="52">
        <f t="shared" si="6"/>
        <v>2.64677287150072E-3</v>
      </c>
      <c r="BW24" s="52">
        <f t="shared" si="7"/>
        <v>8.0518736627804895E-3</v>
      </c>
      <c r="BX24" s="52">
        <f t="shared" si="8"/>
        <v>7.136831850836833E-4</v>
      </c>
      <c r="BY24" s="52">
        <f t="shared" si="8"/>
        <v>7.136831850836833E-4</v>
      </c>
      <c r="BZ24" s="52">
        <f t="shared" si="9"/>
        <v>5.7548775721496664E-3</v>
      </c>
      <c r="CA24" s="52">
        <f t="shared" si="10"/>
        <v>9.8912097048006829E-4</v>
      </c>
      <c r="CB24" s="52">
        <f t="shared" si="10"/>
        <v>9.8912097048006829E-4</v>
      </c>
      <c r="CC24" s="52">
        <f t="shared" si="11"/>
        <v>7.9759061277185732E-3</v>
      </c>
      <c r="CD24" s="52">
        <f t="shared" si="0"/>
        <v>3.4658651843002073E-3</v>
      </c>
      <c r="CE24" s="52">
        <f t="shared" si="1"/>
        <v>3.4658651843002073E-3</v>
      </c>
      <c r="CF24" s="52">
        <f t="shared" si="2"/>
        <v>4.1582856744731191E-3</v>
      </c>
      <c r="CG24" s="70">
        <f t="shared" si="12"/>
        <v>4.6848202739798915E-2</v>
      </c>
      <c r="CI24" s="52"/>
      <c r="CJ24" s="52"/>
    </row>
    <row r="25" spans="1:88" ht="21" customHeight="1">
      <c r="A25" s="32" t="s">
        <v>267</v>
      </c>
      <c r="B25" s="69">
        <f>'[1]MonoterpeneOO Rxns'!$D$37</f>
        <v>0.23631618255375994</v>
      </c>
      <c r="G25" s="48"/>
      <c r="H25" s="49"/>
      <c r="I25" s="49"/>
      <c r="J25" s="49"/>
      <c r="K25" s="49"/>
      <c r="L25" s="49"/>
      <c r="S25" s="11"/>
      <c r="T25" s="60"/>
      <c r="U25" s="11"/>
      <c r="V25" s="11"/>
      <c r="W25" s="11"/>
      <c r="X25" s="32" t="s">
        <v>267</v>
      </c>
      <c r="Y25" s="69">
        <f>'[1]MonoterpeneOO Rxns'!$D$37</f>
        <v>0.23631618255375994</v>
      </c>
      <c r="AD25" s="48"/>
      <c r="AE25" s="49"/>
      <c r="AF25" s="49"/>
      <c r="AG25" s="49"/>
      <c r="AH25" s="49"/>
      <c r="AI25" s="49"/>
      <c r="AP25" s="11"/>
      <c r="AQ25" s="60"/>
      <c r="AR25" s="11"/>
      <c r="AS25" s="11"/>
      <c r="AT25" s="11"/>
      <c r="AU25" s="32" t="s">
        <v>267</v>
      </c>
      <c r="AV25" s="69">
        <f>'[1]MonoterpeneOO Rxns'!$D$37</f>
        <v>0.23631618255375994</v>
      </c>
      <c r="BA25" s="48"/>
      <c r="BB25" s="49"/>
      <c r="BC25" s="49"/>
      <c r="BD25" s="49"/>
      <c r="BE25" s="49"/>
      <c r="BF25" s="49"/>
      <c r="BM25" s="11"/>
      <c r="BN25" s="60"/>
      <c r="BO25" s="11"/>
      <c r="BP25" s="11"/>
      <c r="BR25" s="32">
        <f t="shared" si="14"/>
        <v>0.1</v>
      </c>
      <c r="BS25" s="52">
        <f t="shared" si="3"/>
        <v>2.6379177445766213E-3</v>
      </c>
      <c r="BT25" s="52">
        <f t="shared" si="4"/>
        <v>2.646502097805657E-3</v>
      </c>
      <c r="BU25" s="52">
        <f t="shared" si="5"/>
        <v>2.6379177445766213E-3</v>
      </c>
      <c r="BV25" s="52">
        <f t="shared" si="6"/>
        <v>2.646502097805657E-3</v>
      </c>
      <c r="BW25" s="52">
        <f t="shared" si="7"/>
        <v>8.0501372116444075E-3</v>
      </c>
      <c r="BX25" s="52">
        <f t="shared" si="8"/>
        <v>7.1319462579194583E-4</v>
      </c>
      <c r="BY25" s="52">
        <f t="shared" si="8"/>
        <v>7.1319462579194583E-4</v>
      </c>
      <c r="BZ25" s="52">
        <f t="shared" si="9"/>
        <v>5.7509380104933889E-3</v>
      </c>
      <c r="CA25" s="52">
        <f t="shared" si="10"/>
        <v>9.8818278125127937E-4</v>
      </c>
      <c r="CB25" s="52">
        <f t="shared" si="10"/>
        <v>9.8818278125127937E-4</v>
      </c>
      <c r="CC25" s="52">
        <f t="shared" si="11"/>
        <v>7.9683409163418227E-3</v>
      </c>
      <c r="CD25" s="52">
        <f t="shared" si="0"/>
        <v>3.4649226793708712E-3</v>
      </c>
      <c r="CE25" s="52">
        <f t="shared" si="1"/>
        <v>3.4649226793708712E-3</v>
      </c>
      <c r="CF25" s="52">
        <f t="shared" si="2"/>
        <v>4.1573454022102536E-3</v>
      </c>
      <c r="CG25" s="70">
        <f t="shared" si="12"/>
        <v>4.6828201398282622E-2</v>
      </c>
      <c r="CI25" s="52"/>
      <c r="CJ25" s="52"/>
    </row>
    <row r="26" spans="1:88" ht="21" customHeight="1">
      <c r="A26" s="71" t="s">
        <v>276</v>
      </c>
      <c r="G26" s="71" t="s">
        <v>289</v>
      </c>
      <c r="H26" s="49"/>
      <c r="I26" s="49"/>
      <c r="J26" s="49"/>
      <c r="K26" s="49"/>
      <c r="L26" s="49"/>
      <c r="S26" s="11"/>
      <c r="T26" s="60"/>
      <c r="U26" s="11"/>
      <c r="V26" s="11"/>
      <c r="W26" s="11"/>
      <c r="X26" s="71" t="s">
        <v>276</v>
      </c>
      <c r="AD26" s="71" t="s">
        <v>289</v>
      </c>
      <c r="AE26" s="49"/>
      <c r="AF26" s="49"/>
      <c r="AG26" s="49"/>
      <c r="AH26" s="49"/>
      <c r="AI26" s="49"/>
      <c r="AP26" s="11"/>
      <c r="AQ26" s="60"/>
      <c r="AR26" s="11"/>
      <c r="AS26" s="11"/>
      <c r="AT26" s="11"/>
      <c r="AU26" s="71" t="s">
        <v>276</v>
      </c>
      <c r="BA26" s="71" t="s">
        <v>289</v>
      </c>
      <c r="BB26" s="49"/>
      <c r="BC26" s="49"/>
      <c r="BD26" s="49"/>
      <c r="BE26" s="49"/>
      <c r="BF26" s="49"/>
      <c r="BM26" s="11"/>
      <c r="BN26" s="60"/>
      <c r="BO26" s="11"/>
      <c r="BP26" s="11"/>
      <c r="BR26" s="32">
        <v>0.2</v>
      </c>
      <c r="BS26" s="52">
        <f t="shared" si="3"/>
        <v>2.6365690955029411E-3</v>
      </c>
      <c r="BT26" s="52">
        <f t="shared" si="4"/>
        <v>2.6451490599370443E-3</v>
      </c>
      <c r="BU26" s="52">
        <f t="shared" si="5"/>
        <v>2.6365690955029411E-3</v>
      </c>
      <c r="BV26" s="52">
        <f t="shared" si="6"/>
        <v>2.6451490599370443E-3</v>
      </c>
      <c r="BW26" s="52">
        <f t="shared" si="7"/>
        <v>8.0414661782515634E-3</v>
      </c>
      <c r="BX26" s="52">
        <f t="shared" si="8"/>
        <v>7.1076182855913598E-4</v>
      </c>
      <c r="BY26" s="52">
        <f t="shared" si="8"/>
        <v>7.1076182855913598E-4</v>
      </c>
      <c r="BZ26" s="52">
        <f t="shared" si="9"/>
        <v>5.7313208322757976E-3</v>
      </c>
      <c r="CA26" s="52">
        <f t="shared" si="10"/>
        <v>9.8351840549799766E-4</v>
      </c>
      <c r="CB26" s="52">
        <f t="shared" si="10"/>
        <v>9.8351840549799766E-4</v>
      </c>
      <c r="CC26" s="52">
        <f t="shared" si="11"/>
        <v>7.9307291132733621E-3</v>
      </c>
      <c r="CD26" s="52">
        <f t="shared" si="0"/>
        <v>3.4602178334072497E-3</v>
      </c>
      <c r="CE26" s="52">
        <f t="shared" si="1"/>
        <v>3.4602178334072497E-3</v>
      </c>
      <c r="CF26" s="52">
        <f t="shared" si="2"/>
        <v>4.1526504121283175E-3</v>
      </c>
      <c r="CG26" s="70">
        <f t="shared" si="12"/>
        <v>4.6728598981737778E-2</v>
      </c>
      <c r="CI26" s="52"/>
      <c r="CJ26" s="52"/>
    </row>
    <row r="27" spans="1:88" ht="21" customHeight="1">
      <c r="A27" s="43" t="s">
        <v>230</v>
      </c>
      <c r="G27" s="43" t="s">
        <v>230</v>
      </c>
      <c r="H27" s="49"/>
      <c r="I27" s="49"/>
      <c r="J27" s="49"/>
      <c r="K27" s="49"/>
      <c r="L27" s="49"/>
      <c r="S27" s="11"/>
      <c r="T27" s="60"/>
      <c r="U27" s="11"/>
      <c r="V27" s="11"/>
      <c r="W27" s="11"/>
      <c r="X27" s="43" t="s">
        <v>230</v>
      </c>
      <c r="AD27" s="43" t="s">
        <v>230</v>
      </c>
      <c r="AE27" s="49"/>
      <c r="AF27" s="49"/>
      <c r="AG27" s="49"/>
      <c r="AH27" s="49"/>
      <c r="AI27" s="49"/>
      <c r="AP27" s="11"/>
      <c r="AQ27" s="60"/>
      <c r="AR27" s="11"/>
      <c r="AS27" s="11"/>
      <c r="AT27" s="11"/>
      <c r="AU27" s="43" t="s">
        <v>230</v>
      </c>
      <c r="BA27" s="43" t="s">
        <v>230</v>
      </c>
      <c r="BB27" s="49"/>
      <c r="BC27" s="49"/>
      <c r="BD27" s="49"/>
      <c r="BE27" s="49"/>
      <c r="BF27" s="49"/>
      <c r="BM27" s="11"/>
      <c r="BN27" s="60"/>
      <c r="BO27" s="11"/>
      <c r="BP27" s="11"/>
      <c r="BR27" s="32">
        <f>BR26+0.2</f>
        <v>0.4</v>
      </c>
      <c r="BS27" s="52">
        <f t="shared" si="3"/>
        <v>2.6338759301525877E-3</v>
      </c>
      <c r="BT27" s="52">
        <f t="shared" si="4"/>
        <v>2.6424471304458378E-3</v>
      </c>
      <c r="BU27" s="52">
        <f t="shared" si="5"/>
        <v>2.6338759301525877E-3</v>
      </c>
      <c r="BV27" s="52">
        <f t="shared" si="6"/>
        <v>2.6424471304458378E-3</v>
      </c>
      <c r="BW27" s="52">
        <f t="shared" si="7"/>
        <v>8.0241800299138862E-3</v>
      </c>
      <c r="BX27" s="52">
        <f t="shared" si="8"/>
        <v>7.0594568818281675E-4</v>
      </c>
      <c r="BY27" s="52">
        <f t="shared" si="8"/>
        <v>7.0594568818281675E-4</v>
      </c>
      <c r="BZ27" s="52">
        <f t="shared" si="9"/>
        <v>5.692485255348545E-3</v>
      </c>
      <c r="CA27" s="52">
        <f t="shared" si="10"/>
        <v>9.7432051804936207E-4</v>
      </c>
      <c r="CB27" s="52">
        <f t="shared" si="10"/>
        <v>9.7432051804936207E-4</v>
      </c>
      <c r="CC27" s="52">
        <f t="shared" si="11"/>
        <v>7.8565607465587908E-3</v>
      </c>
      <c r="CD27" s="52">
        <f t="shared" si="0"/>
        <v>3.4508463685230914E-3</v>
      </c>
      <c r="CE27" s="52">
        <f t="shared" si="1"/>
        <v>3.4508463685230914E-3</v>
      </c>
      <c r="CF27" s="52">
        <f t="shared" si="2"/>
        <v>4.1432921732628683E-3</v>
      </c>
      <c r="CG27" s="70">
        <f t="shared" si="12"/>
        <v>4.6531389475791482E-2</v>
      </c>
      <c r="CI27" s="52"/>
      <c r="CJ27" s="52"/>
    </row>
    <row r="28" spans="1:88" ht="21" customHeight="1">
      <c r="A28" s="15" t="s">
        <v>277</v>
      </c>
      <c r="B28" s="52">
        <f>B$18*(0.33*$B$23)/($B$23+$B$24+$B$25+($B$7*$B$6*$B$4)+($B$9*$B$8*$B$5))</f>
        <v>8.4575640628861762E-3</v>
      </c>
      <c r="G28" s="15" t="s">
        <v>292</v>
      </c>
      <c r="H28" s="52">
        <f>H$18*(0.33*$B$23)/($B$23+$B$24+$B$25+($B$7*$B$6*$B$4)+($B$9*$B$8*$B$5))</f>
        <v>4.165665881720057E-3</v>
      </c>
      <c r="I28" s="49"/>
      <c r="J28" s="49"/>
      <c r="K28" s="49"/>
      <c r="L28" s="49"/>
      <c r="S28" s="11"/>
      <c r="T28" s="60"/>
      <c r="U28" s="11"/>
      <c r="V28" s="11"/>
      <c r="W28" s="11"/>
      <c r="X28" s="15" t="s">
        <v>277</v>
      </c>
      <c r="Y28" s="95">
        <f>Y$18*(0.33*Y$23)/(Y$23+Y$24+Y$25+($B$7*$B$6*$B$4)+($B$9*$B$8*$B$5))</f>
        <v>2.7796125623496388E-2</v>
      </c>
      <c r="AD28" s="15" t="s">
        <v>292</v>
      </c>
      <c r="AE28" s="95">
        <f>AE$18*(0.33*Y$23)/(Y$23+Y$25+($B$7*$B$6*$B$4)+($B$9*$B$8*$B$5))</f>
        <v>2.0416184320566876E-2</v>
      </c>
      <c r="AF28" s="49"/>
      <c r="AG28" s="49"/>
      <c r="AH28" s="49"/>
      <c r="AI28" s="49"/>
      <c r="AP28" s="11"/>
      <c r="AQ28" s="60"/>
      <c r="AR28" s="11"/>
      <c r="AS28" s="11"/>
      <c r="AT28" s="11"/>
      <c r="AU28" s="15" t="s">
        <v>277</v>
      </c>
      <c r="AV28" s="101">
        <f>AV$18*(0.33*AV$23)/(AV$23+AV$24+AV$25+($B$7*$B$6*$B$4)+($B$9*$B$8*$B$5))</f>
        <v>1.560115642067489E-3</v>
      </c>
      <c r="BA28" s="15" t="s">
        <v>292</v>
      </c>
      <c r="BB28" s="101">
        <f>BB$18*(0.33*AV$23)/(AV$23+AV$25+($B$7*$B$6*$B$4)+($B$9*$B$8*$B$5))</f>
        <v>3.7279996932754592E-3</v>
      </c>
      <c r="BC28" s="49"/>
      <c r="BD28" s="49"/>
      <c r="BE28" s="49"/>
      <c r="BF28" s="49"/>
      <c r="BM28" s="11"/>
      <c r="BN28" s="60"/>
      <c r="BO28" s="11"/>
      <c r="BP28" s="11"/>
      <c r="BR28" s="32">
        <f t="shared" ref="BR28:BR30" si="15">BR27+0.2</f>
        <v>0.60000000000000009</v>
      </c>
      <c r="BS28" s="52">
        <f t="shared" si="3"/>
        <v>2.631188261140898E-3</v>
      </c>
      <c r="BT28" s="52">
        <f t="shared" si="4"/>
        <v>2.6397507151795668E-3</v>
      </c>
      <c r="BU28" s="52">
        <f t="shared" si="5"/>
        <v>2.631188261140898E-3</v>
      </c>
      <c r="BV28" s="52">
        <f t="shared" si="6"/>
        <v>2.6397507151795668E-3</v>
      </c>
      <c r="BW28" s="52">
        <f t="shared" si="7"/>
        <v>8.0069680396871023E-3</v>
      </c>
      <c r="BX28" s="52">
        <f t="shared" si="8"/>
        <v>7.0119437710290233E-4</v>
      </c>
      <c r="BY28" s="52">
        <f t="shared" si="8"/>
        <v>7.0119437710290233E-4</v>
      </c>
      <c r="BZ28" s="52">
        <f t="shared" si="9"/>
        <v>5.6541724379197593E-3</v>
      </c>
      <c r="CA28" s="52">
        <f t="shared" si="10"/>
        <v>9.6529307432995505E-4</v>
      </c>
      <c r="CB28" s="52">
        <f t="shared" si="10"/>
        <v>9.6529307432995505E-4</v>
      </c>
      <c r="CC28" s="52">
        <f t="shared" si="11"/>
        <v>7.7837667751153305E-3</v>
      </c>
      <c r="CD28" s="52">
        <f t="shared" si="0"/>
        <v>3.4415255288550752E-3</v>
      </c>
      <c r="CE28" s="52">
        <f t="shared" si="1"/>
        <v>3.4415255288550752E-3</v>
      </c>
      <c r="CF28" s="52">
        <f t="shared" si="2"/>
        <v>4.1339760182285716E-3</v>
      </c>
      <c r="CG28" s="70">
        <f t="shared" si="12"/>
        <v>4.6336787184167547E-2</v>
      </c>
      <c r="CI28" s="52"/>
      <c r="CJ28" s="52"/>
    </row>
    <row r="29" spans="1:88" ht="21" customHeight="1">
      <c r="A29" s="15" t="s">
        <v>278</v>
      </c>
      <c r="B29" s="52">
        <f>B$18*(0.33*$B$23)/($B$23+$B$24+$B$25+($B$7*$B$6*$B$4)+($B$9*$B$8*$B$5))</f>
        <v>8.4575640628861762E-3</v>
      </c>
      <c r="C29" t="s">
        <v>288</v>
      </c>
      <c r="G29" s="15" t="s">
        <v>293</v>
      </c>
      <c r="H29" s="52">
        <f>H$18*(0.33*$B$23)/($B$23+$B$24+$B$25+($B$7*$B$6*$B$4)+($B$9*$B$8*$B$5))</f>
        <v>4.165665881720057E-3</v>
      </c>
      <c r="I29" s="49"/>
      <c r="J29" s="49"/>
      <c r="K29" s="49"/>
      <c r="L29" s="49"/>
      <c r="S29" s="11"/>
      <c r="T29" s="60"/>
      <c r="U29" s="11"/>
      <c r="V29" s="11"/>
      <c r="W29" s="11"/>
      <c r="X29" s="15" t="s">
        <v>278</v>
      </c>
      <c r="Y29" s="95">
        <f>Y$18*(0.33*Y$23)/(Y$23+Y$24+Y$25+($B$7*$B$6*$B$4)+($B$9*$B$8*$B$5))</f>
        <v>2.7796125623496388E-2</v>
      </c>
      <c r="Z29" t="s">
        <v>288</v>
      </c>
      <c r="AD29" s="15" t="s">
        <v>293</v>
      </c>
      <c r="AE29" s="95">
        <f>AE$18*(0.33*Y$23)/(Y$23+Y$25+($B$7*$B$6*$B$4)+($B$9*$B$8*$B$5))</f>
        <v>2.0416184320566876E-2</v>
      </c>
      <c r="AF29" s="49"/>
      <c r="AG29" s="49"/>
      <c r="AH29" s="49"/>
      <c r="AI29" s="49"/>
      <c r="AP29" s="11"/>
      <c r="AQ29" s="60"/>
      <c r="AR29" s="11"/>
      <c r="AS29" s="11"/>
      <c r="AT29" s="11"/>
      <c r="AU29" s="15" t="s">
        <v>278</v>
      </c>
      <c r="AV29" s="101">
        <f>AV$18*(0.33*AV$23)/(AV$23+AV$24+AV$25+($B$7*$B$6*$B$4)+($B$9*$B$8*$B$5))</f>
        <v>1.560115642067489E-3</v>
      </c>
      <c r="AW29" t="s">
        <v>288</v>
      </c>
      <c r="BA29" s="15" t="s">
        <v>293</v>
      </c>
      <c r="BB29" s="101">
        <f>BB$18*(0.33*AV$23)/(AV$23+AV$25+($B$7*$B$6*$B$4)+($B$9*$B$8*$B$5))</f>
        <v>3.7279996932754592E-3</v>
      </c>
      <c r="BC29" s="49"/>
      <c r="BD29" s="49"/>
      <c r="BE29" s="49"/>
      <c r="BF29" s="49"/>
      <c r="BM29" s="11"/>
      <c r="BN29" s="60"/>
      <c r="BO29" s="11"/>
      <c r="BP29" s="11"/>
      <c r="BR29" s="32">
        <f t="shared" si="15"/>
        <v>0.8</v>
      </c>
      <c r="BS29" s="52">
        <f t="shared" si="3"/>
        <v>2.6285060716592441E-3</v>
      </c>
      <c r="BT29" s="52">
        <f t="shared" si="4"/>
        <v>2.6370597972749038E-3</v>
      </c>
      <c r="BU29" s="52">
        <f t="shared" si="5"/>
        <v>2.6285060716592441E-3</v>
      </c>
      <c r="BV29" s="52">
        <f t="shared" si="6"/>
        <v>2.6370597972749038E-3</v>
      </c>
      <c r="BW29" s="52">
        <f t="shared" si="7"/>
        <v>7.9898297313817663E-3</v>
      </c>
      <c r="BX29" s="52">
        <f t="shared" si="8"/>
        <v>6.9650659508530704E-4</v>
      </c>
      <c r="BY29" s="52">
        <f t="shared" si="8"/>
        <v>6.9650659508530704E-4</v>
      </c>
      <c r="BZ29" s="52">
        <f t="shared" si="9"/>
        <v>5.6163718953820751E-3</v>
      </c>
      <c r="CA29" s="52">
        <f t="shared" si="10"/>
        <v>9.5643138015857236E-4</v>
      </c>
      <c r="CB29" s="52">
        <f t="shared" si="10"/>
        <v>9.5643138015857236E-4</v>
      </c>
      <c r="CC29" s="52">
        <f t="shared" si="11"/>
        <v>7.7123093467997682E-3</v>
      </c>
      <c r="CD29" s="52">
        <f t="shared" si="0"/>
        <v>3.4322549052875485E-3</v>
      </c>
      <c r="CE29" s="52">
        <f t="shared" si="1"/>
        <v>3.4322549052875485E-3</v>
      </c>
      <c r="CF29" s="52">
        <f t="shared" si="2"/>
        <v>4.1247016637869444E-3</v>
      </c>
      <c r="CG29" s="70">
        <f t="shared" si="12"/>
        <v>4.614473013628171E-2</v>
      </c>
      <c r="CI29" s="52"/>
      <c r="CJ29" s="52"/>
    </row>
    <row r="30" spans="1:88" ht="21" customHeight="1">
      <c r="A30" s="15" t="s">
        <v>279</v>
      </c>
      <c r="B30" s="52">
        <f>B$18*(0.33*$B$23)/($B$23+$B$24+$B$25+($B$7*$B$6*$B$4)+($B$9*$B$8*$B$5))</f>
        <v>8.4575640628861762E-3</v>
      </c>
      <c r="G30" s="15" t="s">
        <v>294</v>
      </c>
      <c r="H30" s="52">
        <f>H$18*(0.33*$B$23)/($B$23+$B$24+$B$25+($B$7*$B$6*$B$4)+($B$9*$B$8*$B$5))</f>
        <v>4.165665881720057E-3</v>
      </c>
      <c r="I30" s="49"/>
      <c r="J30" s="49"/>
      <c r="K30" s="49"/>
      <c r="L30" s="49"/>
      <c r="S30" s="11"/>
      <c r="T30" s="60"/>
      <c r="U30" s="11"/>
      <c r="V30" s="11"/>
      <c r="W30" s="11"/>
      <c r="X30" s="15" t="s">
        <v>279</v>
      </c>
      <c r="Y30" s="95">
        <f>Y$18*(0.33*Y$23)/(Y$23+Y$24+Y$25+($B$7*$B$6*$B$4)+($B$9*$B$8*$B$5))</f>
        <v>2.7796125623496388E-2</v>
      </c>
      <c r="AD30" s="15" t="s">
        <v>294</v>
      </c>
      <c r="AE30" s="95">
        <f>AE$18*(0.33*Y$23)/(Y$23+Y$25+($B$7*$B$6*$B$4)+($B$9*$B$8*$B$5))</f>
        <v>2.0416184320566876E-2</v>
      </c>
      <c r="AF30" s="49"/>
      <c r="AG30" s="49"/>
      <c r="AH30" s="49"/>
      <c r="AI30" s="49"/>
      <c r="AP30" s="11"/>
      <c r="AQ30" s="60"/>
      <c r="AR30" s="11"/>
      <c r="AS30" s="11"/>
      <c r="AT30" s="11"/>
      <c r="AU30" s="15" t="s">
        <v>279</v>
      </c>
      <c r="AV30" s="101">
        <f>AV$18*(0.33*AV$23)/(AV$23+AV$24+AV$25+($B$7*$B$6*$B$4)+($B$9*$B$8*$B$5))</f>
        <v>1.560115642067489E-3</v>
      </c>
      <c r="BA30" s="15" t="s">
        <v>294</v>
      </c>
      <c r="BB30" s="101">
        <f>BB$18*(0.33*AV$23)/(AV$23+AV$25+($B$7*$B$6*$B$4)+($B$9*$B$8*$B$5))</f>
        <v>3.7279996932754592E-3</v>
      </c>
      <c r="BC30" s="49"/>
      <c r="BD30" s="49"/>
      <c r="BE30" s="49"/>
      <c r="BF30" s="49"/>
      <c r="BM30" s="11"/>
      <c r="BN30" s="60"/>
      <c r="BO30" s="11"/>
      <c r="BP30" s="11"/>
      <c r="BR30" s="32">
        <f t="shared" si="15"/>
        <v>1</v>
      </c>
      <c r="BS30" s="52">
        <f t="shared" si="3"/>
        <v>2.6258293449674657E-3</v>
      </c>
      <c r="BT30" s="52">
        <f t="shared" si="4"/>
        <v>2.6343743599372129E-3</v>
      </c>
      <c r="BU30" s="52">
        <f t="shared" si="5"/>
        <v>2.6258293449674657E-3</v>
      </c>
      <c r="BV30" s="52">
        <f t="shared" si="6"/>
        <v>2.6343743599372129E-3</v>
      </c>
      <c r="BW30" s="52">
        <f t="shared" si="7"/>
        <v>7.9727646328767044E-3</v>
      </c>
      <c r="BX30" s="52">
        <f t="shared" si="8"/>
        <v>6.9188107643550082E-4</v>
      </c>
      <c r="BY30" s="52">
        <f t="shared" si="8"/>
        <v>6.9188107643550082E-4</v>
      </c>
      <c r="BZ30" s="52">
        <f t="shared" si="9"/>
        <v>5.5790734216423464E-3</v>
      </c>
      <c r="CA30" s="52">
        <f t="shared" si="10"/>
        <v>9.4773091216218046E-4</v>
      </c>
      <c r="CB30" s="52">
        <f t="shared" si="10"/>
        <v>9.4773091216218046E-4</v>
      </c>
      <c r="CC30" s="52">
        <f t="shared" si="11"/>
        <v>7.6421519868028797E-3</v>
      </c>
      <c r="CD30" s="52">
        <f t="shared" si="0"/>
        <v>3.4230340931012408E-3</v>
      </c>
      <c r="CE30" s="52">
        <f t="shared" si="1"/>
        <v>3.4230340931012408E-3</v>
      </c>
      <c r="CF30" s="52">
        <f t="shared" si="2"/>
        <v>4.115468829235535E-3</v>
      </c>
      <c r="CG30" s="70">
        <f t="shared" si="12"/>
        <v>4.5955158443764674E-2</v>
      </c>
      <c r="CI30" s="52"/>
      <c r="CJ30" s="52"/>
    </row>
    <row r="31" spans="1:88" ht="21" customHeight="1">
      <c r="A31" s="42" t="s">
        <v>205</v>
      </c>
      <c r="G31" s="44" t="s">
        <v>283</v>
      </c>
      <c r="H31" s="49"/>
      <c r="I31" s="49"/>
      <c r="J31" s="49"/>
      <c r="K31" s="49"/>
      <c r="L31" s="49"/>
      <c r="S31" s="11"/>
      <c r="T31" s="60"/>
      <c r="U31" s="11"/>
      <c r="V31" s="11"/>
      <c r="W31" s="11"/>
      <c r="X31" s="42" t="s">
        <v>205</v>
      </c>
      <c r="AD31" s="44" t="s">
        <v>283</v>
      </c>
      <c r="AE31" s="49"/>
      <c r="AF31" s="49"/>
      <c r="AG31" s="49"/>
      <c r="AH31" s="49"/>
      <c r="AI31" s="49"/>
      <c r="AP31" s="11"/>
      <c r="AQ31" s="60"/>
      <c r="AR31" s="11"/>
      <c r="AS31" s="11"/>
      <c r="AT31" s="11"/>
      <c r="AU31" s="42" t="s">
        <v>205</v>
      </c>
      <c r="BA31" s="44" t="s">
        <v>283</v>
      </c>
      <c r="BB31" s="49"/>
      <c r="BC31" s="49"/>
      <c r="BD31" s="49"/>
      <c r="BE31" s="49"/>
      <c r="BF31" s="49"/>
      <c r="BM31" s="11"/>
      <c r="BN31" s="60"/>
      <c r="BO31" s="11"/>
      <c r="BP31" s="11"/>
      <c r="BR31" s="32">
        <v>2</v>
      </c>
      <c r="BS31" s="52">
        <f t="shared" si="3"/>
        <v>2.6125270722001498E-3</v>
      </c>
      <c r="BT31" s="52">
        <f t="shared" si="4"/>
        <v>2.6210287987055701E-3</v>
      </c>
      <c r="BU31" s="52">
        <f t="shared" si="5"/>
        <v>2.6125270722001498E-3</v>
      </c>
      <c r="BV31" s="52">
        <f t="shared" si="6"/>
        <v>2.6210287987055701E-3</v>
      </c>
      <c r="BW31" s="52">
        <f t="shared" si="7"/>
        <v>7.8885210424780271E-3</v>
      </c>
      <c r="BX31" s="52">
        <f t="shared" si="8"/>
        <v>6.6964541229961639E-4</v>
      </c>
      <c r="BY31" s="52">
        <f t="shared" si="8"/>
        <v>6.6964541229961639E-4</v>
      </c>
      <c r="BZ31" s="52">
        <f t="shared" si="9"/>
        <v>5.399773239836256E-3</v>
      </c>
      <c r="CA31" s="52">
        <f t="shared" si="10"/>
        <v>9.0649966700875363E-4</v>
      </c>
      <c r="CB31" s="52">
        <f t="shared" si="10"/>
        <v>9.0649966700875363E-4</v>
      </c>
      <c r="CC31" s="52">
        <f t="shared" si="11"/>
        <v>7.3096784565803092E-3</v>
      </c>
      <c r="CD31" s="52">
        <f t="shared" si="0"/>
        <v>3.3776633381182924E-3</v>
      </c>
      <c r="CE31" s="52">
        <f t="shared" si="1"/>
        <v>3.3776633381182924E-3</v>
      </c>
      <c r="CF31" s="52">
        <f t="shared" si="2"/>
        <v>4.0699178042314559E-3</v>
      </c>
      <c r="CG31" s="70">
        <f t="shared" si="12"/>
        <v>4.5042619119790815E-2</v>
      </c>
      <c r="CI31" s="52"/>
      <c r="CJ31" s="52"/>
    </row>
    <row r="32" spans="1:88" ht="21" customHeight="1">
      <c r="A32" s="15" t="s">
        <v>319</v>
      </c>
      <c r="B32" s="52">
        <f>B$18*(0.25*$B$24)/($B$23+$B$24+$B$25+($B$7*$B$6*$B$4)+($B$9*$B$8*$B$5))</f>
        <v>1.0028732090378866E-2</v>
      </c>
      <c r="G32" s="1" t="s">
        <v>297</v>
      </c>
      <c r="H32" s="70">
        <f>H$18*(0.5*$B$25)/($B$23+$B$24+$B$25+($B$7*$B$6*$B$4)+($B$9*$B$8*$B$5))</f>
        <v>6.4849424174079481E-4</v>
      </c>
      <c r="I32" s="49"/>
      <c r="J32" s="49"/>
      <c r="K32" s="49"/>
      <c r="L32" s="49"/>
      <c r="S32" s="11"/>
      <c r="T32" s="60"/>
      <c r="U32" s="11"/>
      <c r="V32" s="11"/>
      <c r="W32" s="11"/>
      <c r="X32" s="15" t="s">
        <v>319</v>
      </c>
      <c r="Y32" s="75">
        <f>Y$18*(0.25*Y$24)/(Y$23+Y$24+Y$25+($B$7*$B$6*$B$4)+($B$9*$B$8*$B$5))</f>
        <v>6.5919665510268113E-3</v>
      </c>
      <c r="AD32" s="1" t="s">
        <v>297</v>
      </c>
      <c r="AE32" s="70">
        <f>AE$18*(0.5*Y$25)/(Y$23+Y$25+($B$7*$B$6*$B$4)+($B$9*$B$8*$B$5))</f>
        <v>6.3566202120557207E-4</v>
      </c>
      <c r="AF32" s="49"/>
      <c r="AG32" s="49"/>
      <c r="AH32" s="49"/>
      <c r="AI32" s="49"/>
      <c r="AP32" s="11"/>
      <c r="AQ32" s="60"/>
      <c r="AR32" s="11"/>
      <c r="AS32" s="11"/>
      <c r="AT32" s="11"/>
      <c r="AU32" s="15" t="s">
        <v>319</v>
      </c>
      <c r="AV32" s="75">
        <f>AV$18*(0.25*AV$24)/(AV$23+AV$24+AV$25+($B$7*$B$6*$B$4)+($B$9*$B$8*$B$5))</f>
        <v>9.2496974826135718E-3</v>
      </c>
      <c r="BA32" s="1" t="s">
        <v>297</v>
      </c>
      <c r="BB32" s="70">
        <f>BB$18*(0.5*AV$25)/(AV$23+AV$25+($B$7*$B$6*$B$4)+($B$9*$B$8*$B$5))</f>
        <v>2.9018005799619387E-3</v>
      </c>
      <c r="BC32" s="49"/>
      <c r="BD32" s="49"/>
      <c r="BE32" s="49"/>
      <c r="BF32" s="49"/>
      <c r="BM32" s="11"/>
      <c r="BN32" s="60"/>
      <c r="BO32" s="11"/>
      <c r="BP32" s="11"/>
      <c r="BR32" s="32">
        <v>4</v>
      </c>
      <c r="BS32" s="52">
        <f t="shared" si="3"/>
        <v>2.5863228015860192E-3</v>
      </c>
      <c r="BT32" s="52">
        <f t="shared" si="4"/>
        <v>2.5947392537436988E-3</v>
      </c>
      <c r="BU32" s="52">
        <f t="shared" si="5"/>
        <v>2.5863228015860192E-3</v>
      </c>
      <c r="BV32" s="52">
        <f t="shared" si="6"/>
        <v>2.5947392537436988E-3</v>
      </c>
      <c r="BW32" s="52">
        <f t="shared" si="7"/>
        <v>7.7252642483723166E-3</v>
      </c>
      <c r="BX32" s="52">
        <f t="shared" si="8"/>
        <v>6.2920279166622664E-4</v>
      </c>
      <c r="BY32" s="52">
        <f t="shared" si="8"/>
        <v>6.2920279166622664E-4</v>
      </c>
      <c r="BZ32" s="52">
        <f t="shared" si="9"/>
        <v>5.0736588864278009E-3</v>
      </c>
      <c r="CA32" s="52">
        <f t="shared" si="10"/>
        <v>8.3393832093070757E-4</v>
      </c>
      <c r="CB32" s="52">
        <f t="shared" si="10"/>
        <v>8.3393832093070757E-4</v>
      </c>
      <c r="CC32" s="52">
        <f t="shared" si="11"/>
        <v>6.7245705657441625E-3</v>
      </c>
      <c r="CD32" s="52">
        <f t="shared" si="0"/>
        <v>3.2904368597997079E-3</v>
      </c>
      <c r="CE32" s="52">
        <f t="shared" si="1"/>
        <v>3.2904368597997079E-3</v>
      </c>
      <c r="CF32" s="52">
        <f t="shared" si="2"/>
        <v>3.9817752610593676E-3</v>
      </c>
      <c r="CG32" s="70">
        <f t="shared" si="12"/>
        <v>4.3374549017056375E-2</v>
      </c>
      <c r="CI32" s="52"/>
      <c r="CJ32" s="52"/>
    </row>
    <row r="33" spans="1:88" ht="21" customHeight="1">
      <c r="A33" s="15" t="s">
        <v>320</v>
      </c>
      <c r="B33" s="52">
        <f>B$18*(0.25*$B$24)/($B$23+$B$24+$B$25+($B$7*$B$6*$B$4)+($B$9*$B$8*$B$5))</f>
        <v>1.0028732090378866E-2</v>
      </c>
      <c r="C33" t="s">
        <v>286</v>
      </c>
      <c r="G33" s="1" t="s">
        <v>298</v>
      </c>
      <c r="H33" s="70">
        <f>H$18*(0.5*$B$25)/($B$23+$B$24+$B$25+($B$7*$B$6*$B$4)+($B$9*$B$8*$B$5))</f>
        <v>6.4849424174079481E-4</v>
      </c>
      <c r="I33" s="49"/>
      <c r="J33" s="49"/>
      <c r="K33" s="49"/>
      <c r="L33" s="49"/>
      <c r="S33" s="11"/>
      <c r="T33" s="60"/>
      <c r="U33" s="11"/>
      <c r="V33" s="11"/>
      <c r="W33" s="11"/>
      <c r="X33" s="15" t="s">
        <v>320</v>
      </c>
      <c r="Y33" s="75">
        <f>Y$18*(0.25*Y$24)/(Y$23+Y$24+Y$25+($B$7*$B$6*$B$4)+($B$9*$B$8*$B$5))</f>
        <v>6.5919665510268113E-3</v>
      </c>
      <c r="Z33" t="s">
        <v>286</v>
      </c>
      <c r="AD33" s="1" t="s">
        <v>298</v>
      </c>
      <c r="AE33" s="70">
        <f>AE$18*(0.5*Y$25)/(Y$23+Y$25+($B$7*$B$6*$B$4)+($B$9*$B$8*$B$5))</f>
        <v>6.3566202120557207E-4</v>
      </c>
      <c r="AF33" s="49"/>
      <c r="AG33" s="49"/>
      <c r="AH33" s="49"/>
      <c r="AI33" s="49"/>
      <c r="AP33" s="11"/>
      <c r="AQ33" s="60"/>
      <c r="AR33" s="11"/>
      <c r="AS33" s="11"/>
      <c r="AT33" s="11"/>
      <c r="AU33" s="15" t="s">
        <v>320</v>
      </c>
      <c r="AV33" s="75">
        <f>AV$18*(0.25*AV$24)/(AV$23+AV$24+AV$25+($B$7*$B$6*$B$4)+($B$9*$B$8*$B$5))</f>
        <v>9.2496974826135718E-3</v>
      </c>
      <c r="AW33" t="s">
        <v>286</v>
      </c>
      <c r="BA33" s="1" t="s">
        <v>298</v>
      </c>
      <c r="BB33" s="70">
        <f>BB$18*(0.5*AV$25)/(AV$23+AV$25+($B$7*$B$6*$B$4)+($B$9*$B$8*$B$5))</f>
        <v>2.9018005799619387E-3</v>
      </c>
      <c r="BC33" s="49"/>
      <c r="BD33" s="49"/>
      <c r="BE33" s="49"/>
      <c r="BF33" s="49"/>
      <c r="BM33" s="11"/>
      <c r="BN33" s="60"/>
      <c r="BO33" s="11"/>
      <c r="BP33" s="11"/>
      <c r="BR33" s="32">
        <v>6</v>
      </c>
      <c r="BS33" s="52">
        <f t="shared" si="3"/>
        <v>2.5606389809224206E-3</v>
      </c>
      <c r="BT33" s="52">
        <f t="shared" si="4"/>
        <v>2.5689718523887388E-3</v>
      </c>
      <c r="BU33" s="52">
        <f t="shared" si="5"/>
        <v>2.5606389809224206E-3</v>
      </c>
      <c r="BV33" s="52">
        <f t="shared" si="6"/>
        <v>2.5689718523887388E-3</v>
      </c>
      <c r="BW33" s="52">
        <f t="shared" si="7"/>
        <v>7.5686278010676771E-3</v>
      </c>
      <c r="BX33" s="52">
        <f t="shared" si="8"/>
        <v>5.9336693945545192E-4</v>
      </c>
      <c r="BY33" s="52">
        <f t="shared" si="8"/>
        <v>5.9336693945545192E-4</v>
      </c>
      <c r="BZ33" s="52">
        <f t="shared" si="9"/>
        <v>4.7846918118532814E-3</v>
      </c>
      <c r="CA33" s="52">
        <f t="shared" si="10"/>
        <v>7.7213248216891745E-4</v>
      </c>
      <c r="CB33" s="52">
        <f t="shared" si="10"/>
        <v>7.7213248216891745E-4</v>
      </c>
      <c r="CC33" s="52">
        <f t="shared" si="11"/>
        <v>6.226191112855107E-3</v>
      </c>
      <c r="CD33" s="52">
        <f t="shared" si="0"/>
        <v>3.2076021277835714E-3</v>
      </c>
      <c r="CE33" s="52">
        <f t="shared" si="1"/>
        <v>3.2076021277835714E-3</v>
      </c>
      <c r="CF33" s="52">
        <f t="shared" si="2"/>
        <v>3.8973696082966235E-3</v>
      </c>
      <c r="CG33" s="70">
        <f t="shared" si="12"/>
        <v>4.1882305099510894E-2</v>
      </c>
      <c r="CI33" s="52"/>
      <c r="CJ33" s="52"/>
    </row>
    <row r="34" spans="1:88" ht="21" customHeight="1">
      <c r="A34" s="1" t="s">
        <v>282</v>
      </c>
      <c r="B34" s="70">
        <f>B$18*(0.5*$B$24)/($B$23+$B$24+$B$25+($B$7*$B$6*$B$4)+($B$9*$B$8*$B$5))</f>
        <v>2.0057464180757732E-2</v>
      </c>
      <c r="G34" s="48"/>
      <c r="H34" s="49"/>
      <c r="I34" s="49"/>
      <c r="J34" s="49"/>
      <c r="K34" s="49"/>
      <c r="L34" s="49"/>
      <c r="S34" s="11"/>
      <c r="T34" s="60"/>
      <c r="U34" s="11"/>
      <c r="V34" s="11"/>
      <c r="W34" s="11"/>
      <c r="X34" s="1" t="s">
        <v>282</v>
      </c>
      <c r="Y34" s="70">
        <f>Y$18*(0.5*Y$24)/(Y$23+Y$24+Y$25+($B$7*$B$6*$B$4)+($B$9*$B$8*$B$5))</f>
        <v>1.3183933102053623E-2</v>
      </c>
      <c r="AD34" s="48"/>
      <c r="AE34" s="49"/>
      <c r="AF34" s="49"/>
      <c r="AG34" s="49"/>
      <c r="AH34" s="49"/>
      <c r="AI34" s="49"/>
      <c r="AP34" s="11"/>
      <c r="AQ34" s="60"/>
      <c r="AR34" s="11"/>
      <c r="AS34" s="11"/>
      <c r="AT34" s="11"/>
      <c r="AU34" s="1" t="s">
        <v>282</v>
      </c>
      <c r="AV34" s="70">
        <f>AV$18*(0.5*AV$24)/(AV$23+AV$24+AV$25+($B$7*$B$6*$B$4)+($B$9*$B$8*$B$5))</f>
        <v>1.8499394965227144E-2</v>
      </c>
      <c r="BA34" s="48"/>
      <c r="BB34" s="49"/>
      <c r="BC34" s="49"/>
      <c r="BD34" s="49"/>
      <c r="BE34" s="49"/>
      <c r="BF34" s="49"/>
      <c r="BM34" s="11"/>
      <c r="BN34" s="60"/>
      <c r="BO34" s="11"/>
      <c r="BP34" s="11"/>
      <c r="BR34" s="32">
        <v>8</v>
      </c>
      <c r="BS34" s="52">
        <f t="shared" si="3"/>
        <v>2.535460257480446E-3</v>
      </c>
      <c r="BT34" s="52">
        <f t="shared" si="4"/>
        <v>2.5437111919506894E-3</v>
      </c>
      <c r="BU34" s="52">
        <f t="shared" si="5"/>
        <v>2.535460257480446E-3</v>
      </c>
      <c r="BV34" s="52">
        <f t="shared" si="6"/>
        <v>2.5437111919506894E-3</v>
      </c>
      <c r="BW34" s="52">
        <f t="shared" si="7"/>
        <v>7.4182170035324317E-3</v>
      </c>
      <c r="BX34" s="52">
        <f t="shared" si="8"/>
        <v>5.6139314342891912E-4</v>
      </c>
      <c r="BY34" s="52">
        <f t="shared" si="8"/>
        <v>5.6139314342891912E-4</v>
      </c>
      <c r="BZ34" s="52">
        <f t="shared" si="9"/>
        <v>4.5268669317168574E-3</v>
      </c>
      <c r="CA34" s="52">
        <f t="shared" si="10"/>
        <v>7.1885577901736615E-4</v>
      </c>
      <c r="CB34" s="52">
        <f t="shared" si="10"/>
        <v>7.1885577901736615E-4</v>
      </c>
      <c r="CC34" s="52">
        <f t="shared" si="11"/>
        <v>5.7965874588906561E-3</v>
      </c>
      <c r="CD34" s="52">
        <f t="shared" si="0"/>
        <v>3.1288356082676272E-3</v>
      </c>
      <c r="CE34" s="52">
        <f t="shared" si="1"/>
        <v>3.1288356082676272E-3</v>
      </c>
      <c r="CF34" s="52">
        <f t="shared" si="2"/>
        <v>3.8164681351900705E-3</v>
      </c>
      <c r="CG34" s="70">
        <f t="shared" si="12"/>
        <v>4.0534651489620113E-2</v>
      </c>
      <c r="CI34" s="52"/>
      <c r="CJ34" s="52"/>
    </row>
    <row r="35" spans="1:88" ht="21" customHeight="1">
      <c r="A35" s="44" t="s">
        <v>283</v>
      </c>
      <c r="G35" s="48"/>
      <c r="H35" s="49"/>
      <c r="I35" s="49"/>
      <c r="J35" s="49"/>
      <c r="K35" s="49"/>
      <c r="L35" s="49"/>
      <c r="S35" s="11"/>
      <c r="T35" s="60"/>
      <c r="U35" s="11"/>
      <c r="V35" s="11"/>
      <c r="W35" s="11"/>
      <c r="X35" s="44" t="s">
        <v>283</v>
      </c>
      <c r="AD35" s="48"/>
      <c r="AE35" s="49"/>
      <c r="AF35" s="49"/>
      <c r="AG35" s="49"/>
      <c r="AH35" s="49"/>
      <c r="AI35" s="49"/>
      <c r="AP35" s="11"/>
      <c r="AQ35" s="60"/>
      <c r="AR35" s="11"/>
      <c r="AS35" s="11"/>
      <c r="AT35" s="11"/>
      <c r="AU35" s="44" t="s">
        <v>283</v>
      </c>
      <c r="BA35" s="48"/>
      <c r="BB35" s="49"/>
      <c r="BC35" s="49"/>
      <c r="BD35" s="49"/>
      <c r="BE35" s="49"/>
      <c r="BF35" s="49"/>
      <c r="BM35" s="11"/>
      <c r="BN35" s="60"/>
      <c r="BO35" s="11"/>
      <c r="BP35" s="11"/>
      <c r="BR35" s="32">
        <v>10</v>
      </c>
      <c r="BS35" s="52">
        <f t="shared" si="3"/>
        <v>2.5107718765039104E-3</v>
      </c>
      <c r="BT35" s="52">
        <f t="shared" si="4"/>
        <v>2.5189424696582087E-3</v>
      </c>
      <c r="BU35" s="52">
        <f t="shared" si="5"/>
        <v>2.5107718765039104E-3</v>
      </c>
      <c r="BV35" s="52">
        <f t="shared" si="6"/>
        <v>2.5189424696582087E-3</v>
      </c>
      <c r="BW35" s="52">
        <f t="shared" si="7"/>
        <v>7.2736679225118015E-3</v>
      </c>
      <c r="BX35" s="52">
        <f t="shared" si="8"/>
        <v>5.3268900048698289E-4</v>
      </c>
      <c r="BY35" s="52">
        <f t="shared" si="8"/>
        <v>5.3268900048698289E-4</v>
      </c>
      <c r="BZ35" s="52">
        <f t="shared" si="9"/>
        <v>4.2954073262548662E-3</v>
      </c>
      <c r="CA35" s="52">
        <f t="shared" si="10"/>
        <v>6.7245665161655356E-4</v>
      </c>
      <c r="CB35" s="52">
        <f t="shared" si="10"/>
        <v>6.7245665161655356E-4</v>
      </c>
      <c r="CC35" s="52">
        <f t="shared" si="11"/>
        <v>5.4224420352249128E-3</v>
      </c>
      <c r="CD35" s="52">
        <f t="shared" si="0"/>
        <v>3.0538447848238535E-3</v>
      </c>
      <c r="CE35" s="52">
        <f t="shared" si="1"/>
        <v>3.0538447848238535E-3</v>
      </c>
      <c r="CF35" s="52">
        <f t="shared" si="2"/>
        <v>3.738857060458534E-3</v>
      </c>
      <c r="CG35" s="70">
        <f t="shared" si="12"/>
        <v>3.9307783910629127E-2</v>
      </c>
      <c r="CI35" s="52"/>
      <c r="CJ35" s="52"/>
    </row>
    <row r="36" spans="1:88" ht="21" customHeight="1">
      <c r="A36" s="1" t="s">
        <v>284</v>
      </c>
      <c r="B36" s="70">
        <f>B$18*(0.5*$B$25)/($B$23+$B$24+$B$25+($B$7*$B$6*$B$4)+($B$9*$B$8*$B$5))</f>
        <v>1.3166398241404014E-3</v>
      </c>
      <c r="C36" t="s">
        <v>287</v>
      </c>
      <c r="G36" s="48"/>
      <c r="H36" s="49"/>
      <c r="I36" s="49"/>
      <c r="J36" s="49"/>
      <c r="K36" s="49"/>
      <c r="L36" s="49"/>
      <c r="S36" s="11"/>
      <c r="T36" s="60"/>
      <c r="U36" s="11"/>
      <c r="V36" s="11"/>
      <c r="W36" s="11"/>
      <c r="X36" s="1" t="s">
        <v>284</v>
      </c>
      <c r="Y36" s="70">
        <f>Y$18*(0.5*Y$25)/(Y$23+Y$24+Y$25+($B$7*$B$6*$B$4)+($B$9*$B$8*$B$5))</f>
        <v>8.6543798381151743E-4</v>
      </c>
      <c r="Z36" t="s">
        <v>287</v>
      </c>
      <c r="AD36" s="48"/>
      <c r="AE36" s="49"/>
      <c r="AF36" s="49"/>
      <c r="AG36" s="49"/>
      <c r="AH36" s="49"/>
      <c r="AI36" s="49"/>
      <c r="AP36" s="11"/>
      <c r="AQ36" s="60"/>
      <c r="AR36" s="11"/>
      <c r="AS36" s="11"/>
      <c r="AT36" s="11"/>
      <c r="AU36" s="1" t="s">
        <v>284</v>
      </c>
      <c r="AV36" s="70">
        <f>AV$18*(0.5*AV$25)/(AV$23+AV$24+AV$25+($B$7*$B$6*$B$4)+($B$9*$B$8*$B$5))</f>
        <v>1.2143628882602016E-3</v>
      </c>
      <c r="AW36" t="s">
        <v>287</v>
      </c>
      <c r="BA36" s="48"/>
      <c r="BB36" s="49"/>
      <c r="BC36" s="49"/>
      <c r="BD36" s="49"/>
      <c r="BE36" s="49"/>
      <c r="BF36" s="49"/>
      <c r="BM36" s="11"/>
      <c r="BN36" s="60"/>
      <c r="BO36" s="11"/>
      <c r="BP36" s="11"/>
      <c r="BR36" s="32">
        <v>20</v>
      </c>
      <c r="BS36" s="52">
        <f t="shared" si="3"/>
        <v>2.3942070522886263E-3</v>
      </c>
      <c r="BT36" s="52">
        <f t="shared" si="4"/>
        <v>2.4019983183667859E-3</v>
      </c>
      <c r="BU36" s="52">
        <f t="shared" si="5"/>
        <v>2.3942070522886263E-3</v>
      </c>
      <c r="BV36" s="52">
        <f t="shared" si="6"/>
        <v>2.4019983183667859E-3</v>
      </c>
      <c r="BW36" s="52">
        <f t="shared" si="7"/>
        <v>6.6279199377692116E-3</v>
      </c>
      <c r="BX36" s="52">
        <f t="shared" si="8"/>
        <v>4.2423332865531167E-4</v>
      </c>
      <c r="BY36" s="52">
        <f t="shared" si="8"/>
        <v>4.2423332865531167E-4</v>
      </c>
      <c r="BZ36" s="52">
        <f t="shared" si="9"/>
        <v>3.4208608517945997E-3</v>
      </c>
      <c r="CA36" s="52">
        <f t="shared" si="10"/>
        <v>5.08385791942001E-4</v>
      </c>
      <c r="CB36" s="52">
        <f t="shared" si="10"/>
        <v>5.08385791942001E-4</v>
      </c>
      <c r="CC36" s="52">
        <f t="shared" si="11"/>
        <v>4.0994352300783351E-3</v>
      </c>
      <c r="CD36" s="52">
        <f t="shared" si="0"/>
        <v>2.7270410194357663E-3</v>
      </c>
      <c r="CE36" s="52">
        <f t="shared" si="1"/>
        <v>2.7270410194357663E-3</v>
      </c>
      <c r="CF36" s="52">
        <f t="shared" si="2"/>
        <v>3.3937802472130477E-3</v>
      </c>
      <c r="CG36" s="70">
        <f t="shared" si="12"/>
        <v>3.4453727288232178E-2</v>
      </c>
      <c r="CI36" s="52"/>
      <c r="CJ36" s="52"/>
    </row>
    <row r="37" spans="1:88" ht="21" customHeight="1">
      <c r="A37" s="1" t="s">
        <v>285</v>
      </c>
      <c r="B37" s="70">
        <f>B$18*(0.5*$B$25)/($B$23+$B$24+$B$25+($B$7*$B$6*$B$4)+($B$9*$B$8*$B$5))</f>
        <v>1.3166398241404014E-3</v>
      </c>
      <c r="G37" s="48"/>
      <c r="H37" s="49"/>
      <c r="I37" s="49"/>
      <c r="J37" s="49"/>
      <c r="K37" s="49"/>
      <c r="L37" s="49"/>
      <c r="S37" s="11"/>
      <c r="T37" s="60"/>
      <c r="U37" s="11"/>
      <c r="V37" s="11"/>
      <c r="W37" s="11"/>
      <c r="X37" s="1" t="s">
        <v>285</v>
      </c>
      <c r="Y37" s="70">
        <f>Y$18*(0.5*Y$25)/(Y$23+Y$24+Y$25+($B$7*$B$6*$B$4)+($B$9*$B$8*$B$5))</f>
        <v>8.6543798381151743E-4</v>
      </c>
      <c r="AD37" s="48"/>
      <c r="AE37" s="49"/>
      <c r="AF37" s="49"/>
      <c r="AG37" s="49"/>
      <c r="AH37" s="49"/>
      <c r="AI37" s="49"/>
      <c r="AP37" s="11"/>
      <c r="AQ37" s="60"/>
      <c r="AR37" s="11"/>
      <c r="AS37" s="11"/>
      <c r="AT37" s="11"/>
      <c r="AU37" s="1" t="s">
        <v>285</v>
      </c>
      <c r="AV37" s="70">
        <f>AV$18*(0.5*AV$25)/(AV$23+AV$24+AV$25+($B$7*$B$6*$B$4)+($B$9*$B$8*$B$5))</f>
        <v>1.2143628882602016E-3</v>
      </c>
      <c r="BA37" s="48"/>
      <c r="BB37" s="49"/>
      <c r="BC37" s="49"/>
      <c r="BD37" s="49"/>
      <c r="BE37" s="49"/>
      <c r="BF37" s="49"/>
      <c r="BM37" s="11"/>
      <c r="BN37" s="60"/>
      <c r="BO37" s="11"/>
      <c r="BP37" s="11"/>
      <c r="BR37" s="32">
        <v>40</v>
      </c>
      <c r="BS37" s="52">
        <f t="shared" si="3"/>
        <v>2.1907884371167997E-3</v>
      </c>
      <c r="BT37" s="52">
        <f t="shared" si="4"/>
        <v>2.197917735152329E-3</v>
      </c>
      <c r="BU37" s="52">
        <f t="shared" si="5"/>
        <v>2.1907884371167997E-3</v>
      </c>
      <c r="BV37" s="52">
        <f t="shared" si="6"/>
        <v>2.197917735152329E-3</v>
      </c>
      <c r="BW37" s="52">
        <f t="shared" si="7"/>
        <v>5.6285307849594781E-3</v>
      </c>
      <c r="BX37" s="52">
        <f t="shared" si="8"/>
        <v>3.0147321779956996E-4</v>
      </c>
      <c r="BY37" s="52">
        <f t="shared" si="8"/>
        <v>3.0147321779956996E-4</v>
      </c>
      <c r="BZ37" s="52">
        <f t="shared" si="9"/>
        <v>2.4309686650598409E-3</v>
      </c>
      <c r="CA37" s="52">
        <f t="shared" si="10"/>
        <v>3.41662966179745E-4</v>
      </c>
      <c r="CB37" s="52">
        <f t="shared" si="10"/>
        <v>3.41662966179745E-4</v>
      </c>
      <c r="CC37" s="52">
        <f t="shared" si="11"/>
        <v>2.7550439500286018E-3</v>
      </c>
      <c r="CD37" s="52">
        <f t="shared" si="0"/>
        <v>2.2462756864498781E-3</v>
      </c>
      <c r="CE37" s="52">
        <f t="shared" si="1"/>
        <v>2.2462756864498781E-3</v>
      </c>
      <c r="CF37" s="52">
        <f t="shared" si="2"/>
        <v>2.8649421136702435E-3</v>
      </c>
      <c r="CG37" s="70">
        <f t="shared" si="12"/>
        <v>2.8235721599114805E-2</v>
      </c>
      <c r="CI37" s="52"/>
      <c r="CJ37" s="52"/>
    </row>
    <row r="38" spans="1:88" ht="21" customHeight="1">
      <c r="A38" s="68" t="s">
        <v>299</v>
      </c>
      <c r="B38" s="67">
        <f>B28+B29+B30+B32+B33+H28+H29+H30</f>
        <v>5.7927154014576432E-2</v>
      </c>
      <c r="G38" s="48"/>
      <c r="H38" s="49"/>
      <c r="I38" s="49"/>
      <c r="J38" s="49"/>
      <c r="K38" s="49"/>
      <c r="L38" s="49"/>
      <c r="S38" s="11"/>
      <c r="T38" s="60"/>
      <c r="U38" s="11"/>
      <c r="V38" s="11"/>
      <c r="W38" s="11"/>
      <c r="X38" s="68" t="s">
        <v>299</v>
      </c>
      <c r="Y38" s="67">
        <f>Y28+Y29+Y30+Y32+Y33+AE28+AE29+AE30</f>
        <v>0.15782086293424344</v>
      </c>
      <c r="AD38" s="48"/>
      <c r="AE38" s="49"/>
      <c r="AF38" s="49"/>
      <c r="AG38" s="49"/>
      <c r="AH38" s="49"/>
      <c r="AI38" s="49"/>
      <c r="AP38" s="11"/>
      <c r="AQ38" s="60"/>
      <c r="AR38" s="11"/>
      <c r="AS38" s="11"/>
      <c r="AT38" s="11"/>
      <c r="AU38" s="68" t="s">
        <v>299</v>
      </c>
      <c r="AV38" s="67">
        <f>AV28+AV29+AV30+AV32+AV33+BB28+BB29+BB30</f>
        <v>3.4363740971255989E-2</v>
      </c>
      <c r="BA38" s="48"/>
      <c r="BB38" s="49"/>
      <c r="BC38" s="49"/>
      <c r="BD38" s="49"/>
      <c r="BE38" s="49"/>
      <c r="BF38" s="49"/>
      <c r="BM38" s="11"/>
      <c r="BN38" s="60"/>
      <c r="BO38" s="11"/>
      <c r="BP38" s="11"/>
      <c r="BR38" s="32">
        <v>60</v>
      </c>
      <c r="BS38" s="52">
        <f t="shared" si="3"/>
        <v>2.0192290182231478E-3</v>
      </c>
      <c r="BT38" s="52">
        <f t="shared" si="4"/>
        <v>2.0258000249114283E-3</v>
      </c>
      <c r="BU38" s="52">
        <f t="shared" si="5"/>
        <v>2.0192290182231478E-3</v>
      </c>
      <c r="BV38" s="52">
        <f t="shared" si="6"/>
        <v>2.0258000249114283E-3</v>
      </c>
      <c r="BW38" s="52">
        <f t="shared" si="7"/>
        <v>4.8910370573626597E-3</v>
      </c>
      <c r="BX38" s="52">
        <f t="shared" si="8"/>
        <v>2.3381448011855884E-4</v>
      </c>
      <c r="BY38" s="52">
        <f t="shared" si="8"/>
        <v>2.3381448011855884E-4</v>
      </c>
      <c r="BZ38" s="52">
        <f t="shared" si="9"/>
        <v>1.8853935973289779E-3</v>
      </c>
      <c r="CA38" s="52">
        <f t="shared" si="10"/>
        <v>2.5728689144749375E-4</v>
      </c>
      <c r="CB38" s="52">
        <f t="shared" si="10"/>
        <v>2.5728689144749375E-4</v>
      </c>
      <c r="CC38" s="52">
        <f t="shared" si="11"/>
        <v>2.0746664516492325E-3</v>
      </c>
      <c r="CD38" s="52">
        <f t="shared" si="0"/>
        <v>1.9096183699759848E-3</v>
      </c>
      <c r="CE38" s="52">
        <f t="shared" si="1"/>
        <v>1.9096183699759848E-3</v>
      </c>
      <c r="CF38" s="52">
        <f t="shared" si="2"/>
        <v>2.4786973931706668E-3</v>
      </c>
      <c r="CG38" s="70">
        <f t="shared" si="12"/>
        <v>2.4221292068864766E-2</v>
      </c>
      <c r="CI38" s="52"/>
      <c r="CJ38" s="52"/>
    </row>
    <row r="39" spans="1:88" ht="21" customHeight="1">
      <c r="G39" s="48"/>
      <c r="H39" s="49"/>
      <c r="I39" s="49"/>
      <c r="J39" s="49"/>
      <c r="K39" s="49"/>
      <c r="L39" s="49"/>
      <c r="S39" s="11"/>
      <c r="T39" s="60"/>
      <c r="U39" s="11"/>
      <c r="V39" s="11"/>
      <c r="W39" s="11"/>
      <c r="AD39" s="48"/>
      <c r="AE39" s="49"/>
      <c r="AF39" s="49"/>
      <c r="AG39" s="49"/>
      <c r="AH39" s="49"/>
      <c r="AI39" s="49"/>
      <c r="AP39" s="11"/>
      <c r="AQ39" s="60"/>
      <c r="AR39" s="11"/>
      <c r="AS39" s="11"/>
      <c r="AT39" s="11"/>
      <c r="BA39" s="48"/>
      <c r="BB39" s="49"/>
      <c r="BC39" s="49"/>
      <c r="BD39" s="49"/>
      <c r="BE39" s="49"/>
      <c r="BF39" s="49"/>
      <c r="BM39" s="11"/>
      <c r="BN39" s="60"/>
      <c r="BO39" s="11"/>
      <c r="BP39" s="11"/>
      <c r="BR39" s="32">
        <v>80</v>
      </c>
      <c r="BS39" s="52">
        <f t="shared" si="3"/>
        <v>1.8725877197800834E-3</v>
      </c>
      <c r="BT39" s="52">
        <f t="shared" si="4"/>
        <v>1.8786815240588544E-3</v>
      </c>
      <c r="BU39" s="52">
        <f t="shared" si="5"/>
        <v>1.8725877197800834E-3</v>
      </c>
      <c r="BV39" s="52">
        <f t="shared" si="6"/>
        <v>1.8786815240588544E-3</v>
      </c>
      <c r="BW39" s="52">
        <f t="shared" si="7"/>
        <v>4.3244182603200277E-3</v>
      </c>
      <c r="BX39" s="52">
        <f t="shared" si="8"/>
        <v>1.9095828102366424E-4</v>
      </c>
      <c r="BY39" s="52">
        <f t="shared" si="8"/>
        <v>1.9095828102366424E-4</v>
      </c>
      <c r="BZ39" s="52">
        <f t="shared" si="9"/>
        <v>1.53981703877538E-3</v>
      </c>
      <c r="CA39" s="52">
        <f t="shared" si="10"/>
        <v>2.0633180072639109E-4</v>
      </c>
      <c r="CB39" s="52">
        <f t="shared" si="10"/>
        <v>2.0633180072639109E-4</v>
      </c>
      <c r="CC39" s="52">
        <f t="shared" si="11"/>
        <v>1.6637834227274551E-3</v>
      </c>
      <c r="CD39" s="52">
        <f t="shared" si="0"/>
        <v>1.6607203167947203E-3</v>
      </c>
      <c r="CE39" s="52">
        <f t="shared" si="1"/>
        <v>1.6607203167947203E-3</v>
      </c>
      <c r="CF39" s="52">
        <f t="shared" si="2"/>
        <v>2.1842253032353311E-3</v>
      </c>
      <c r="CG39" s="70">
        <f t="shared" si="12"/>
        <v>2.1330803309825615E-2</v>
      </c>
      <c r="CI39" s="52"/>
      <c r="CJ39" s="52"/>
    </row>
    <row r="40" spans="1:88" ht="21" customHeight="1">
      <c r="A40" s="40" t="s">
        <v>300</v>
      </c>
      <c r="G40" s="48"/>
      <c r="H40" s="49"/>
      <c r="I40" s="49"/>
      <c r="J40" s="49"/>
      <c r="K40" s="49"/>
      <c r="L40" s="49"/>
      <c r="S40" s="11"/>
      <c r="T40" s="60"/>
      <c r="U40" s="11"/>
      <c r="V40" s="11"/>
      <c r="W40" s="11"/>
      <c r="X40" s="40" t="s">
        <v>300</v>
      </c>
      <c r="AD40" s="48"/>
      <c r="AE40" s="49"/>
      <c r="AF40" s="49"/>
      <c r="AG40" s="49"/>
      <c r="AH40" s="49"/>
      <c r="AI40" s="49"/>
      <c r="AP40" s="11"/>
      <c r="AQ40" s="60"/>
      <c r="AR40" s="11"/>
      <c r="AS40" s="11"/>
      <c r="AT40" s="11"/>
      <c r="AU40" s="40" t="s">
        <v>300</v>
      </c>
      <c r="BA40" s="48"/>
      <c r="BB40" s="49"/>
      <c r="BC40" s="49"/>
      <c r="BD40" s="49"/>
      <c r="BE40" s="49"/>
      <c r="BF40" s="49"/>
      <c r="BM40" s="11"/>
      <c r="BN40" s="60"/>
      <c r="BO40" s="11"/>
      <c r="BP40" s="11"/>
      <c r="BR40" s="32">
        <v>100</v>
      </c>
      <c r="BS40" s="52">
        <f t="shared" si="3"/>
        <v>1.7458032615583364E-3</v>
      </c>
      <c r="BT40" s="52">
        <f t="shared" si="4"/>
        <v>1.7514844818679654E-3</v>
      </c>
      <c r="BU40" s="52">
        <f t="shared" si="5"/>
        <v>1.7458032615583364E-3</v>
      </c>
      <c r="BV40" s="52">
        <f t="shared" si="6"/>
        <v>1.7514844818679654E-3</v>
      </c>
      <c r="BW40" s="52">
        <f t="shared" si="7"/>
        <v>3.8754532214940814E-3</v>
      </c>
      <c r="BX40" s="52">
        <f t="shared" si="8"/>
        <v>1.6137890480051492E-4</v>
      </c>
      <c r="BY40" s="52">
        <f t="shared" si="8"/>
        <v>1.6137890480051492E-4</v>
      </c>
      <c r="BZ40" s="52">
        <f t="shared" si="9"/>
        <v>1.3012998754421579E-3</v>
      </c>
      <c r="CA40" s="52">
        <f t="shared" si="10"/>
        <v>1.7222335271196336E-4</v>
      </c>
      <c r="CB40" s="52">
        <f t="shared" si="10"/>
        <v>1.7222335271196336E-4</v>
      </c>
      <c r="CC40" s="52">
        <f t="shared" si="11"/>
        <v>1.3887454974945005E-3</v>
      </c>
      <c r="CD40" s="52">
        <f t="shared" si="0"/>
        <v>1.4692230229616835E-3</v>
      </c>
      <c r="CE40" s="52">
        <f t="shared" si="1"/>
        <v>1.4692230229616835E-3</v>
      </c>
      <c r="CF40" s="52">
        <f t="shared" si="2"/>
        <v>1.9522909069239446E-3</v>
      </c>
      <c r="CG40" s="70">
        <f t="shared" si="12"/>
        <v>1.9118015549155608E-2</v>
      </c>
      <c r="CI40" s="52"/>
      <c r="CJ40" s="52"/>
    </row>
    <row r="41" spans="1:88" ht="21" customHeight="1">
      <c r="A41" s="32" t="s">
        <v>228</v>
      </c>
      <c r="B41" s="69">
        <f>'2nd Gen Rxns'!$N$47</f>
        <v>2.7</v>
      </c>
      <c r="G41" s="32"/>
      <c r="H41" s="49"/>
      <c r="I41" s="49"/>
      <c r="J41" s="32" t="s">
        <v>228</v>
      </c>
      <c r="K41" s="69">
        <f>'2nd Gen Rxns'!$N$66</f>
        <v>0.92</v>
      </c>
      <c r="L41" s="49"/>
      <c r="O41" s="32" t="s">
        <v>228</v>
      </c>
      <c r="P41" s="69">
        <f>'2nd Gen Rxns'!$N$47</f>
        <v>2.7</v>
      </c>
      <c r="U41" s="32"/>
      <c r="V41" s="49"/>
      <c r="W41" s="11"/>
      <c r="X41" s="32" t="s">
        <v>228</v>
      </c>
      <c r="Y41" s="69">
        <f>'2nd Gen Rxns'!$N$47</f>
        <v>2.7</v>
      </c>
      <c r="AD41" s="32"/>
      <c r="AE41" s="49"/>
      <c r="AF41" s="49"/>
      <c r="AG41" s="32" t="s">
        <v>228</v>
      </c>
      <c r="AH41" s="69">
        <f>'2nd Gen Rxns'!$N$66</f>
        <v>0.92</v>
      </c>
      <c r="AI41" s="49"/>
      <c r="AL41" s="32" t="s">
        <v>228</v>
      </c>
      <c r="AM41" s="69">
        <f>'2nd Gen Rxns'!$N$47</f>
        <v>2.7</v>
      </c>
      <c r="AR41" s="32"/>
      <c r="AS41" s="49"/>
      <c r="AT41" s="11"/>
      <c r="AU41" s="32" t="s">
        <v>228</v>
      </c>
      <c r="AV41" s="69">
        <f>'2nd Gen Rxns'!$N$47</f>
        <v>2.7</v>
      </c>
      <c r="BA41" s="32"/>
      <c r="BB41" s="49"/>
      <c r="BC41" s="49"/>
      <c r="BD41" s="32" t="s">
        <v>228</v>
      </c>
      <c r="BE41" s="69">
        <f>'2nd Gen Rxns'!$N$66</f>
        <v>0.92</v>
      </c>
      <c r="BF41" s="49"/>
      <c r="BI41" s="32" t="s">
        <v>228</v>
      </c>
      <c r="BJ41" s="69">
        <f>'2nd Gen Rxns'!$N$47</f>
        <v>2.7</v>
      </c>
      <c r="BO41" s="32"/>
      <c r="BP41" s="49"/>
      <c r="BR41" s="32">
        <v>200</v>
      </c>
      <c r="BS41" s="52">
        <f t="shared" si="3"/>
        <v>1.3042715706477062E-3</v>
      </c>
      <c r="BT41" s="52">
        <f t="shared" si="4"/>
        <v>1.3085159516152509E-3</v>
      </c>
      <c r="BU41" s="52">
        <f t="shared" si="5"/>
        <v>1.3042715706477062E-3</v>
      </c>
      <c r="BV41" s="52">
        <f t="shared" si="6"/>
        <v>1.3085159516152509E-3</v>
      </c>
      <c r="BW41" s="52">
        <f t="shared" si="7"/>
        <v>2.551143186312132E-3</v>
      </c>
      <c r="BX41" s="52">
        <f t="shared" si="8"/>
        <v>9.0943393217393013E-5</v>
      </c>
      <c r="BY41" s="52">
        <f t="shared" si="8"/>
        <v>9.0943393217393013E-5</v>
      </c>
      <c r="BZ41" s="52">
        <f t="shared" si="9"/>
        <v>7.3333392869637996E-4</v>
      </c>
      <c r="CA41" s="52">
        <f t="shared" si="10"/>
        <v>9.4289207123162566E-5</v>
      </c>
      <c r="CB41" s="52">
        <f t="shared" si="10"/>
        <v>9.4289207123162566E-5</v>
      </c>
      <c r="CC41" s="52">
        <f t="shared" si="11"/>
        <v>7.6031333609917864E-4</v>
      </c>
      <c r="CD41" s="52">
        <f t="shared" si="0"/>
        <v>9.3192353530642427E-4</v>
      </c>
      <c r="CE41" s="52">
        <f t="shared" si="1"/>
        <v>9.3192353530642427E-4</v>
      </c>
      <c r="CF41" s="52">
        <f t="shared" si="2"/>
        <v>1.2752315143090421E-3</v>
      </c>
      <c r="CG41" s="70">
        <f t="shared" si="12"/>
        <v>1.2779909281236604E-2</v>
      </c>
    </row>
    <row r="42" spans="1:88" ht="21" customHeight="1">
      <c r="A42" s="32" t="s">
        <v>229</v>
      </c>
      <c r="B42" s="69">
        <f>'2nd Gen Rxns'!$I$49</f>
        <v>27</v>
      </c>
      <c r="G42" s="32" t="s">
        <v>229</v>
      </c>
      <c r="H42" s="69">
        <f>'2nd Gen Rxns'!$I$29</f>
        <v>0.95</v>
      </c>
      <c r="I42" s="49"/>
      <c r="J42" s="32" t="s">
        <v>229</v>
      </c>
      <c r="K42" s="69">
        <f>'2nd Gen Rxns'!$S$66</f>
        <v>1.8</v>
      </c>
      <c r="L42" s="49"/>
      <c r="O42" s="32" t="s">
        <v>229</v>
      </c>
      <c r="P42" s="69">
        <f>'2nd Gen Rxns'!$I$49</f>
        <v>27</v>
      </c>
      <c r="U42" s="32" t="s">
        <v>229</v>
      </c>
      <c r="V42" s="69">
        <f>'2nd Gen Rxns'!$I$29</f>
        <v>0.95</v>
      </c>
      <c r="W42" s="11"/>
      <c r="X42" s="32" t="s">
        <v>229</v>
      </c>
      <c r="Y42" s="69">
        <f>'2nd Gen Rxns'!$I$49</f>
        <v>27</v>
      </c>
      <c r="AD42" s="32" t="s">
        <v>229</v>
      </c>
      <c r="AE42" s="69">
        <f>'2nd Gen Rxns'!$I$29</f>
        <v>0.95</v>
      </c>
      <c r="AF42" s="49"/>
      <c r="AG42" s="32" t="s">
        <v>229</v>
      </c>
      <c r="AH42" s="69">
        <f>'2nd Gen Rxns'!$S$66</f>
        <v>1.8</v>
      </c>
      <c r="AI42" s="49"/>
      <c r="AL42" s="32" t="s">
        <v>229</v>
      </c>
      <c r="AM42" s="69">
        <f>'2nd Gen Rxns'!$I$49</f>
        <v>27</v>
      </c>
      <c r="AR42" s="32" t="s">
        <v>229</v>
      </c>
      <c r="AS42" s="69">
        <f>'2nd Gen Rxns'!$I$29</f>
        <v>0.95</v>
      </c>
      <c r="AT42" s="11"/>
      <c r="AU42" s="32" t="s">
        <v>229</v>
      </c>
      <c r="AV42" s="69">
        <f>'2nd Gen Rxns'!$I$49</f>
        <v>27</v>
      </c>
      <c r="BA42" s="32" t="s">
        <v>229</v>
      </c>
      <c r="BB42" s="69">
        <f>'2nd Gen Rxns'!$I$29</f>
        <v>0.95</v>
      </c>
      <c r="BC42" s="49"/>
      <c r="BD42" s="32" t="s">
        <v>229</v>
      </c>
      <c r="BE42" s="69">
        <f>'2nd Gen Rxns'!$S$66</f>
        <v>1.8</v>
      </c>
      <c r="BF42" s="49"/>
      <c r="BI42" s="32" t="s">
        <v>229</v>
      </c>
      <c r="BJ42" s="69">
        <f>'2nd Gen Rxns'!$I$49</f>
        <v>27</v>
      </c>
      <c r="BO42" s="32" t="s">
        <v>229</v>
      </c>
      <c r="BP42" s="69">
        <f>'2nd Gen Rxns'!$I$29</f>
        <v>0.95</v>
      </c>
      <c r="BR42" s="32">
        <v>400</v>
      </c>
      <c r="BS42" s="52">
        <f t="shared" si="3"/>
        <v>8.6615331657422196E-4</v>
      </c>
      <c r="BT42" s="52">
        <f t="shared" si="4"/>
        <v>8.6897196625928532E-4</v>
      </c>
      <c r="BU42" s="52">
        <f t="shared" si="5"/>
        <v>8.6615331657422196E-4</v>
      </c>
      <c r="BV42" s="52">
        <f t="shared" si="6"/>
        <v>8.6897196625928532E-4</v>
      </c>
      <c r="BW42" s="52">
        <f t="shared" si="7"/>
        <v>1.5154391493769335E-3</v>
      </c>
      <c r="BX42" s="52">
        <f t="shared" si="8"/>
        <v>4.8556984926327434E-5</v>
      </c>
      <c r="BY42" s="52">
        <f t="shared" si="8"/>
        <v>4.8556984926327434E-5</v>
      </c>
      <c r="BZ42" s="52">
        <f t="shared" si="9"/>
        <v>3.9154558964558673E-4</v>
      </c>
      <c r="CA42" s="52">
        <f t="shared" si="10"/>
        <v>4.9494717947677272E-5</v>
      </c>
      <c r="CB42" s="52">
        <f t="shared" si="10"/>
        <v>4.9494717947677272E-5</v>
      </c>
      <c r="CC42" s="52">
        <f t="shared" si="11"/>
        <v>3.9910712233406887E-4</v>
      </c>
      <c r="CD42" s="52">
        <f t="shared" si="0"/>
        <v>5.3824658904672777E-4</v>
      </c>
      <c r="CE42" s="52">
        <f t="shared" si="1"/>
        <v>5.3824658904672777E-4</v>
      </c>
      <c r="CF42" s="52">
        <f t="shared" si="2"/>
        <v>7.5296866432383609E-4</v>
      </c>
      <c r="CG42" s="70">
        <f t="shared" si="12"/>
        <v>7.8019076751889051E-3</v>
      </c>
    </row>
    <row r="43" spans="1:88" ht="21" customHeight="1">
      <c r="A43" s="32" t="s">
        <v>267</v>
      </c>
      <c r="B43" s="69">
        <f>'2nd Gen Rxns'!$S$46</f>
        <v>13.543931911383607</v>
      </c>
      <c r="G43" s="32" t="s">
        <v>267</v>
      </c>
      <c r="H43" s="69">
        <f>'2nd Gen Rxns'!$N$30</f>
        <v>19.543393847730165</v>
      </c>
      <c r="I43" s="49"/>
      <c r="J43" s="32" t="s">
        <v>267</v>
      </c>
      <c r="K43" s="69">
        <f>'2nd Gen Rxns'!$I$65</f>
        <v>3.7092700774201965</v>
      </c>
      <c r="L43" s="49"/>
      <c r="O43" s="32" t="s">
        <v>267</v>
      </c>
      <c r="P43" s="69">
        <f>'2nd Gen Rxns'!$S$46</f>
        <v>13.543931911383607</v>
      </c>
      <c r="U43" s="32" t="s">
        <v>267</v>
      </c>
      <c r="V43" s="69">
        <f>'2nd Gen Rxns'!$N$30</f>
        <v>19.543393847730165</v>
      </c>
      <c r="W43" s="11"/>
      <c r="X43" s="32" t="s">
        <v>267</v>
      </c>
      <c r="Y43" s="96">
        <f>'2nd Gen Rxns'!$S$46*Z$20</f>
        <v>67.719659556918032</v>
      </c>
      <c r="AD43" s="32" t="s">
        <v>267</v>
      </c>
      <c r="AE43" s="96">
        <f>'2nd Gen Rxns'!$N$30*Z$20</f>
        <v>97.716969238650819</v>
      </c>
      <c r="AF43" s="49"/>
      <c r="AG43" s="32" t="s">
        <v>267</v>
      </c>
      <c r="AH43" s="96">
        <f>'2nd Gen Rxns'!$I$65*Z$20</f>
        <v>18.546350387100983</v>
      </c>
      <c r="AI43" s="49"/>
      <c r="AL43" s="32" t="s">
        <v>267</v>
      </c>
      <c r="AM43" s="96">
        <f>'2nd Gen Rxns'!$S$46*Z$20</f>
        <v>67.719659556918032</v>
      </c>
      <c r="AR43" s="32" t="s">
        <v>267</v>
      </c>
      <c r="AS43" s="96">
        <f>'2nd Gen Rxns'!$N$30*Z$20</f>
        <v>97.716969238650819</v>
      </c>
      <c r="AT43" s="11"/>
      <c r="AU43" s="32" t="s">
        <v>267</v>
      </c>
      <c r="AV43" s="100">
        <f>'2nd Gen Rxns'!$S$46*AW$20</f>
        <v>2.7087863822767217</v>
      </c>
      <c r="BA43" s="32" t="s">
        <v>267</v>
      </c>
      <c r="BB43" s="100">
        <f>'2nd Gen Rxns'!$N$30*AW$20</f>
        <v>3.9086787695460332</v>
      </c>
      <c r="BC43" s="49"/>
      <c r="BD43" s="32" t="s">
        <v>267</v>
      </c>
      <c r="BE43" s="100">
        <f>'2nd Gen Rxns'!$I$65*AW$20</f>
        <v>0.7418540154840394</v>
      </c>
      <c r="BF43" s="49"/>
      <c r="BI43" s="32" t="s">
        <v>267</v>
      </c>
      <c r="BJ43" s="100">
        <f>'2nd Gen Rxns'!$S$46*AW$20</f>
        <v>2.7087863822767217</v>
      </c>
      <c r="BO43" s="32" t="s">
        <v>267</v>
      </c>
      <c r="BP43" s="100">
        <f>'2nd Gen Rxns'!$N$30*AW$20</f>
        <v>3.9086787695460332</v>
      </c>
      <c r="BR43" s="32">
        <v>600</v>
      </c>
      <c r="BS43" s="52">
        <f t="shared" si="3"/>
        <v>6.4836188239950836E-4</v>
      </c>
      <c r="BT43" s="52">
        <f t="shared" si="4"/>
        <v>6.5047179178929235E-4</v>
      </c>
      <c r="BU43" s="52">
        <f t="shared" si="5"/>
        <v>6.4836188239950836E-4</v>
      </c>
      <c r="BV43" s="52">
        <f t="shared" si="6"/>
        <v>6.5047179178929235E-4</v>
      </c>
      <c r="BW43" s="52">
        <f t="shared" si="7"/>
        <v>1.0778552917298399E-3</v>
      </c>
      <c r="BX43" s="52">
        <f t="shared" si="8"/>
        <v>3.3120404618061856E-5</v>
      </c>
      <c r="BY43" s="52">
        <f t="shared" si="8"/>
        <v>3.3120404618061856E-5</v>
      </c>
      <c r="BZ43" s="52">
        <f t="shared" si="9"/>
        <v>2.6707070826484033E-4</v>
      </c>
      <c r="CA43" s="52">
        <f t="shared" si="10"/>
        <v>3.355402420460712E-5</v>
      </c>
      <c r="CB43" s="52">
        <f t="shared" si="10"/>
        <v>3.355402420460712E-5</v>
      </c>
      <c r="CC43" s="52">
        <f t="shared" si="11"/>
        <v>2.7056725643300481E-4</v>
      </c>
      <c r="CD43" s="52">
        <f t="shared" si="0"/>
        <v>3.7839807023789976E-4</v>
      </c>
      <c r="CE43" s="52">
        <f t="shared" si="1"/>
        <v>3.7839807023789976E-4</v>
      </c>
      <c r="CF43" s="52">
        <f t="shared" si="2"/>
        <v>5.3419325762946157E-4</v>
      </c>
      <c r="CG43" s="70">
        <f t="shared" si="12"/>
        <v>5.6374988605558864E-3</v>
      </c>
    </row>
    <row r="44" spans="1:88" ht="21" customHeight="1">
      <c r="A44" s="71" t="s">
        <v>301</v>
      </c>
      <c r="D44" s="71" t="s">
        <v>309</v>
      </c>
      <c r="G44" s="71" t="s">
        <v>306</v>
      </c>
      <c r="H44" s="49"/>
      <c r="I44" s="49"/>
      <c r="J44" s="71" t="s">
        <v>313</v>
      </c>
      <c r="K44" s="49"/>
      <c r="L44" s="49"/>
      <c r="M44" s="71" t="s">
        <v>318</v>
      </c>
      <c r="N44" s="49"/>
      <c r="O44" s="71" t="s">
        <v>321</v>
      </c>
      <c r="R44" s="71" t="s">
        <v>322</v>
      </c>
      <c r="U44" s="71" t="s">
        <v>306</v>
      </c>
      <c r="V44" s="49"/>
      <c r="W44" s="11"/>
      <c r="X44" s="71" t="s">
        <v>301</v>
      </c>
      <c r="AA44" s="71" t="s">
        <v>309</v>
      </c>
      <c r="AD44" s="71" t="s">
        <v>306</v>
      </c>
      <c r="AE44" s="49"/>
      <c r="AF44" s="49"/>
      <c r="AG44" s="71" t="s">
        <v>313</v>
      </c>
      <c r="AH44" s="49"/>
      <c r="AI44" s="49"/>
      <c r="AJ44" s="71" t="s">
        <v>318</v>
      </c>
      <c r="AK44" s="49"/>
      <c r="AL44" s="71" t="s">
        <v>321</v>
      </c>
      <c r="AO44" s="71" t="s">
        <v>322</v>
      </c>
      <c r="AR44" s="71" t="s">
        <v>306</v>
      </c>
      <c r="AS44" s="49"/>
      <c r="AT44" s="11"/>
      <c r="AU44" s="71" t="s">
        <v>301</v>
      </c>
      <c r="AX44" s="71" t="s">
        <v>309</v>
      </c>
      <c r="BA44" s="71" t="s">
        <v>306</v>
      </c>
      <c r="BB44" s="49"/>
      <c r="BC44" s="49"/>
      <c r="BD44" s="71" t="s">
        <v>313</v>
      </c>
      <c r="BE44" s="49"/>
      <c r="BF44" s="49"/>
      <c r="BG44" s="71" t="s">
        <v>318</v>
      </c>
      <c r="BH44" s="49"/>
      <c r="BI44" s="71" t="s">
        <v>321</v>
      </c>
      <c r="BL44" s="71" t="s">
        <v>322</v>
      </c>
      <c r="BO44" s="71" t="s">
        <v>306</v>
      </c>
      <c r="BP44" s="49"/>
    </row>
    <row r="45" spans="1:88" ht="21" customHeight="1">
      <c r="A45" s="43" t="s">
        <v>230</v>
      </c>
      <c r="D45" s="43" t="s">
        <v>230</v>
      </c>
      <c r="G45" s="42" t="s">
        <v>205</v>
      </c>
      <c r="I45" s="49"/>
      <c r="J45" s="43" t="s">
        <v>230</v>
      </c>
      <c r="K45" s="49"/>
      <c r="L45" s="49"/>
      <c r="M45" s="43" t="s">
        <v>230</v>
      </c>
      <c r="N45" s="49"/>
      <c r="O45" s="43" t="s">
        <v>230</v>
      </c>
      <c r="R45" s="43" t="s">
        <v>230</v>
      </c>
      <c r="U45" s="44" t="s">
        <v>283</v>
      </c>
      <c r="W45" s="11"/>
      <c r="X45" s="43" t="s">
        <v>230</v>
      </c>
      <c r="AA45" s="43" t="s">
        <v>230</v>
      </c>
      <c r="AD45" s="42" t="s">
        <v>205</v>
      </c>
      <c r="AF45" s="49"/>
      <c r="AG45" s="43" t="s">
        <v>230</v>
      </c>
      <c r="AH45" s="49"/>
      <c r="AI45" s="49"/>
      <c r="AJ45" s="43" t="s">
        <v>230</v>
      </c>
      <c r="AK45" s="49"/>
      <c r="AL45" s="43" t="s">
        <v>230</v>
      </c>
      <c r="AO45" s="43" t="s">
        <v>230</v>
      </c>
      <c r="AR45" s="44" t="s">
        <v>283</v>
      </c>
      <c r="AT45" s="11"/>
      <c r="AU45" s="43" t="s">
        <v>230</v>
      </c>
      <c r="AX45" s="43" t="s">
        <v>230</v>
      </c>
      <c r="BA45" s="42" t="s">
        <v>205</v>
      </c>
      <c r="BC45" s="49"/>
      <c r="BD45" s="43" t="s">
        <v>230</v>
      </c>
      <c r="BE45" s="49"/>
      <c r="BF45" s="49"/>
      <c r="BG45" s="43" t="s">
        <v>230</v>
      </c>
      <c r="BH45" s="49"/>
      <c r="BI45" s="43" t="s">
        <v>230</v>
      </c>
      <c r="BL45" s="43" t="s">
        <v>230</v>
      </c>
      <c r="BO45" s="44" t="s">
        <v>283</v>
      </c>
    </row>
    <row r="46" spans="1:88" ht="21" customHeight="1">
      <c r="A46" s="1" t="s">
        <v>302</v>
      </c>
      <c r="B46" s="72">
        <f>B$28*($B$41)/($B$41+$B$42+$B$43+($B$7*$B$6*$B$4)+($B$9*$B$8*$B$5))</f>
        <v>5.2516586899349323E-4</v>
      </c>
      <c r="D46" s="1" t="s">
        <v>302</v>
      </c>
      <c r="E46" s="72">
        <f>B$29*($B$41)/($B$41+$B$42+$B$43+($B$7*$B$6*$B$4)+($B$9*$B$8*$B$5))</f>
        <v>5.2516586899349323E-4</v>
      </c>
      <c r="G46" s="1" t="s">
        <v>307</v>
      </c>
      <c r="H46" s="72">
        <f>B$30*($H$42)/($H$42+$H$43+($B$7*$B$6*$B$4)+($B$9*$B$8*$B$5))</f>
        <v>3.8755430403980491E-4</v>
      </c>
      <c r="I46" s="49"/>
      <c r="J46" s="15" t="s">
        <v>314</v>
      </c>
      <c r="K46" s="52">
        <f>B$32*(0.5*$K$41)/($K$41+$K$42+$K$43+($B$7*$B$6*$B$4)+($B$9*$B$8*$B$5))</f>
        <v>6.9188107643550082E-4</v>
      </c>
      <c r="L46" s="49"/>
      <c r="M46" s="15" t="s">
        <v>314</v>
      </c>
      <c r="N46" s="52">
        <f>B$33*(0.5*$K$41)/($K$41+$K$43+($B$7*$B$6*$B$4)+($B$9*$B$8*$B$5))</f>
        <v>9.4773091216218046E-4</v>
      </c>
      <c r="O46" s="1" t="s">
        <v>323</v>
      </c>
      <c r="P46" s="72">
        <f>H$28*($P$41)/($P$41+$P$43+($B$7*$B$6*$B$4)+($B$9*$B$8*$B$5))</f>
        <v>6.8238618680630946E-4</v>
      </c>
      <c r="R46" s="1" t="s">
        <v>323</v>
      </c>
      <c r="S46" s="72">
        <f>H$29*($P$41)/($P$41+$P$43+($B$7*$B$6*$B$4)+($B$9*$B$8*$B$5))</f>
        <v>6.8238618680630946E-4</v>
      </c>
      <c r="U46" s="15" t="s">
        <v>308</v>
      </c>
      <c r="V46" s="52">
        <f>H$30*($V$43)/($V$43+($B$7*$B$6*$B$4)+($B$9*$B$8*$B$5))</f>
        <v>4.115468829235535E-3</v>
      </c>
      <c r="W46" s="11"/>
      <c r="X46" s="1" t="s">
        <v>302</v>
      </c>
      <c r="Y46" s="72">
        <f>Y$28*(Y$41)/(Y$41+Y$42+Y$43+($B$7*$B$6*$B$4)+($B$9*$B$8*$B$5))</f>
        <v>7.6849324576763181E-4</v>
      </c>
      <c r="AA46" s="1" t="s">
        <v>302</v>
      </c>
      <c r="AB46" s="72">
        <f>Y$29*(Y$41)/(Y$41+Y$42+Y$43+($B$7*$B$6*$B$4)+($B$9*$B$8*$B$5))</f>
        <v>7.6849324576763181E-4</v>
      </c>
      <c r="AD46" s="1" t="s">
        <v>307</v>
      </c>
      <c r="AE46" s="72">
        <f>Y$30*(AE$42)/(AE$42+AE$43+($B$7*$B$6*$B$4)+($B$9*$B$8*$B$5))</f>
        <v>2.6698577121971251E-4</v>
      </c>
      <c r="AF46" s="49"/>
      <c r="AG46" s="15" t="s">
        <v>314</v>
      </c>
      <c r="AH46" s="52">
        <f>Y$32*(0.5*AH$41)/(AH$41+AH$42+AH$43+($B$7*$B$6*$B$4)+($B$9*$B$8*$B$5))</f>
        <v>1.4100643927764906E-4</v>
      </c>
      <c r="AI46" s="49"/>
      <c r="AJ46" s="15" t="s">
        <v>314</v>
      </c>
      <c r="AK46" s="52">
        <f>Y$33*(0.5*AH$41)/(AH$41+AH$43+($B$7*$B$6*$B$4)+($B$9*$B$8*$B$5))</f>
        <v>1.538871873517463E-4</v>
      </c>
      <c r="AL46" s="1" t="s">
        <v>323</v>
      </c>
      <c r="AM46" s="72">
        <f>AE$28*(AM$41)/(AM$41+AM$43+($B$7*$B$6*$B$4)+($B$9*$B$8*$B$5))</f>
        <v>7.8014763347646933E-4</v>
      </c>
      <c r="AO46" s="1" t="s">
        <v>323</v>
      </c>
      <c r="AP46" s="72">
        <f>AE$29*(AM$41)/(AM$41+AM$43+($B$7*$B$6*$B$4)+($B$9*$B$8*$B$5))</f>
        <v>7.8014763347646933E-4</v>
      </c>
      <c r="AR46" s="15" t="s">
        <v>308</v>
      </c>
      <c r="AS46" s="95">
        <f>AE$30*(AS$43)/(AS$43+($B$7*$B$6*$B$4)+($B$9*$B$8*$B$5))</f>
        <v>2.0366501604337971E-2</v>
      </c>
      <c r="AT46" s="11"/>
      <c r="AU46" s="1" t="s">
        <v>302</v>
      </c>
      <c r="AV46" s="72">
        <f>AV$28*(AV$41)/(AV$41+AV$42+AV$43+($B$7*$B$6*$B$4)+($B$9*$B$8*$B$5))</f>
        <v>1.2902537875450181E-4</v>
      </c>
      <c r="AX46" s="1" t="s">
        <v>302</v>
      </c>
      <c r="AY46" s="72">
        <f>AV$29*(AV$41)/(AV$41+AV$42+AV$43+($B$7*$B$6*$B$4)+($B$9*$B$8*$B$5))</f>
        <v>1.2902537875450181E-4</v>
      </c>
      <c r="BA46" s="1" t="s">
        <v>307</v>
      </c>
      <c r="BB46" s="72">
        <f>AV$30*(BB$42)/(BB$42+BB$43+($B$7*$B$6*$B$4)+($B$9*$B$8*$B$5))</f>
        <v>2.9077781356697972E-4</v>
      </c>
      <c r="BC46" s="49"/>
      <c r="BD46" s="15" t="s">
        <v>314</v>
      </c>
      <c r="BE46" s="52">
        <f>AV$32*(0.5*BE$41)/(BE$41+BE$42+BE$43+($B$7*$B$6*$B$4)+($B$9*$B$8*$B$5))</f>
        <v>1.1498915267376165E-3</v>
      </c>
      <c r="BF46" s="49"/>
      <c r="BG46" s="15" t="s">
        <v>314</v>
      </c>
      <c r="BH46" s="52">
        <f>AV$33*(0.5*BE$41)/(BE$41+BE$43+($B$7*$B$6*$B$4)+($B$9*$B$8*$B$5))</f>
        <v>2.2391317291037913E-3</v>
      </c>
      <c r="BI46" s="1" t="s">
        <v>323</v>
      </c>
      <c r="BJ46" s="72">
        <f>BB$28*(BJ$41)/(BJ$41+BJ$43+($B$7*$B$6*$B$4)+($B$9*$B$8*$B$5))</f>
        <v>1.7824177977013062E-3</v>
      </c>
      <c r="BL46" s="1" t="s">
        <v>323</v>
      </c>
      <c r="BM46" s="72">
        <f>BB$29*(BJ$41)/(BJ$41+BJ$43+($B$7*$B$6*$B$4)+($B$9*$B$8*$B$5))</f>
        <v>1.7824177977013062E-3</v>
      </c>
      <c r="BO46" s="15" t="s">
        <v>308</v>
      </c>
      <c r="BP46" s="101">
        <f>BB$30*(BP$43)/(BP$43+($B$7*$B$6*$B$4)+($B$9*$B$8*$B$5))</f>
        <v>3.5137130062550467E-3</v>
      </c>
    </row>
    <row r="47" spans="1:88" ht="21" customHeight="1">
      <c r="A47" s="42" t="s">
        <v>205</v>
      </c>
      <c r="D47" s="42" t="s">
        <v>205</v>
      </c>
      <c r="G47" s="44" t="s">
        <v>283</v>
      </c>
      <c r="I47" s="49"/>
      <c r="J47" s="15" t="s">
        <v>315</v>
      </c>
      <c r="K47" s="52">
        <f>B$32*(0.5*$K$41)/($K$41+$K$42+$K$43+($B$7*$B$6*$B$4)+($B$9*$B$8*$B$5))</f>
        <v>6.9188107643550082E-4</v>
      </c>
      <c r="L47" s="49"/>
      <c r="M47" s="15" t="s">
        <v>315</v>
      </c>
      <c r="N47" s="52">
        <f>B$33*(0.5*$K$41)/($K$41+$K$43+($B$7*$B$6*$B$4)+($B$9*$B$8*$B$5))</f>
        <v>9.4773091216218046E-4</v>
      </c>
      <c r="O47" s="44" t="s">
        <v>283</v>
      </c>
      <c r="R47" s="44" t="s">
        <v>283</v>
      </c>
      <c r="U47" s="48"/>
      <c r="V47" s="49"/>
      <c r="W47" s="11"/>
      <c r="X47" s="42" t="s">
        <v>205</v>
      </c>
      <c r="AA47" s="42" t="s">
        <v>205</v>
      </c>
      <c r="AD47" s="44" t="s">
        <v>283</v>
      </c>
      <c r="AF47" s="49"/>
      <c r="AG47" s="15" t="s">
        <v>315</v>
      </c>
      <c r="AH47" s="52">
        <f>Y$32*(0.5*AH$41)/(AH$41+AH$42+AH$43+($B$7*$B$6*$B$4)+($B$9*$B$8*$B$5))</f>
        <v>1.4100643927764906E-4</v>
      </c>
      <c r="AI47" s="49"/>
      <c r="AJ47" s="15" t="s">
        <v>315</v>
      </c>
      <c r="AK47" s="52">
        <f>Y$33*(0.5*AH$41)/(AH$41+AH$43+($B$7*$B$6*$B$4)+($B$9*$B$8*$B$5))</f>
        <v>1.538871873517463E-4</v>
      </c>
      <c r="AL47" s="44" t="s">
        <v>283</v>
      </c>
      <c r="AO47" s="44" t="s">
        <v>283</v>
      </c>
      <c r="AR47" s="48"/>
      <c r="AS47" s="49"/>
      <c r="AT47" s="11"/>
      <c r="AU47" s="42" t="s">
        <v>205</v>
      </c>
      <c r="AX47" s="42" t="s">
        <v>205</v>
      </c>
      <c r="BA47" s="44" t="s">
        <v>283</v>
      </c>
      <c r="BC47" s="49"/>
      <c r="BD47" s="15" t="s">
        <v>315</v>
      </c>
      <c r="BE47" s="52">
        <f>AV$32*(0.5*BE$41)/(BE$41+BE$42+BE$43+($B$7*$B$6*$B$4)+($B$9*$B$8*$B$5))</f>
        <v>1.1498915267376165E-3</v>
      </c>
      <c r="BF47" s="49"/>
      <c r="BG47" s="15" t="s">
        <v>315</v>
      </c>
      <c r="BH47" s="52">
        <f>AV$33*(0.5*BE$41)/(BE$41+BE$43+($B$7*$B$6*$B$4)+($B$9*$B$8*$B$5))</f>
        <v>2.2391317291037913E-3</v>
      </c>
      <c r="BI47" s="44" t="s">
        <v>283</v>
      </c>
      <c r="BL47" s="44" t="s">
        <v>283</v>
      </c>
      <c r="BO47" s="48"/>
      <c r="BP47" s="49"/>
    </row>
    <row r="48" spans="1:88" ht="21" customHeight="1">
      <c r="A48" s="1" t="s">
        <v>303</v>
      </c>
      <c r="B48" s="72">
        <f>B$28*(0.5*$B$42)/($B$41+$B$42+$B$43+($B$7*$B$6*$B$4)+($B$9*$B$8*$B$5))</f>
        <v>2.6258293449674657E-3</v>
      </c>
      <c r="D48" s="1" t="s">
        <v>310</v>
      </c>
      <c r="E48" s="72">
        <f>B$29*(0.5*$B$42)/($B$41+$B$42+$B$43+($B$7*$B$6*$B$4)+($B$9*$B$8*$B$5))</f>
        <v>2.6258293449674657E-3</v>
      </c>
      <c r="G48" s="15" t="s">
        <v>308</v>
      </c>
      <c r="H48" s="52">
        <f>B$30*($H$43)/($H$42+$H$43+($B$7*$B$6*$B$4)+($B$9*$B$8*$B$5))</f>
        <v>7.9727646328767044E-3</v>
      </c>
      <c r="I48" s="49"/>
      <c r="J48" s="42" t="s">
        <v>205</v>
      </c>
      <c r="K48" s="49"/>
      <c r="L48" s="49"/>
      <c r="M48" s="44" t="s">
        <v>283</v>
      </c>
      <c r="N48" s="49"/>
      <c r="O48" s="15" t="s">
        <v>324</v>
      </c>
      <c r="P48" s="52">
        <f>H$28*($P$43)/($P$41+$P$43+($B$7*$B$6*$B$4)+($B$9*$B$8*$B$5))</f>
        <v>3.4230340931012408E-3</v>
      </c>
      <c r="R48" s="15" t="s">
        <v>325</v>
      </c>
      <c r="S48" s="52">
        <f>H$29*($P$43)/($P$41+$P$43+($B$7*$B$6*$B$4)+($B$9*$B$8*$B$5))</f>
        <v>3.4230340931012408E-3</v>
      </c>
      <c r="U48" s="48"/>
      <c r="V48" s="49"/>
      <c r="W48" s="11"/>
      <c r="X48" s="1" t="s">
        <v>303</v>
      </c>
      <c r="Y48" s="72">
        <f>Y$28*(0.5*Y$42)/(Y$41+Y$42+Y$43+($B$7*$B$6*$B$4)+($B$9*$B$8*$B$5))</f>
        <v>3.842466228838159E-3</v>
      </c>
      <c r="AA48" s="1" t="s">
        <v>310</v>
      </c>
      <c r="AB48" s="72">
        <f>Y$29*(0.5*Y$42)/(Y$41+Y$42+Y$43+($B$7*$B$6*$B$4)+($B$9*$B$8*$B$5))</f>
        <v>3.842466228838159E-3</v>
      </c>
      <c r="AD48" s="15" t="s">
        <v>308</v>
      </c>
      <c r="AE48" s="95">
        <f>Y$30*(AE$43)/(AE$42+AE$43+($B$7*$B$6*$B$4)+($B$9*$B$8*$B$5))</f>
        <v>2.7462147782562223E-2</v>
      </c>
      <c r="AF48" s="49"/>
      <c r="AG48" s="42" t="s">
        <v>205</v>
      </c>
      <c r="AH48" s="49"/>
      <c r="AI48" s="49"/>
      <c r="AJ48" s="44" t="s">
        <v>283</v>
      </c>
      <c r="AK48" s="49"/>
      <c r="AL48" s="15" t="s">
        <v>324</v>
      </c>
      <c r="AM48" s="95">
        <f>AE$28*(AM$43)/(AM$41+AM$43+($B$7*$B$6*$B$4)+($B$9*$B$8*$B$5))</f>
        <v>1.9567160053022878E-2</v>
      </c>
      <c r="AO48" s="15" t="s">
        <v>325</v>
      </c>
      <c r="AP48" s="95">
        <f>AE$29*(AM$43)/(AM$41+AM$43+($B$7*$B$6*$B$4)+($B$9*$B$8*$B$5))</f>
        <v>1.9567160053022878E-2</v>
      </c>
      <c r="AR48" s="48"/>
      <c r="AS48" s="49"/>
      <c r="AT48" s="11"/>
      <c r="AU48" s="1" t="s">
        <v>303</v>
      </c>
      <c r="AV48" s="72">
        <f>AV$28*(0.5*AV$42)/(AV$41+AV$42+AV$43+($B$7*$B$6*$B$4)+($B$9*$B$8*$B$5))</f>
        <v>6.4512689377250901E-4</v>
      </c>
      <c r="AX48" s="1" t="s">
        <v>310</v>
      </c>
      <c r="AY48" s="72">
        <f>AV$29*(0.5*AV$42)/(AV$41+AV$42+AV$43+($B$7*$B$6*$B$4)+($B$9*$B$8*$B$5))</f>
        <v>6.4512689377250901E-4</v>
      </c>
      <c r="BA48" s="15" t="s">
        <v>308</v>
      </c>
      <c r="BB48" s="101">
        <f>AV$30*(BB$43)/(BB$42+BB$43+($B$7*$B$6*$B$4)+($B$9*$B$8*$B$5))</f>
        <v>1.1963758595202824E-3</v>
      </c>
      <c r="BC48" s="49"/>
      <c r="BD48" s="42" t="s">
        <v>205</v>
      </c>
      <c r="BE48" s="49"/>
      <c r="BF48" s="49"/>
      <c r="BG48" s="44" t="s">
        <v>283</v>
      </c>
      <c r="BH48" s="49"/>
      <c r="BI48" s="15" t="s">
        <v>324</v>
      </c>
      <c r="BJ48" s="101">
        <f>BB$28*(BJ$43)/(BJ$41+BJ$43+($B$7*$B$6*$B$4)+($B$9*$B$8*$B$5))</f>
        <v>1.7882181696077641E-3</v>
      </c>
      <c r="BL48" s="15" t="s">
        <v>325</v>
      </c>
      <c r="BM48" s="101">
        <f>BB$29*(BJ$43)/(BJ$41+BJ$43+($B$7*$B$6*$B$4)+($B$9*$B$8*$B$5))</f>
        <v>1.7882181696077641E-3</v>
      </c>
      <c r="BO48" s="48"/>
      <c r="BP48" s="49"/>
    </row>
    <row r="49" spans="1:90" ht="21" customHeight="1">
      <c r="A49" s="15" t="s">
        <v>304</v>
      </c>
      <c r="B49" s="52">
        <f>B$28*(0.5*$B$42)/($B$41+$B$42+$B$43+($B$7*$B$6*$B$4)+($B$9*$B$8*$B$5))</f>
        <v>2.6258293449674657E-3</v>
      </c>
      <c r="D49" s="15" t="s">
        <v>311</v>
      </c>
      <c r="E49" s="52">
        <f>B$29*(0.5*$B$42)/($B$41+$B$42+$B$43+($B$7*$B$6*$B$4)+($B$9*$B$8*$B$5))</f>
        <v>2.6258293449674657E-3</v>
      </c>
      <c r="G49" s="48"/>
      <c r="H49" s="49"/>
      <c r="I49" s="49"/>
      <c r="J49" s="1" t="s">
        <v>316</v>
      </c>
      <c r="K49" s="70">
        <f>B$32*($K$42)/($K$41+$K$42+$K$43+($B$7*$B$6*$B$4)+($B$9*$B$8*$B$5))</f>
        <v>2.7073607338780471E-3</v>
      </c>
      <c r="L49" s="49"/>
      <c r="M49" s="15" t="s">
        <v>317</v>
      </c>
      <c r="N49" s="52">
        <f>B$33*($K$43)/($K$41+$K$43+($B$7*$B$6*$B$4)+($B$9*$B$8*$B$5))</f>
        <v>7.6421519868028797E-3</v>
      </c>
      <c r="S49" s="11"/>
      <c r="U49" s="48"/>
      <c r="V49" s="49"/>
      <c r="W49" s="11"/>
      <c r="X49" s="15" t="s">
        <v>304</v>
      </c>
      <c r="Y49" s="52">
        <f>Y$28*(0.5*Y$42)/(Y$41+Y$42+Y$43+($B$7*$B$6*$B$4)+($B$9*$B$8*$B$5))</f>
        <v>3.842466228838159E-3</v>
      </c>
      <c r="AA49" s="15" t="s">
        <v>311</v>
      </c>
      <c r="AB49" s="52">
        <f>Y$29*(0.5*Y$42)/(Y$41+Y$42+Y$43+($B$7*$B$6*$B$4)+($B$9*$B$8*$B$5))</f>
        <v>3.842466228838159E-3</v>
      </c>
      <c r="AD49" s="48"/>
      <c r="AE49" s="49"/>
      <c r="AF49" s="49"/>
      <c r="AG49" s="1" t="s">
        <v>316</v>
      </c>
      <c r="AH49" s="70">
        <f>Y$32*(AH$42)/(AH$41+AH$42+AH$43+($B$7*$B$6*$B$4)+($B$9*$B$8*$B$5))</f>
        <v>5.5176432760819193E-4</v>
      </c>
      <c r="AI49" s="49"/>
      <c r="AJ49" s="15" t="s">
        <v>317</v>
      </c>
      <c r="AK49" s="95">
        <f>Y$33*(AH$43)/(AH$41+AH$43+($B$7*$B$6*$B$4)+($B$9*$B$8*$B$5))</f>
        <v>6.2044471667629161E-3</v>
      </c>
      <c r="AP49" s="11"/>
      <c r="AR49" s="48"/>
      <c r="AS49" s="49"/>
      <c r="AT49" s="11"/>
      <c r="AU49" s="15" t="s">
        <v>304</v>
      </c>
      <c r="AV49" s="52">
        <f>AV$28*(0.5*AV$42)/(AV$41+AV$42+AV$43+($B$7*$B$6*$B$4)+($B$9*$B$8*$B$5))</f>
        <v>6.4512689377250901E-4</v>
      </c>
      <c r="AX49" s="15" t="s">
        <v>311</v>
      </c>
      <c r="AY49" s="52">
        <f>AV$29*(0.5*AV$42)/(AV$41+AV$42+AV$43+($B$7*$B$6*$B$4)+($B$9*$B$8*$B$5))</f>
        <v>6.4512689377250901E-4</v>
      </c>
      <c r="BA49" s="48"/>
      <c r="BB49" s="49"/>
      <c r="BC49" s="49"/>
      <c r="BD49" s="1" t="s">
        <v>316</v>
      </c>
      <c r="BE49" s="70">
        <f>AV$32*(BE$42)/(BE$41+BE$42+BE$43+($B$7*$B$6*$B$4)+($B$9*$B$8*$B$5))</f>
        <v>4.4995755394080647E-3</v>
      </c>
      <c r="BF49" s="49"/>
      <c r="BG49" s="15" t="s">
        <v>317</v>
      </c>
      <c r="BH49" s="101">
        <f>AV$33*(BE$43)/(BE$41+BE$43+($B$7*$B$6*$B$4)+($B$9*$B$8*$B$5))</f>
        <v>3.6111062270290607E-3</v>
      </c>
      <c r="BM49" s="11"/>
      <c r="BO49" s="48"/>
      <c r="BP49" s="49"/>
    </row>
    <row r="50" spans="1:90" ht="21" customHeight="1">
      <c r="A50" s="44" t="s">
        <v>283</v>
      </c>
      <c r="D50" s="44" t="s">
        <v>283</v>
      </c>
      <c r="G50" s="48"/>
      <c r="H50" s="49"/>
      <c r="I50" s="49"/>
      <c r="J50" s="44" t="s">
        <v>283</v>
      </c>
      <c r="K50" s="49"/>
      <c r="L50" s="49"/>
      <c r="S50" s="11"/>
      <c r="U50" s="48"/>
      <c r="V50" s="49"/>
      <c r="W50" s="11"/>
      <c r="X50" s="44" t="s">
        <v>283</v>
      </c>
      <c r="AA50" s="44" t="s">
        <v>283</v>
      </c>
      <c r="AD50" s="48"/>
      <c r="AE50" s="49"/>
      <c r="AF50" s="49"/>
      <c r="AG50" s="44" t="s">
        <v>283</v>
      </c>
      <c r="AH50" s="49"/>
      <c r="AI50" s="49"/>
      <c r="AP50" s="11"/>
      <c r="AR50" s="48"/>
      <c r="AS50" s="49"/>
      <c r="AT50" s="11"/>
      <c r="AU50" s="44" t="s">
        <v>283</v>
      </c>
      <c r="AX50" s="44" t="s">
        <v>283</v>
      </c>
      <c r="BA50" s="48"/>
      <c r="BB50" s="49"/>
      <c r="BC50" s="49"/>
      <c r="BD50" s="44" t="s">
        <v>283</v>
      </c>
      <c r="BE50" s="49"/>
      <c r="BF50" s="49"/>
      <c r="BM50" s="11"/>
      <c r="BO50" s="48"/>
      <c r="BP50" s="49"/>
    </row>
    <row r="51" spans="1:90" ht="21" customHeight="1">
      <c r="A51" s="15" t="s">
        <v>305</v>
      </c>
      <c r="B51" s="52">
        <f>B$28*($B$43)/($B$41+$B$42+$B$43+($B$7*$B$6*$B$4)+($B$9*$B$8*$B$5))</f>
        <v>2.6343743599372129E-3</v>
      </c>
      <c r="D51" s="15" t="s">
        <v>312</v>
      </c>
      <c r="E51" s="52">
        <f>B$29*($B$43)/($B$41+$B$42+$B$43+($B$7*$B$6*$B$4)+($B$9*$B$8*$B$5))</f>
        <v>2.6343743599372129E-3</v>
      </c>
      <c r="G51" s="48"/>
      <c r="H51" s="49"/>
      <c r="I51" s="49"/>
      <c r="J51" s="15" t="s">
        <v>317</v>
      </c>
      <c r="K51" s="52">
        <f>B$32*($K$43)/($K$41+$K$42+$K$43+($B$7*$B$6*$B$4)+($B$9*$B$8*$B$5))</f>
        <v>5.5790734216423464E-3</v>
      </c>
      <c r="L51" s="49"/>
      <c r="S51" s="11"/>
      <c r="U51" s="48"/>
      <c r="V51" s="49"/>
      <c r="W51" s="11"/>
      <c r="X51" s="15" t="s">
        <v>305</v>
      </c>
      <c r="Y51" s="95">
        <f>Y$28*(Y$43)/(Y$41+Y$42+Y$43+($B$7*$B$6*$B$4)+($B$9*$B$8*$B$5))</f>
        <v>1.9274852213027764E-2</v>
      </c>
      <c r="AA51" s="15" t="s">
        <v>312</v>
      </c>
      <c r="AB51" s="95">
        <f>Y$29*(Y$43)/(Y$41+Y$42+Y$43+($B$7*$B$6*$B$4)+($B$9*$B$8*$B$5))</f>
        <v>1.9274852213027764E-2</v>
      </c>
      <c r="AD51" s="48"/>
      <c r="AE51" s="49"/>
      <c r="AF51" s="49"/>
      <c r="AG51" s="15" t="s">
        <v>317</v>
      </c>
      <c r="AH51" s="95">
        <f>Y$32*(AH$43)/(AH$41+AH$42+AH$43+($B$7*$B$6*$B$4)+($B$9*$B$8*$B$5))</f>
        <v>5.6851191949581692E-3</v>
      </c>
      <c r="AI51" s="49"/>
      <c r="AP51" s="11"/>
      <c r="AR51" s="48"/>
      <c r="AS51" s="49"/>
      <c r="AT51" s="11"/>
      <c r="AU51" s="15" t="s">
        <v>305</v>
      </c>
      <c r="AV51" s="101">
        <f>AV$28*(AV$43)/(AV$41+AV$42+AV$43+($B$7*$B$6*$B$4)+($B$9*$B$8*$B$5))</f>
        <v>1.2944525516232991E-4</v>
      </c>
      <c r="AX51" s="15" t="s">
        <v>312</v>
      </c>
      <c r="AY51" s="101">
        <f>AV$29*(AV$43)/(AV$41+AV$42+AV$43+($B$7*$B$6*$B$4)+($B$9*$B$8*$B$5))</f>
        <v>1.2944525516232991E-4</v>
      </c>
      <c r="BA51" s="48"/>
      <c r="BB51" s="49"/>
      <c r="BC51" s="49"/>
      <c r="BD51" s="15" t="s">
        <v>317</v>
      </c>
      <c r="BE51" s="101">
        <f>AV$32*(BE$43)/(BE$41+BE$42+BE$43+($B$7*$B$6*$B$4)+($B$9*$B$8*$B$5))</f>
        <v>1.854460101046464E-3</v>
      </c>
      <c r="BF51" s="49"/>
      <c r="BM51" s="11"/>
      <c r="BO51" s="48"/>
      <c r="BP51" s="49"/>
    </row>
    <row r="52" spans="1:90" ht="21" customHeight="1">
      <c r="A52" s="68" t="s">
        <v>326</v>
      </c>
      <c r="B52" s="67">
        <f>B49+B51+E49+E51+H48+K46+K47+K51+N46+N47+N49+P48+S48+V46</f>
        <v>4.5955158443764674E-2</v>
      </c>
      <c r="C52" s="104">
        <f>Y52-B52</f>
        <v>9.9721801547892994E-2</v>
      </c>
      <c r="G52" s="48"/>
      <c r="H52" s="49"/>
      <c r="I52" s="49"/>
      <c r="J52" s="49"/>
      <c r="K52" s="49"/>
      <c r="L52" s="49"/>
      <c r="S52" s="11"/>
      <c r="T52" s="60"/>
      <c r="U52" s="11"/>
      <c r="V52" s="11"/>
      <c r="W52" s="11"/>
      <c r="X52" s="102" t="s">
        <v>326</v>
      </c>
      <c r="Y52" s="95">
        <f>Y49+Y51+AB49+AB51+AE48+AH46+AH47+AH51+AK46+AK47+AK49+AM48+AP48+AS46</f>
        <v>0.14567695999165767</v>
      </c>
      <c r="AD52" s="48"/>
      <c r="AE52" s="49"/>
      <c r="AF52" s="49"/>
      <c r="AG52" s="49"/>
      <c r="AH52" s="49"/>
      <c r="AI52" s="49"/>
      <c r="AP52" s="11"/>
      <c r="AQ52" s="60"/>
      <c r="AR52" s="11"/>
      <c r="AS52" s="11"/>
      <c r="AT52" s="11"/>
      <c r="AU52" s="103" t="s">
        <v>326</v>
      </c>
      <c r="AV52" s="101">
        <f>AV49+AV51+AY49+AY51+BB48+BE46+BE47+BE51+BH46+BH47+BH49+BJ48+BM48+BP46</f>
        <v>2.2079282342618873E-2</v>
      </c>
      <c r="BA52" s="48"/>
      <c r="BB52" s="49"/>
      <c r="BC52" s="49"/>
      <c r="BD52" s="49"/>
      <c r="BE52" s="49"/>
      <c r="BF52" s="49"/>
      <c r="BM52" s="11"/>
      <c r="BN52" s="60"/>
      <c r="BO52" s="11"/>
      <c r="BP52" s="11"/>
    </row>
    <row r="53" spans="1:90" ht="21" customHeight="1">
      <c r="C53" s="104">
        <f>AV52-B52</f>
        <v>-2.3875876101145801E-2</v>
      </c>
      <c r="G53" s="48"/>
      <c r="H53" s="49"/>
      <c r="I53" s="49"/>
      <c r="J53" s="49"/>
      <c r="K53" s="49"/>
      <c r="L53" s="49"/>
      <c r="S53" s="11"/>
      <c r="T53" s="60"/>
      <c r="U53" s="11"/>
      <c r="V53" s="11"/>
      <c r="W53" s="11"/>
      <c r="AD53" s="48"/>
      <c r="AE53" s="49"/>
      <c r="AF53" s="49"/>
      <c r="AG53" s="49"/>
      <c r="AH53" s="49"/>
      <c r="AI53" s="49"/>
      <c r="AP53" s="11"/>
      <c r="AQ53" s="60"/>
      <c r="AR53" s="11"/>
      <c r="AS53" s="11"/>
      <c r="AT53" s="11"/>
      <c r="BA53" s="48"/>
      <c r="BB53" s="49"/>
      <c r="BC53" s="49"/>
      <c r="BD53" s="49"/>
      <c r="BE53" s="49"/>
      <c r="BF53" s="49"/>
      <c r="BM53" s="11"/>
      <c r="BN53" s="60"/>
      <c r="BO53" s="11"/>
      <c r="BP53" s="11"/>
    </row>
    <row r="54" spans="1:90" s="62" customFormat="1" ht="21" customHeight="1">
      <c r="A54" s="18" t="s">
        <v>27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90" ht="21" customHeight="1">
      <c r="A55" s="88" t="s">
        <v>416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89" t="s">
        <v>417</v>
      </c>
      <c r="Y55" s="89" t="s">
        <v>418</v>
      </c>
      <c r="Z55" s="91">
        <v>0.1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90" t="s">
        <v>420</v>
      </c>
      <c r="AV55" s="90" t="s">
        <v>418</v>
      </c>
      <c r="AW55" s="97">
        <v>0.1</v>
      </c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106" t="s">
        <v>421</v>
      </c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21" customHeight="1">
      <c r="A56" s="40" t="s">
        <v>295</v>
      </c>
      <c r="H56" s="48"/>
      <c r="I56" s="49"/>
      <c r="J56" s="49"/>
      <c r="K56" s="49"/>
      <c r="L56" s="49"/>
      <c r="M56" s="49"/>
      <c r="T56" s="11"/>
      <c r="U56" s="60"/>
      <c r="V56" s="11"/>
      <c r="X56" s="40" t="s">
        <v>295</v>
      </c>
      <c r="AE56" s="48"/>
      <c r="AF56" s="49"/>
      <c r="AG56" s="49"/>
      <c r="AH56" s="49"/>
      <c r="AI56" s="49"/>
      <c r="AJ56" s="49"/>
      <c r="AU56" s="40" t="s">
        <v>295</v>
      </c>
      <c r="BB56" s="48"/>
      <c r="BC56" s="49"/>
      <c r="BD56" s="49"/>
      <c r="BE56" s="49"/>
      <c r="BF56" s="49"/>
      <c r="BG56" s="49"/>
      <c r="BS56" s="1" t="s">
        <v>422</v>
      </c>
    </row>
    <row r="57" spans="1:90" ht="21" customHeight="1">
      <c r="A57" s="15" t="s">
        <v>232</v>
      </c>
      <c r="G57" s="15"/>
      <c r="S57" s="11"/>
      <c r="T57" s="60"/>
      <c r="U57" s="11"/>
      <c r="V57" s="11"/>
      <c r="X57" s="15" t="s">
        <v>232</v>
      </c>
      <c r="AD57" s="15"/>
      <c r="AU57" s="15" t="s">
        <v>232</v>
      </c>
      <c r="BA57" s="15"/>
      <c r="BR57" s="5" t="s">
        <v>233</v>
      </c>
      <c r="BS57" s="15" t="s">
        <v>445</v>
      </c>
      <c r="BT57" s="15" t="s">
        <v>446</v>
      </c>
      <c r="BU57" s="15" t="s">
        <v>445</v>
      </c>
      <c r="BV57" s="15" t="s">
        <v>443</v>
      </c>
      <c r="BW57" s="15" t="s">
        <v>444</v>
      </c>
      <c r="BX57" s="15" t="s">
        <v>443</v>
      </c>
      <c r="BY57" s="15" t="s">
        <v>442</v>
      </c>
      <c r="BZ57" s="15" t="s">
        <v>441</v>
      </c>
      <c r="CA57" s="15" t="s">
        <v>440</v>
      </c>
      <c r="CB57" s="15" t="s">
        <v>439</v>
      </c>
      <c r="CC57" s="15" t="s">
        <v>438</v>
      </c>
      <c r="CD57" s="15" t="s">
        <v>437</v>
      </c>
      <c r="CE57" s="15" t="s">
        <v>436</v>
      </c>
      <c r="CF57" s="15" t="s">
        <v>435</v>
      </c>
      <c r="CG57" s="15" t="s">
        <v>434</v>
      </c>
      <c r="CH57" s="15" t="s">
        <v>433</v>
      </c>
      <c r="CI57" s="51" t="s">
        <v>234</v>
      </c>
    </row>
    <row r="58" spans="1:90" ht="21" customHeight="1">
      <c r="A58" t="s">
        <v>262</v>
      </c>
      <c r="B58" s="66">
        <v>0.9</v>
      </c>
      <c r="C58" s="39" t="s">
        <v>219</v>
      </c>
      <c r="H58" s="66"/>
      <c r="I58" s="39"/>
      <c r="S58" s="11"/>
      <c r="T58" s="60"/>
      <c r="U58" s="11"/>
      <c r="V58" s="11"/>
      <c r="X58" t="s">
        <v>262</v>
      </c>
      <c r="Y58" s="66">
        <f>$B$58+(1-$B$58)*Z$55</f>
        <v>0.91</v>
      </c>
      <c r="Z58" s="39" t="s">
        <v>219</v>
      </c>
      <c r="AE58" s="66"/>
      <c r="AF58" s="39"/>
      <c r="AU58" t="s">
        <v>262</v>
      </c>
      <c r="AV58" s="66">
        <f>$B$58-($B$58*AW$55)</f>
        <v>0.81</v>
      </c>
      <c r="AW58" s="39" t="s">
        <v>219</v>
      </c>
      <c r="BB58" s="66"/>
      <c r="BC58" s="39"/>
      <c r="BR58" s="32">
        <v>1E-3</v>
      </c>
      <c r="BS58" s="52">
        <f>$B$71*(0.5*$B$85)/($B$84+$B$85+$B$86+($B$7*$BR58*$B$4)+($B$9*$B$8*$B$5))</f>
        <v>5.4580365921927225E-4</v>
      </c>
      <c r="BT58" s="52">
        <f>$B$71*(0.5*$B$85)/($B$84+$B$85+$B$86+($B$7*$BR58*$B$4)+($B$9*$B$8*$B$5))</f>
        <v>5.4580365921927225E-4</v>
      </c>
      <c r="BU58" s="52">
        <f>$B$71*($B$86)/($B$84+$B$85+$B$86+($B$7*$BR58*$B$4)+($B$9*$B$8*$B$5))</f>
        <v>9.0215298056446278E-3</v>
      </c>
      <c r="BV58" s="52">
        <f>$B$72*(0.5*$B$85)/($B$84+$B$85+$B$86+($B$7*$BR58*$B$4)+($B$9*$B$8*$B$5))</f>
        <v>5.4580365921927225E-4</v>
      </c>
      <c r="BW58" s="52">
        <f>$B$72*(0.5*$B$85)/($B$84+$B$85+$B$86+($B$7*$BR58*$B$4)+($B$9*$B$8*$B$5))</f>
        <v>5.4580365921927225E-4</v>
      </c>
      <c r="BX58" s="52">
        <f>$B$72*($B$86)/($B$84+$B$85+$B$86+($B$7*$BR58*$B$4)+($B$9*$B$8*$B$5))</f>
        <v>9.0215298056446278E-3</v>
      </c>
      <c r="BY58" s="52">
        <f>$B$73*($H$86)/($H$86+($B$7*$BR58*$B$4)+($B$9*$B$8*$B$5))</f>
        <v>1.0267828222969868E-2</v>
      </c>
      <c r="BZ58" s="52">
        <f>$B$75*(0.5*$K$84)/($K$84+$K$86+($B$7*$BR58*$B$4)+($B$9*$B$8*$B$5))</f>
        <v>1.1662083328580737E-3</v>
      </c>
      <c r="CA58" s="52">
        <f>$B$75*(0.5*$K$84)/($K$84+$K$86+($B$7*$BR58*$B$4)+($B$9*$B$8*$B$5))</f>
        <v>1.1662083328580737E-3</v>
      </c>
      <c r="CB58" s="52">
        <f>$B$75*($K$86)/($K$84+$K$86+($B$7*$BR58*$B$4)+($B$9*$B$8*$B$5))</f>
        <v>1.4589053981848162E-3</v>
      </c>
      <c r="CC58" s="52">
        <f>$B$76*(0.5*$K$84)/($K$84+$K$85+$K$86+($B$7*$BR58*$B$4)+($B$9*$B$8*$B$5))</f>
        <v>1.3287622959985945E-4</v>
      </c>
      <c r="CD58" s="52">
        <f>$B$76*(0.5*$K$84)/($K$84+$K$85+$K$86+($B$7*$BR58*$B$4)+($B$9*$B$8*$B$5))</f>
        <v>1.3287622959985945E-4</v>
      </c>
      <c r="CE58" s="52">
        <f>$B$76*($K$86)/($K$84+$K$85+$K$86+($B$7*$BR58*$B$4)+($B$9*$B$8*$B$5))</f>
        <v>1.6622574474201756E-4</v>
      </c>
      <c r="CF58" s="52">
        <f>$B$77*(0.5*$K$84)/($K$84+$K$86+($B$7*$BR58*$B$4)+($B$9*$B$8*$B$5))</f>
        <v>1.1662083328580737E-3</v>
      </c>
      <c r="CG58" s="52">
        <f>$B$77*(0.5*$K$84)/($K$84+$K$86+($B$7*$BR58*$B$4)+($B$9*$B$8*$B$5))</f>
        <v>1.1662083328580737E-3</v>
      </c>
      <c r="CH58" s="52">
        <f>$B$77*($K$86)/($K$84+$K$86+($B$7*$BR58*$B$4)+($B$9*$B$8*$B$5))</f>
        <v>1.4589053981848162E-3</v>
      </c>
      <c r="CI58" s="70">
        <f>SUM(BS58:CH58)</f>
        <v>3.8508724802879875E-2</v>
      </c>
    </row>
    <row r="59" spans="1:90" ht="21" customHeight="1">
      <c r="A59" t="s">
        <v>327</v>
      </c>
      <c r="B59" s="66">
        <v>0.92</v>
      </c>
      <c r="C59" t="s">
        <v>220</v>
      </c>
      <c r="H59" s="66"/>
      <c r="S59" s="11"/>
      <c r="T59" s="60"/>
      <c r="U59" s="11"/>
      <c r="V59" s="11"/>
      <c r="X59" t="s">
        <v>327</v>
      </c>
      <c r="Y59" s="66">
        <f>$B$59+(1-$B$59)*Z$55</f>
        <v>0.92800000000000005</v>
      </c>
      <c r="Z59" t="s">
        <v>220</v>
      </c>
      <c r="AE59" s="66"/>
      <c r="AU59" t="s">
        <v>327</v>
      </c>
      <c r="AV59" s="66">
        <f>$B$59-($B$59*AW$55)</f>
        <v>0.82800000000000007</v>
      </c>
      <c r="AW59" t="s">
        <v>220</v>
      </c>
      <c r="BB59" s="66"/>
      <c r="BR59" s="32">
        <v>2E-3</v>
      </c>
      <c r="BS59" s="52">
        <f t="shared" ref="BS59:BT86" si="16">$B$71*(0.5*$B$85)/($B$84+$B$85+$B$86+($B$7*$BR59*$B$4)+($B$9*$B$8*$B$5))</f>
        <v>5.45802742505266E-4</v>
      </c>
      <c r="BT59" s="52">
        <f t="shared" si="16"/>
        <v>5.45802742505266E-4</v>
      </c>
      <c r="BU59" s="52">
        <f t="shared" ref="BU59:BU86" si="17">$B$71*($B$86)/($B$84+$B$85+$B$86+($B$7*$BR59*$B$4)+($B$9*$B$8*$B$5))</f>
        <v>9.0215146533777092E-3</v>
      </c>
      <c r="BV59" s="52">
        <f t="shared" ref="BV59:BW86" si="18">$B$72*(0.5*$B$85)/($B$84+$B$85+$B$86+($B$7*$BR59*$B$4)+($B$9*$B$8*$B$5))</f>
        <v>5.45802742505266E-4</v>
      </c>
      <c r="BW59" s="52">
        <f t="shared" si="18"/>
        <v>5.45802742505266E-4</v>
      </c>
      <c r="BX59" s="52">
        <f t="shared" ref="BX59:BX86" si="19">$B$72*($B$86)/($B$84+$B$85+$B$86+($B$7*$BR59*$B$4)+($B$9*$B$8*$B$5))</f>
        <v>9.0215146533777092E-3</v>
      </c>
      <c r="BY59" s="52">
        <f t="shared" ref="BY59:BY86" si="20">$B$73*($H$86)/($H$86+($B$7*$BR59*$B$4)+($B$9*$B$8*$B$5))</f>
        <v>1.0267694573380224E-2</v>
      </c>
      <c r="BZ59" s="52">
        <f t="shared" ref="BZ59:CA86" si="21">$B$75*(0.5*$K$84)/($K$84+$K$86+($B$7*$BR59*$B$4)+($B$9*$B$8*$B$5))</f>
        <v>1.1661474899751271E-3</v>
      </c>
      <c r="CA59" s="52">
        <f t="shared" si="21"/>
        <v>1.1661474899751271E-3</v>
      </c>
      <c r="CB59" s="52">
        <f t="shared" ref="CB59:CB86" si="22">$B$75*($K$86)/($K$84+$K$86+($B$7*$BR59*$B$4)+($B$9*$B$8*$B$5))</f>
        <v>1.4588292848456547E-3</v>
      </c>
      <c r="CC59" s="52">
        <f t="shared" ref="CC59:CD86" si="23">$B$76*(0.5*$K$84)/($K$84+$K$85+$K$86+($B$7*$BR59*$B$4)+($B$9*$B$8*$B$5))</f>
        <v>1.3287543969975143E-4</v>
      </c>
      <c r="CD59" s="52">
        <f t="shared" si="23"/>
        <v>1.3287543969975143E-4</v>
      </c>
      <c r="CE59" s="52">
        <f t="shared" ref="CE59:CE86" si="24">$B$76*($K$86)/($K$84+$K$85+$K$86+($B$7*$BR59*$B$4)+($B$9*$B$8*$B$5))</f>
        <v>1.6622475659135944E-4</v>
      </c>
      <c r="CF59" s="52">
        <f t="shared" ref="CF59:CG86" si="25">$B$77*(0.5*$K$84)/($K$84+$K$86+($B$7*$BR59*$B$4)+($B$9*$B$8*$B$5))</f>
        <v>1.1661474899751271E-3</v>
      </c>
      <c r="CG59" s="52">
        <f t="shared" si="25"/>
        <v>1.1661474899751271E-3</v>
      </c>
      <c r="CH59" s="52">
        <f t="shared" ref="CH59:CH86" si="26">$B$77*($K$86)/($K$84+$K$86+($B$7*$BR59*$B$4)+($B$9*$B$8*$B$5))</f>
        <v>1.4588292848456547E-3</v>
      </c>
      <c r="CI59" s="70">
        <f t="shared" ref="CI59:CI83" si="27">SUM(BS59:CH59)</f>
        <v>3.8508159015739403E-2</v>
      </c>
    </row>
    <row r="60" spans="1:90" ht="21" customHeight="1">
      <c r="A60" t="s">
        <v>263</v>
      </c>
      <c r="B60" s="66">
        <v>0.14000000000000001</v>
      </c>
      <c r="C60" t="s">
        <v>221</v>
      </c>
      <c r="H60" s="32"/>
      <c r="S60" s="11"/>
      <c r="T60" s="60"/>
      <c r="U60" s="11"/>
      <c r="V60" s="11"/>
      <c r="X60" t="s">
        <v>263</v>
      </c>
      <c r="Y60" s="66">
        <f>$B$60+(1-$B$60)*Z$55</f>
        <v>0.22600000000000003</v>
      </c>
      <c r="Z60" t="s">
        <v>221</v>
      </c>
      <c r="AE60" s="32"/>
      <c r="AU60" t="s">
        <v>263</v>
      </c>
      <c r="AV60" s="66">
        <f>$B$60-($B$60*AW$55)</f>
        <v>0.126</v>
      </c>
      <c r="AW60" t="s">
        <v>221</v>
      </c>
      <c r="BB60" s="32"/>
      <c r="BR60" s="32">
        <f>BR59+0.002</f>
        <v>4.0000000000000001E-3</v>
      </c>
      <c r="BS60" s="52">
        <f t="shared" si="16"/>
        <v>5.4580090908649189E-4</v>
      </c>
      <c r="BT60" s="52">
        <f t="shared" si="16"/>
        <v>5.4580090908649189E-4</v>
      </c>
      <c r="BU60" s="52">
        <f t="shared" si="17"/>
        <v>9.0214843489965675E-3</v>
      </c>
      <c r="BV60" s="52">
        <f t="shared" si="18"/>
        <v>5.4580090908649189E-4</v>
      </c>
      <c r="BW60" s="52">
        <f t="shared" si="18"/>
        <v>5.4580090908649189E-4</v>
      </c>
      <c r="BX60" s="52">
        <f t="shared" si="19"/>
        <v>9.0214843489965675E-3</v>
      </c>
      <c r="BY60" s="52">
        <f t="shared" si="20"/>
        <v>1.0267427284638439E-2</v>
      </c>
      <c r="BZ60" s="52">
        <f t="shared" si="21"/>
        <v>1.1660258232528476E-3</v>
      </c>
      <c r="CA60" s="52">
        <f t="shared" si="21"/>
        <v>1.1660258232528476E-3</v>
      </c>
      <c r="CB60" s="52">
        <f t="shared" si="22"/>
        <v>1.4586770819905457E-3</v>
      </c>
      <c r="CC60" s="52">
        <f t="shared" si="23"/>
        <v>1.3287385992770905E-4</v>
      </c>
      <c r="CD60" s="52">
        <f t="shared" si="23"/>
        <v>1.3287385992770905E-4</v>
      </c>
      <c r="CE60" s="52">
        <f t="shared" si="24"/>
        <v>1.6622278032528794E-4</v>
      </c>
      <c r="CF60" s="52">
        <f t="shared" si="25"/>
        <v>1.1660258232528476E-3</v>
      </c>
      <c r="CG60" s="52">
        <f t="shared" si="25"/>
        <v>1.1660258232528476E-3</v>
      </c>
      <c r="CH60" s="52">
        <f t="shared" si="26"/>
        <v>1.4586770819905457E-3</v>
      </c>
      <c r="CI60" s="70">
        <f t="shared" si="27"/>
        <v>3.8507027576150744E-2</v>
      </c>
    </row>
    <row r="61" spans="1:90" ht="21" customHeight="1">
      <c r="A61" s="15" t="s">
        <v>328</v>
      </c>
      <c r="B61" s="52">
        <f>B58*B59*B60</f>
        <v>0.11592000000000002</v>
      </c>
      <c r="H61" s="66"/>
      <c r="S61" s="11"/>
      <c r="T61" s="60"/>
      <c r="U61" s="11"/>
      <c r="V61" s="11"/>
      <c r="X61" s="15" t="s">
        <v>328</v>
      </c>
      <c r="Y61" s="52">
        <f>Y58*Y59*Y60</f>
        <v>0.19085248000000005</v>
      </c>
      <c r="AE61" s="66"/>
      <c r="AU61" s="15" t="s">
        <v>328</v>
      </c>
      <c r="AV61" s="52">
        <f>AV58*AV59*AV60</f>
        <v>8.4505680000000014E-2</v>
      </c>
      <c r="BB61" s="66"/>
      <c r="BR61" s="32">
        <f t="shared" ref="BR61" si="28">BR60+0.002</f>
        <v>6.0000000000000001E-3</v>
      </c>
      <c r="BS61" s="52">
        <f t="shared" si="16"/>
        <v>5.4579907568003496E-4</v>
      </c>
      <c r="BT61" s="52">
        <f t="shared" si="16"/>
        <v>5.4579907568003496E-4</v>
      </c>
      <c r="BU61" s="52">
        <f t="shared" si="17"/>
        <v>9.0214540448190165E-3</v>
      </c>
      <c r="BV61" s="52">
        <f t="shared" si="18"/>
        <v>5.4579907568003496E-4</v>
      </c>
      <c r="BW61" s="52">
        <f t="shared" si="18"/>
        <v>5.4579907568003496E-4</v>
      </c>
      <c r="BX61" s="52">
        <f t="shared" si="19"/>
        <v>9.0214540448190165E-3</v>
      </c>
      <c r="BY61" s="52">
        <f t="shared" si="20"/>
        <v>1.0267160009812419E-2</v>
      </c>
      <c r="BZ61" s="52">
        <f t="shared" si="21"/>
        <v>1.1659041819154312E-3</v>
      </c>
      <c r="CA61" s="52">
        <f t="shared" si="21"/>
        <v>1.1659041819154312E-3</v>
      </c>
      <c r="CB61" s="52">
        <f t="shared" si="22"/>
        <v>1.4585249108914383E-3</v>
      </c>
      <c r="CC61" s="52">
        <f t="shared" si="23"/>
        <v>1.328722801932304E-4</v>
      </c>
      <c r="CD61" s="52">
        <f t="shared" si="23"/>
        <v>1.328722801932304E-4</v>
      </c>
      <c r="CE61" s="52">
        <f t="shared" si="24"/>
        <v>1.6622080410620799E-4</v>
      </c>
      <c r="CF61" s="52">
        <f t="shared" si="25"/>
        <v>1.1659041819154312E-3</v>
      </c>
      <c r="CG61" s="52">
        <f t="shared" si="25"/>
        <v>1.1659041819154312E-3</v>
      </c>
      <c r="CH61" s="52">
        <f t="shared" si="26"/>
        <v>1.4585249108914383E-3</v>
      </c>
      <c r="CI61" s="70">
        <f t="shared" si="27"/>
        <v>3.850589631610786E-2</v>
      </c>
    </row>
    <row r="62" spans="1:90" ht="21" customHeight="1">
      <c r="A62" s="68" t="s">
        <v>274</v>
      </c>
      <c r="B62" s="67">
        <f>B61</f>
        <v>0.11592000000000002</v>
      </c>
      <c r="G62" s="15"/>
      <c r="H62" s="52"/>
      <c r="S62" s="11"/>
      <c r="T62" s="60"/>
      <c r="U62" s="11"/>
      <c r="V62" s="11"/>
      <c r="X62" s="68" t="s">
        <v>274</v>
      </c>
      <c r="Y62" s="67">
        <f>Y61</f>
        <v>0.19085248000000005</v>
      </c>
      <c r="AD62" s="15"/>
      <c r="AE62" s="52"/>
      <c r="AU62" s="68" t="s">
        <v>274</v>
      </c>
      <c r="AV62" s="67">
        <f>AV61</f>
        <v>8.4505680000000014E-2</v>
      </c>
      <c r="BA62" s="15"/>
      <c r="BB62" s="52"/>
      <c r="BR62" s="32">
        <f>BR61+0.002</f>
        <v>8.0000000000000002E-3</v>
      </c>
      <c r="BS62" s="52">
        <f t="shared" si="16"/>
        <v>5.4579724228589533E-4</v>
      </c>
      <c r="BT62" s="52">
        <f t="shared" si="16"/>
        <v>5.4579724228589533E-4</v>
      </c>
      <c r="BU62" s="52">
        <f t="shared" si="17"/>
        <v>9.0214237408450561E-3</v>
      </c>
      <c r="BV62" s="52">
        <f t="shared" si="18"/>
        <v>5.4579724228589533E-4</v>
      </c>
      <c r="BW62" s="52">
        <f t="shared" si="18"/>
        <v>5.4579724228589533E-4</v>
      </c>
      <c r="BX62" s="52">
        <f t="shared" si="19"/>
        <v>9.0214237408450561E-3</v>
      </c>
      <c r="BY62" s="52">
        <f t="shared" si="20"/>
        <v>1.0266892748901075E-2</v>
      </c>
      <c r="BZ62" s="52">
        <f t="shared" si="21"/>
        <v>1.1657825659549339E-3</v>
      </c>
      <c r="CA62" s="52">
        <f t="shared" si="21"/>
        <v>1.1657825659549339E-3</v>
      </c>
      <c r="CB62" s="52">
        <f t="shared" si="22"/>
        <v>1.4583727715383947E-3</v>
      </c>
      <c r="CC62" s="52">
        <f t="shared" si="23"/>
        <v>1.3287070049631416E-4</v>
      </c>
      <c r="CD62" s="52">
        <f t="shared" si="23"/>
        <v>1.3287070049631416E-4</v>
      </c>
      <c r="CE62" s="52">
        <f t="shared" si="24"/>
        <v>1.6621882793411792E-4</v>
      </c>
      <c r="CF62" s="52">
        <f t="shared" si="25"/>
        <v>1.1657825659549339E-3</v>
      </c>
      <c r="CG62" s="52">
        <f t="shared" si="25"/>
        <v>1.1657825659549339E-3</v>
      </c>
      <c r="CH62" s="52">
        <f t="shared" si="26"/>
        <v>1.4583727715383947E-3</v>
      </c>
      <c r="CI62" s="70">
        <f t="shared" si="27"/>
        <v>3.8504765235558035E-2</v>
      </c>
    </row>
    <row r="63" spans="1:90" ht="21" customHeight="1">
      <c r="G63" s="48"/>
      <c r="H63" s="49"/>
      <c r="I63" s="49"/>
      <c r="J63" s="49"/>
      <c r="K63" s="49"/>
      <c r="L63" s="49"/>
      <c r="S63" s="11"/>
      <c r="T63" s="60"/>
      <c r="U63" s="11"/>
      <c r="V63" s="11"/>
      <c r="X63" s="92"/>
      <c r="Y63" s="93" t="s">
        <v>419</v>
      </c>
      <c r="Z63" s="94">
        <v>5</v>
      </c>
      <c r="AD63" s="48"/>
      <c r="AE63" s="49"/>
      <c r="AF63" s="49"/>
      <c r="AG63" s="49"/>
      <c r="AH63" s="49"/>
      <c r="AI63" s="49"/>
      <c r="AU63" s="61"/>
      <c r="AV63" s="98" t="s">
        <v>419</v>
      </c>
      <c r="AW63" s="99">
        <v>0.2</v>
      </c>
      <c r="BA63" s="48"/>
      <c r="BB63" s="49"/>
      <c r="BC63" s="49"/>
      <c r="BD63" s="49"/>
      <c r="BE63" s="49"/>
      <c r="BF63" s="49"/>
      <c r="BR63" s="32">
        <f>BR62+0.002</f>
        <v>0.01</v>
      </c>
      <c r="BS63" s="52">
        <f t="shared" si="16"/>
        <v>5.4579540890407267E-4</v>
      </c>
      <c r="BT63" s="52">
        <f t="shared" si="16"/>
        <v>5.4579540890407267E-4</v>
      </c>
      <c r="BU63" s="52">
        <f t="shared" si="17"/>
        <v>9.0213934370746846E-3</v>
      </c>
      <c r="BV63" s="52">
        <f t="shared" si="18"/>
        <v>5.4579540890407267E-4</v>
      </c>
      <c r="BW63" s="52">
        <f t="shared" si="18"/>
        <v>5.4579540890407267E-4</v>
      </c>
      <c r="BX63" s="52">
        <f t="shared" si="19"/>
        <v>9.0213934370746846E-3</v>
      </c>
      <c r="BY63" s="52">
        <f t="shared" si="20"/>
        <v>1.0266625501903326E-2</v>
      </c>
      <c r="BZ63" s="52">
        <f t="shared" si="21"/>
        <v>1.1656609753634155E-3</v>
      </c>
      <c r="CA63" s="52">
        <f t="shared" si="21"/>
        <v>1.1656609753634155E-3</v>
      </c>
      <c r="CB63" s="52">
        <f t="shared" si="22"/>
        <v>1.4582206639214819E-3</v>
      </c>
      <c r="CC63" s="52">
        <f t="shared" si="23"/>
        <v>1.3286912083695899E-4</v>
      </c>
      <c r="CD63" s="52">
        <f t="shared" si="23"/>
        <v>1.3286912083695899E-4</v>
      </c>
      <c r="CE63" s="52">
        <f t="shared" si="24"/>
        <v>1.6621685180901607E-4</v>
      </c>
      <c r="CF63" s="52">
        <f t="shared" si="25"/>
        <v>1.1656609753634155E-3</v>
      </c>
      <c r="CG63" s="52">
        <f t="shared" si="25"/>
        <v>1.1656609753634155E-3</v>
      </c>
      <c r="CH63" s="52">
        <f t="shared" si="26"/>
        <v>1.4582206639214819E-3</v>
      </c>
      <c r="CI63" s="70">
        <f t="shared" si="27"/>
        <v>3.850363433444854E-2</v>
      </c>
    </row>
    <row r="64" spans="1:90" ht="21" customHeight="1">
      <c r="A64" s="40" t="s">
        <v>296</v>
      </c>
      <c r="G64" s="48"/>
      <c r="H64" s="49"/>
      <c r="I64" s="49"/>
      <c r="J64" s="49"/>
      <c r="K64" s="49"/>
      <c r="L64" s="49"/>
      <c r="S64" s="11"/>
      <c r="T64" s="60"/>
      <c r="U64" s="11"/>
      <c r="V64" s="11"/>
      <c r="X64" s="40" t="s">
        <v>296</v>
      </c>
      <c r="AD64" s="48"/>
      <c r="AE64" s="49"/>
      <c r="AF64" s="49"/>
      <c r="AG64" s="49"/>
      <c r="AH64" s="49"/>
      <c r="AI64" s="49"/>
      <c r="AU64" s="40" t="s">
        <v>296</v>
      </c>
      <c r="BA64" s="48"/>
      <c r="BB64" s="49"/>
      <c r="BC64" s="49"/>
      <c r="BD64" s="49"/>
      <c r="BE64" s="49"/>
      <c r="BF64" s="49"/>
      <c r="BR64" s="32">
        <v>0.02</v>
      </c>
      <c r="BS64" s="52">
        <f t="shared" si="16"/>
        <v>5.4578624217971154E-4</v>
      </c>
      <c r="BT64" s="52">
        <f t="shared" si="16"/>
        <v>5.4578624217971154E-4</v>
      </c>
      <c r="BU64" s="52">
        <f t="shared" si="17"/>
        <v>9.0212419212765613E-3</v>
      </c>
      <c r="BV64" s="52">
        <f t="shared" si="18"/>
        <v>5.4578624217971154E-4</v>
      </c>
      <c r="BW64" s="52">
        <f t="shared" si="18"/>
        <v>5.4578624217971154E-4</v>
      </c>
      <c r="BX64" s="52">
        <f t="shared" si="19"/>
        <v>9.0212419212765613E-3</v>
      </c>
      <c r="BY64" s="52">
        <f t="shared" si="20"/>
        <v>1.0265289475580421E-2</v>
      </c>
      <c r="BZ64" s="52">
        <f t="shared" si="21"/>
        <v>1.1650534026628218E-3</v>
      </c>
      <c r="CA64" s="52">
        <f t="shared" si="21"/>
        <v>1.1650534026628218E-3</v>
      </c>
      <c r="CB64" s="52">
        <f t="shared" si="22"/>
        <v>1.4574606015315028E-3</v>
      </c>
      <c r="CC64" s="52">
        <f t="shared" si="23"/>
        <v>1.3286122310355241E-4</v>
      </c>
      <c r="CD64" s="52">
        <f t="shared" si="23"/>
        <v>1.3286122310355241E-4</v>
      </c>
      <c r="CE64" s="52">
        <f t="shared" si="24"/>
        <v>1.6620697188827151E-4</v>
      </c>
      <c r="CF64" s="52">
        <f t="shared" si="25"/>
        <v>1.1650534026628218E-3</v>
      </c>
      <c r="CG64" s="52">
        <f t="shared" si="25"/>
        <v>1.1650534026628218E-3</v>
      </c>
      <c r="CH64" s="52">
        <f t="shared" si="26"/>
        <v>1.4574606015315028E-3</v>
      </c>
      <c r="CI64" s="70">
        <f t="shared" si="27"/>
        <v>3.8497982518662058E-2</v>
      </c>
    </row>
    <row r="65" spans="1:87" ht="21" customHeight="1">
      <c r="A65" t="s">
        <v>275</v>
      </c>
      <c r="G65" s="48"/>
      <c r="H65" s="49"/>
      <c r="I65" s="49"/>
      <c r="J65" s="49"/>
      <c r="K65" s="49"/>
      <c r="L65" s="49"/>
      <c r="S65" s="11"/>
      <c r="T65" s="60"/>
      <c r="U65" s="11"/>
      <c r="V65" s="11"/>
      <c r="X65" t="s">
        <v>275</v>
      </c>
      <c r="AD65" s="48"/>
      <c r="AE65" s="49"/>
      <c r="AF65" s="49"/>
      <c r="AG65" s="49"/>
      <c r="AH65" s="49"/>
      <c r="AI65" s="49"/>
      <c r="AU65" t="s">
        <v>275</v>
      </c>
      <c r="BA65" s="48"/>
      <c r="BB65" s="49"/>
      <c r="BC65" s="49"/>
      <c r="BD65" s="49"/>
      <c r="BE65" s="49"/>
      <c r="BF65" s="49"/>
      <c r="BR65" s="32">
        <f>BR64+0.02</f>
        <v>0.04</v>
      </c>
      <c r="BS65" s="52">
        <f t="shared" si="16"/>
        <v>5.4576790965469787E-4</v>
      </c>
      <c r="BT65" s="52">
        <f t="shared" si="16"/>
        <v>5.4576790965469787E-4</v>
      </c>
      <c r="BU65" s="52">
        <f t="shared" si="17"/>
        <v>9.0209389049481989E-3</v>
      </c>
      <c r="BV65" s="52">
        <f t="shared" si="18"/>
        <v>5.4576790965469787E-4</v>
      </c>
      <c r="BW65" s="52">
        <f t="shared" si="18"/>
        <v>5.4576790965469787E-4</v>
      </c>
      <c r="BX65" s="52">
        <f t="shared" si="19"/>
        <v>9.0209389049481989E-3</v>
      </c>
      <c r="BY65" s="52">
        <f t="shared" si="20"/>
        <v>1.0262618465829508E-2</v>
      </c>
      <c r="BZ65" s="52">
        <f t="shared" si="21"/>
        <v>1.1638401553787352E-3</v>
      </c>
      <c r="CA65" s="52">
        <f t="shared" si="21"/>
        <v>1.1638401553787352E-3</v>
      </c>
      <c r="CB65" s="52">
        <f t="shared" si="22"/>
        <v>1.4559428512614895E-3</v>
      </c>
      <c r="CC65" s="52">
        <f t="shared" si="23"/>
        <v>1.3284543045304951E-4</v>
      </c>
      <c r="CD65" s="52">
        <f t="shared" si="23"/>
        <v>1.3284543045304951E-4</v>
      </c>
      <c r="CE65" s="52">
        <f t="shared" si="24"/>
        <v>1.6618721556993526E-4</v>
      </c>
      <c r="CF65" s="52">
        <f t="shared" si="25"/>
        <v>1.1638401553787352E-3</v>
      </c>
      <c r="CG65" s="52">
        <f t="shared" si="25"/>
        <v>1.1638401553787352E-3</v>
      </c>
      <c r="CH65" s="52">
        <f t="shared" si="26"/>
        <v>1.4559428512614895E-3</v>
      </c>
      <c r="CI65" s="70">
        <f t="shared" si="27"/>
        <v>3.8486692314858649E-2</v>
      </c>
    </row>
    <row r="66" spans="1:87" ht="21" customHeight="1">
      <c r="A66" s="32" t="s">
        <v>228</v>
      </c>
      <c r="B66" s="69">
        <f>'[1]MonoterpeneOO Rxns'!$I$64</f>
        <v>2.7</v>
      </c>
      <c r="G66" s="48"/>
      <c r="H66" s="49"/>
      <c r="I66" s="49"/>
      <c r="J66" s="49"/>
      <c r="K66" s="49"/>
      <c r="L66" s="49"/>
      <c r="S66" s="11"/>
      <c r="T66" s="60"/>
      <c r="U66" s="11"/>
      <c r="V66" s="11"/>
      <c r="X66" s="32" t="s">
        <v>228</v>
      </c>
      <c r="Y66" s="96">
        <f>'[1]MonoterpeneOO Rxns'!$I$64*Z$63</f>
        <v>13.5</v>
      </c>
      <c r="AD66" s="48"/>
      <c r="AE66" s="49"/>
      <c r="AF66" s="49"/>
      <c r="AG66" s="49"/>
      <c r="AH66" s="49"/>
      <c r="AI66" s="49"/>
      <c r="AU66" s="32" t="s">
        <v>228</v>
      </c>
      <c r="AV66" s="100">
        <f>'[1]MonoterpeneOO Rxns'!$I$64*AW$63</f>
        <v>0.54</v>
      </c>
      <c r="BA66" s="48"/>
      <c r="BB66" s="49"/>
      <c r="BC66" s="49"/>
      <c r="BD66" s="49"/>
      <c r="BE66" s="49"/>
      <c r="BF66" s="49"/>
      <c r="BR66" s="32">
        <f>BR65+0.02</f>
        <v>0.06</v>
      </c>
      <c r="BS66" s="52">
        <f t="shared" si="16"/>
        <v>5.457495783611927E-4</v>
      </c>
      <c r="BT66" s="52">
        <f t="shared" si="16"/>
        <v>5.457495783611927E-4</v>
      </c>
      <c r="BU66" s="52">
        <f t="shared" si="17"/>
        <v>9.020635908975309E-3</v>
      </c>
      <c r="BV66" s="52">
        <f t="shared" si="18"/>
        <v>5.457495783611927E-4</v>
      </c>
      <c r="BW66" s="52">
        <f t="shared" si="18"/>
        <v>5.457495783611927E-4</v>
      </c>
      <c r="BX66" s="52">
        <f t="shared" si="19"/>
        <v>9.020635908975309E-3</v>
      </c>
      <c r="BY66" s="52">
        <f t="shared" si="20"/>
        <v>1.0259948845700832E-2</v>
      </c>
      <c r="BZ66" s="52">
        <f t="shared" si="21"/>
        <v>1.1626294323355197E-3</v>
      </c>
      <c r="CA66" s="52">
        <f t="shared" si="21"/>
        <v>1.1626294323355197E-3</v>
      </c>
      <c r="CB66" s="52">
        <f t="shared" si="22"/>
        <v>1.4544282587708624E-3</v>
      </c>
      <c r="CC66" s="52">
        <f t="shared" si="23"/>
        <v>1.3282964155651128E-4</v>
      </c>
      <c r="CD66" s="52">
        <f t="shared" si="23"/>
        <v>1.3282964155651128E-4</v>
      </c>
      <c r="CE66" s="52">
        <f t="shared" si="24"/>
        <v>1.6616746394774049E-4</v>
      </c>
      <c r="CF66" s="52">
        <f t="shared" si="25"/>
        <v>1.1626294323355197E-3</v>
      </c>
      <c r="CG66" s="52">
        <f t="shared" si="25"/>
        <v>1.1626294323355197E-3</v>
      </c>
      <c r="CH66" s="52">
        <f t="shared" si="26"/>
        <v>1.4544282587708624E-3</v>
      </c>
      <c r="CI66" s="70">
        <f t="shared" si="27"/>
        <v>3.8475419971040786E-2</v>
      </c>
    </row>
    <row r="67" spans="1:87" ht="21" customHeight="1">
      <c r="A67" s="32" t="s">
        <v>229</v>
      </c>
      <c r="B67" s="69">
        <f>'[1]MonoterpeneOO Rxns'!$N$64</f>
        <v>1</v>
      </c>
      <c r="G67" s="48"/>
      <c r="H67" s="49"/>
      <c r="I67" s="49"/>
      <c r="J67" s="49"/>
      <c r="K67" s="49"/>
      <c r="L67" s="49"/>
      <c r="S67" s="11"/>
      <c r="T67" s="60"/>
      <c r="U67" s="11"/>
      <c r="V67" s="11"/>
      <c r="X67" s="32" t="s">
        <v>229</v>
      </c>
      <c r="Y67" s="69">
        <f>'[1]MonoterpeneOO Rxns'!$N$64</f>
        <v>1</v>
      </c>
      <c r="AD67" s="48"/>
      <c r="AE67" s="49"/>
      <c r="AF67" s="49"/>
      <c r="AG67" s="49"/>
      <c r="AH67" s="49"/>
      <c r="AI67" s="49"/>
      <c r="AU67" s="32" t="s">
        <v>229</v>
      </c>
      <c r="AV67" s="69">
        <f>'[1]MonoterpeneOO Rxns'!$N$64</f>
        <v>1</v>
      </c>
      <c r="BA67" s="48"/>
      <c r="BB67" s="49"/>
      <c r="BC67" s="49"/>
      <c r="BD67" s="49"/>
      <c r="BE67" s="49"/>
      <c r="BF67" s="49"/>
      <c r="BR67" s="32">
        <f t="shared" ref="BR67:BR68" si="29">BR66+0.02</f>
        <v>0.08</v>
      </c>
      <c r="BS67" s="52">
        <f t="shared" si="16"/>
        <v>5.4573124829907199E-4</v>
      </c>
      <c r="BT67" s="52">
        <f t="shared" si="16"/>
        <v>5.4573124829907199E-4</v>
      </c>
      <c r="BU67" s="52">
        <f t="shared" si="17"/>
        <v>9.0203329333558378E-3</v>
      </c>
      <c r="BV67" s="52">
        <f t="shared" si="18"/>
        <v>5.4573124829907199E-4</v>
      </c>
      <c r="BW67" s="52">
        <f t="shared" si="18"/>
        <v>5.4573124829907199E-4</v>
      </c>
      <c r="BX67" s="52">
        <f t="shared" si="19"/>
        <v>9.0203329333558378E-3</v>
      </c>
      <c r="BY67" s="52">
        <f t="shared" si="20"/>
        <v>1.025728061411022E-2</v>
      </c>
      <c r="BZ67" s="52">
        <f t="shared" si="21"/>
        <v>1.161421225663588E-3</v>
      </c>
      <c r="CA67" s="52">
        <f t="shared" si="21"/>
        <v>1.161421225663588E-3</v>
      </c>
      <c r="CB67" s="52">
        <f t="shared" si="22"/>
        <v>1.4529168142149104E-3</v>
      </c>
      <c r="CC67" s="52">
        <f t="shared" si="23"/>
        <v>1.3281385641259933E-4</v>
      </c>
      <c r="CD67" s="52">
        <f t="shared" si="23"/>
        <v>1.3281385641259933E-4</v>
      </c>
      <c r="CE67" s="52">
        <f t="shared" si="24"/>
        <v>1.661477170200129E-4</v>
      </c>
      <c r="CF67" s="52">
        <f t="shared" si="25"/>
        <v>1.161421225663588E-3</v>
      </c>
      <c r="CG67" s="52">
        <f t="shared" si="25"/>
        <v>1.161421225663588E-3</v>
      </c>
      <c r="CH67" s="52">
        <f t="shared" si="26"/>
        <v>1.4529168142149104E-3</v>
      </c>
      <c r="CI67" s="70">
        <f t="shared" si="27"/>
        <v>3.8464165434947559E-2</v>
      </c>
    </row>
    <row r="68" spans="1:87" ht="21" customHeight="1">
      <c r="A68" s="32" t="s">
        <v>267</v>
      </c>
      <c r="B68" s="69">
        <f>'[1]MonoterpeneOO Rxns'!$D$70</f>
        <v>6.1105187306895674</v>
      </c>
      <c r="G68" s="48"/>
      <c r="H68" s="49"/>
      <c r="I68" s="49"/>
      <c r="J68" s="49"/>
      <c r="K68" s="49"/>
      <c r="L68" s="49"/>
      <c r="S68" s="11"/>
      <c r="T68" s="60"/>
      <c r="U68" s="11"/>
      <c r="V68" s="11"/>
      <c r="X68" s="32" t="s">
        <v>267</v>
      </c>
      <c r="Y68" s="69">
        <f>'[1]MonoterpeneOO Rxns'!$D$70</f>
        <v>6.1105187306895674</v>
      </c>
      <c r="AD68" s="48"/>
      <c r="AE68" s="49"/>
      <c r="AF68" s="49"/>
      <c r="AG68" s="49"/>
      <c r="AH68" s="49"/>
      <c r="AI68" s="49"/>
      <c r="AU68" s="32" t="s">
        <v>267</v>
      </c>
      <c r="AV68" s="69">
        <f>'[1]MonoterpeneOO Rxns'!$D$70</f>
        <v>6.1105187306895674</v>
      </c>
      <c r="BA68" s="48"/>
      <c r="BB68" s="49"/>
      <c r="BC68" s="49"/>
      <c r="BD68" s="49"/>
      <c r="BE68" s="49"/>
      <c r="BF68" s="49"/>
      <c r="BR68" s="32">
        <f t="shared" si="29"/>
        <v>0.1</v>
      </c>
      <c r="BS68" s="52">
        <f t="shared" si="16"/>
        <v>5.4571291946821138E-4</v>
      </c>
      <c r="BT68" s="52">
        <f t="shared" si="16"/>
        <v>5.4571291946821138E-4</v>
      </c>
      <c r="BU68" s="52">
        <f t="shared" si="17"/>
        <v>9.0200299780877329E-3</v>
      </c>
      <c r="BV68" s="52">
        <f t="shared" si="18"/>
        <v>5.4571291946821138E-4</v>
      </c>
      <c r="BW68" s="52">
        <f t="shared" si="18"/>
        <v>5.4571291946821138E-4</v>
      </c>
      <c r="BX68" s="52">
        <f t="shared" si="19"/>
        <v>9.0200299780877329E-3</v>
      </c>
      <c r="BY68" s="52">
        <f t="shared" si="20"/>
        <v>1.0254613769974634E-2</v>
      </c>
      <c r="BZ68" s="52">
        <f t="shared" si="21"/>
        <v>1.1602155275260314E-3</v>
      </c>
      <c r="CA68" s="52">
        <f t="shared" si="21"/>
        <v>1.1602155275260314E-3</v>
      </c>
      <c r="CB68" s="52">
        <f t="shared" si="22"/>
        <v>1.4514085077898039E-3</v>
      </c>
      <c r="CC68" s="52">
        <f t="shared" si="23"/>
        <v>1.3279807501997601E-4</v>
      </c>
      <c r="CD68" s="52">
        <f t="shared" si="23"/>
        <v>1.3279807501997601E-4</v>
      </c>
      <c r="CE68" s="52">
        <f t="shared" si="24"/>
        <v>1.6612797478507912E-4</v>
      </c>
      <c r="CF68" s="52">
        <f t="shared" si="25"/>
        <v>1.1602155275260314E-3</v>
      </c>
      <c r="CG68" s="52">
        <f t="shared" si="25"/>
        <v>1.1602155275260314E-3</v>
      </c>
      <c r="CH68" s="52">
        <f t="shared" si="26"/>
        <v>1.4514085077898039E-3</v>
      </c>
      <c r="CI68" s="70">
        <f t="shared" si="27"/>
        <v>3.8452928654531697E-2</v>
      </c>
    </row>
    <row r="69" spans="1:87" ht="21" customHeight="1">
      <c r="A69" s="71" t="s">
        <v>329</v>
      </c>
      <c r="G69" s="48"/>
      <c r="H69" s="49"/>
      <c r="I69" s="49"/>
      <c r="J69" s="49"/>
      <c r="K69" s="49"/>
      <c r="L69" s="49"/>
      <c r="S69" s="11"/>
      <c r="T69" s="60"/>
      <c r="U69" s="11"/>
      <c r="V69" s="11"/>
      <c r="X69" s="71" t="s">
        <v>329</v>
      </c>
      <c r="AD69" s="48"/>
      <c r="AE69" s="49"/>
      <c r="AF69" s="49"/>
      <c r="AG69" s="49"/>
      <c r="AH69" s="49"/>
      <c r="AI69" s="49"/>
      <c r="AU69" s="71" t="s">
        <v>329</v>
      </c>
      <c r="BA69" s="48"/>
      <c r="BB69" s="49"/>
      <c r="BC69" s="49"/>
      <c r="BD69" s="49"/>
      <c r="BE69" s="49"/>
      <c r="BF69" s="49"/>
      <c r="BR69" s="32">
        <v>0.2</v>
      </c>
      <c r="BS69" s="52">
        <f t="shared" si="16"/>
        <v>5.4562129377847208E-4</v>
      </c>
      <c r="BT69" s="52">
        <f t="shared" si="16"/>
        <v>5.4562129377847208E-4</v>
      </c>
      <c r="BU69" s="52">
        <f t="shared" si="17"/>
        <v>9.0185155069459882E-3</v>
      </c>
      <c r="BV69" s="52">
        <f t="shared" si="18"/>
        <v>5.4562129377847208E-4</v>
      </c>
      <c r="BW69" s="52">
        <f t="shared" si="18"/>
        <v>5.4562129377847208E-4</v>
      </c>
      <c r="BX69" s="52">
        <f t="shared" si="19"/>
        <v>9.0185155069459882E-3</v>
      </c>
      <c r="BY69" s="52">
        <f t="shared" si="20"/>
        <v>1.0241300323294436E-2</v>
      </c>
      <c r="BZ69" s="52">
        <f t="shared" si="21"/>
        <v>1.1542243928282807E-3</v>
      </c>
      <c r="CA69" s="52">
        <f t="shared" si="21"/>
        <v>1.1542243928282807E-3</v>
      </c>
      <c r="CB69" s="52">
        <f t="shared" si="22"/>
        <v>1.4439137073278827E-3</v>
      </c>
      <c r="CC69" s="52">
        <f t="shared" si="23"/>
        <v>1.3271922427941367E-4</v>
      </c>
      <c r="CD69" s="52">
        <f t="shared" si="23"/>
        <v>1.3271922427941367E-4</v>
      </c>
      <c r="CE69" s="52">
        <f t="shared" si="24"/>
        <v>1.6602933394380218E-4</v>
      </c>
      <c r="CF69" s="52">
        <f t="shared" si="25"/>
        <v>1.1542243928282807E-3</v>
      </c>
      <c r="CG69" s="52">
        <f t="shared" si="25"/>
        <v>1.1542243928282807E-3</v>
      </c>
      <c r="CH69" s="52">
        <f t="shared" si="26"/>
        <v>1.4439137073278827E-3</v>
      </c>
      <c r="CI69" s="70">
        <f t="shared" si="27"/>
        <v>3.8397009280771804E-2</v>
      </c>
    </row>
    <row r="70" spans="1:87" ht="21" customHeight="1">
      <c r="A70" s="43" t="s">
        <v>230</v>
      </c>
      <c r="G70" s="71"/>
      <c r="H70" s="49"/>
      <c r="I70" s="49"/>
      <c r="J70" s="49"/>
      <c r="K70" s="49"/>
      <c r="L70" s="49"/>
      <c r="S70" s="11"/>
      <c r="T70" s="60"/>
      <c r="U70" s="11"/>
      <c r="V70" s="11"/>
      <c r="X70" s="43" t="s">
        <v>230</v>
      </c>
      <c r="AD70" s="71"/>
      <c r="AE70" s="49"/>
      <c r="AF70" s="49"/>
      <c r="AG70" s="49"/>
      <c r="AH70" s="49"/>
      <c r="AI70" s="49"/>
      <c r="AU70" s="43" t="s">
        <v>230</v>
      </c>
      <c r="BA70" s="71"/>
      <c r="BB70" s="49"/>
      <c r="BC70" s="49"/>
      <c r="BD70" s="49"/>
      <c r="BE70" s="49"/>
      <c r="BF70" s="49"/>
      <c r="BR70" s="32">
        <f>BR69+0.2</f>
        <v>0.4</v>
      </c>
      <c r="BS70" s="52">
        <f t="shared" si="16"/>
        <v>5.454381346722217E-4</v>
      </c>
      <c r="BT70" s="52">
        <f t="shared" si="16"/>
        <v>5.454381346722217E-4</v>
      </c>
      <c r="BU70" s="52">
        <f t="shared" si="17"/>
        <v>9.0154880898367356E-3</v>
      </c>
      <c r="BV70" s="52">
        <f t="shared" si="18"/>
        <v>5.454381346722217E-4</v>
      </c>
      <c r="BW70" s="52">
        <f t="shared" si="18"/>
        <v>5.454381346722217E-4</v>
      </c>
      <c r="BX70" s="52">
        <f t="shared" si="19"/>
        <v>9.0154880898367356E-3</v>
      </c>
      <c r="BY70" s="52">
        <f t="shared" si="20"/>
        <v>1.0214776869510047E-2</v>
      </c>
      <c r="BZ70" s="52">
        <f t="shared" si="21"/>
        <v>1.1424258485433062E-3</v>
      </c>
      <c r="CA70" s="52">
        <f t="shared" si="21"/>
        <v>1.1424258485433062E-3</v>
      </c>
      <c r="CB70" s="52">
        <f t="shared" si="22"/>
        <v>1.429153943173319E-3</v>
      </c>
      <c r="CC70" s="52">
        <f t="shared" si="23"/>
        <v>1.3256180337756655E-4</v>
      </c>
      <c r="CD70" s="52">
        <f t="shared" si="23"/>
        <v>1.3256180337756655E-4</v>
      </c>
      <c r="CE70" s="52">
        <f t="shared" si="24"/>
        <v>1.6583240326081776E-4</v>
      </c>
      <c r="CF70" s="52">
        <f t="shared" si="25"/>
        <v>1.1424258485433062E-3</v>
      </c>
      <c r="CG70" s="52">
        <f t="shared" si="25"/>
        <v>1.1424258485433062E-3</v>
      </c>
      <c r="CH70" s="52">
        <f t="shared" si="26"/>
        <v>1.429153943173319E-3</v>
      </c>
      <c r="CI70" s="70">
        <f t="shared" si="27"/>
        <v>3.828647287840823E-2</v>
      </c>
    </row>
    <row r="71" spans="1:87" ht="21" customHeight="1">
      <c r="A71" s="15" t="s">
        <v>330</v>
      </c>
      <c r="B71" s="52">
        <f>B$61*(0.33*$B$66)/($B$66+$B$67+$B$68+($B$7*$B$6*$B$4)+($B$9*$B$8*$B$5))</f>
        <v>1.027821898074063E-2</v>
      </c>
      <c r="G71" s="43"/>
      <c r="H71" s="49"/>
      <c r="I71" s="49"/>
      <c r="J71" s="49"/>
      <c r="K71" s="49"/>
      <c r="L71" s="49"/>
      <c r="S71" s="11"/>
      <c r="T71" s="60"/>
      <c r="U71" s="11"/>
      <c r="V71" s="11"/>
      <c r="X71" s="15" t="s">
        <v>330</v>
      </c>
      <c r="Y71" s="95">
        <f>Y$61*(0.33*Y$66)/(Y$66+Y$67+Y$68+($B$7*$B$6*$B$4)+($B$9*$B$8*$B$5))</f>
        <v>4.078143666346537E-2</v>
      </c>
      <c r="AD71" s="43"/>
      <c r="AE71" s="49"/>
      <c r="AF71" s="49"/>
      <c r="AG71" s="49"/>
      <c r="AH71" s="49"/>
      <c r="AI71" s="49"/>
      <c r="AU71" s="15" t="s">
        <v>330</v>
      </c>
      <c r="AV71" s="101">
        <f>AV$61*(0.33*AV$66)/(AV$66+AV$67+AV$68+($B$7*$B$6*$B$4)+($B$9*$B$8*$B$5))</f>
        <v>1.908875261723036E-3</v>
      </c>
      <c r="BA71" s="43"/>
      <c r="BB71" s="49"/>
      <c r="BC71" s="49"/>
      <c r="BD71" s="49"/>
      <c r="BE71" s="49"/>
      <c r="BF71" s="49"/>
      <c r="BR71" s="32">
        <f t="shared" ref="BR71:BR73" si="30">BR70+0.2</f>
        <v>0.60000000000000009</v>
      </c>
      <c r="BS71" s="52">
        <f t="shared" si="16"/>
        <v>5.4525509849372709E-4</v>
      </c>
      <c r="BT71" s="52">
        <f t="shared" si="16"/>
        <v>5.4525509849372709E-4</v>
      </c>
      <c r="BU71" s="52">
        <f t="shared" si="17"/>
        <v>9.0124627045870959E-3</v>
      </c>
      <c r="BV71" s="52">
        <f t="shared" si="18"/>
        <v>5.4525509849372709E-4</v>
      </c>
      <c r="BW71" s="52">
        <f t="shared" si="18"/>
        <v>5.4525509849372709E-4</v>
      </c>
      <c r="BX71" s="52">
        <f t="shared" si="19"/>
        <v>9.0124627045870959E-3</v>
      </c>
      <c r="BY71" s="52">
        <f t="shared" si="20"/>
        <v>1.0188390444489676E-2</v>
      </c>
      <c r="BZ71" s="52">
        <f t="shared" si="21"/>
        <v>1.1308660742564403E-3</v>
      </c>
      <c r="CA71" s="52">
        <f t="shared" si="21"/>
        <v>1.1308660742564403E-3</v>
      </c>
      <c r="CB71" s="52">
        <f t="shared" si="22"/>
        <v>1.4146928759405241E-3</v>
      </c>
      <c r="CC71" s="52">
        <f t="shared" si="23"/>
        <v>1.3240475547340169E-4</v>
      </c>
      <c r="CD71" s="52">
        <f t="shared" si="23"/>
        <v>1.3240475547340169E-4</v>
      </c>
      <c r="CE71" s="52">
        <f t="shared" si="24"/>
        <v>1.6563593919114485E-4</v>
      </c>
      <c r="CF71" s="52">
        <f t="shared" si="25"/>
        <v>1.1308660742564403E-3</v>
      </c>
      <c r="CG71" s="52">
        <f t="shared" si="25"/>
        <v>1.1308660742564403E-3</v>
      </c>
      <c r="CH71" s="52">
        <f t="shared" si="26"/>
        <v>1.4146928759405241E-3</v>
      </c>
      <c r="CI71" s="70">
        <f t="shared" si="27"/>
        <v>3.8177631746683538E-2</v>
      </c>
    </row>
    <row r="72" spans="1:87" ht="21" customHeight="1">
      <c r="A72" s="15" t="s">
        <v>331</v>
      </c>
      <c r="B72" s="52">
        <f>B$61*(0.33*$B$66)/($B$66+$B$67+$B$68+($B$7*$B$6*$B$4)+($B$9*$B$8*$B$5))</f>
        <v>1.027821898074063E-2</v>
      </c>
      <c r="C72" t="s">
        <v>288</v>
      </c>
      <c r="G72" s="15"/>
      <c r="H72" s="52"/>
      <c r="I72" s="49"/>
      <c r="J72" s="49"/>
      <c r="K72" s="49"/>
      <c r="L72" s="49"/>
      <c r="S72" s="11"/>
      <c r="T72" s="60"/>
      <c r="U72" s="11"/>
      <c r="V72" s="11"/>
      <c r="X72" s="15" t="s">
        <v>331</v>
      </c>
      <c r="Y72" s="95">
        <f>Y$61*(0.33*Y$66)/(Y$66+Y$67+Y$68+($B$7*$B$6*$B$4)+($B$9*$B$8*$B$5))</f>
        <v>4.078143666346537E-2</v>
      </c>
      <c r="Z72" t="s">
        <v>288</v>
      </c>
      <c r="AD72" s="15"/>
      <c r="AE72" s="52"/>
      <c r="AF72" s="49"/>
      <c r="AG72" s="49"/>
      <c r="AH72" s="49"/>
      <c r="AI72" s="49"/>
      <c r="AU72" s="15" t="s">
        <v>331</v>
      </c>
      <c r="AV72" s="101">
        <f>AV$61*(0.33*AV$66)/(AV$66+AV$67+AV$68+($B$7*$B$6*$B$4)+($B$9*$B$8*$B$5))</f>
        <v>1.908875261723036E-3</v>
      </c>
      <c r="AW72" t="s">
        <v>288</v>
      </c>
      <c r="BA72" s="15"/>
      <c r="BB72" s="52"/>
      <c r="BC72" s="49"/>
      <c r="BD72" s="49"/>
      <c r="BE72" s="49"/>
      <c r="BF72" s="49"/>
      <c r="BR72" s="32">
        <f t="shared" si="30"/>
        <v>0.8</v>
      </c>
      <c r="BS72" s="52">
        <f t="shared" si="16"/>
        <v>5.4507218511927447E-4</v>
      </c>
      <c r="BT72" s="52">
        <f t="shared" si="16"/>
        <v>5.4507218511927447E-4</v>
      </c>
      <c r="BU72" s="52">
        <f t="shared" si="17"/>
        <v>9.0094393491522221E-3</v>
      </c>
      <c r="BV72" s="52">
        <f t="shared" si="18"/>
        <v>5.4507218511927447E-4</v>
      </c>
      <c r="BW72" s="52">
        <f t="shared" si="18"/>
        <v>5.4507218511927447E-4</v>
      </c>
      <c r="BX72" s="52">
        <f t="shared" si="19"/>
        <v>9.0094393491522221E-3</v>
      </c>
      <c r="BY72" s="52">
        <f t="shared" si="20"/>
        <v>1.0162139989066768E-2</v>
      </c>
      <c r="BZ72" s="52">
        <f t="shared" si="21"/>
        <v>1.1195378945040636E-3</v>
      </c>
      <c r="CA72" s="52">
        <f t="shared" si="21"/>
        <v>1.1195378945040636E-3</v>
      </c>
      <c r="CB72" s="52">
        <f t="shared" si="22"/>
        <v>1.4005215292551098E-3</v>
      </c>
      <c r="CC72" s="52">
        <f t="shared" si="23"/>
        <v>1.3224807924280035E-4</v>
      </c>
      <c r="CD72" s="52">
        <f t="shared" si="23"/>
        <v>1.3224807924280035E-4</v>
      </c>
      <c r="CE72" s="52">
        <f t="shared" si="24"/>
        <v>1.6543994007833511E-4</v>
      </c>
      <c r="CF72" s="52">
        <f t="shared" si="25"/>
        <v>1.1195378945040636E-3</v>
      </c>
      <c r="CG72" s="52">
        <f t="shared" si="25"/>
        <v>1.1195378945040636E-3</v>
      </c>
      <c r="CH72" s="52">
        <f t="shared" si="26"/>
        <v>1.4005215292551098E-3</v>
      </c>
      <c r="CI72" s="70">
        <f t="shared" si="27"/>
        <v>3.8070438162938723E-2</v>
      </c>
    </row>
    <row r="73" spans="1:87" ht="21" customHeight="1">
      <c r="A73" s="15" t="s">
        <v>332</v>
      </c>
      <c r="B73" s="52">
        <f>B$61*(0.33*$B$66)/($B$66+$B$67+$B$68+($B$7*$B$6*$B$4)+($B$9*$B$8*$B$5))</f>
        <v>1.027821898074063E-2</v>
      </c>
      <c r="G73" s="15"/>
      <c r="H73" s="52"/>
      <c r="I73" s="49"/>
      <c r="J73" s="49"/>
      <c r="K73" s="49"/>
      <c r="L73" s="49"/>
      <c r="S73" s="11"/>
      <c r="T73" s="60"/>
      <c r="U73" s="11"/>
      <c r="V73" s="11"/>
      <c r="X73" s="15" t="s">
        <v>332</v>
      </c>
      <c r="Y73" s="95">
        <f>Y$61*(0.33*Y$66)/(Y$66+Y$67+Y$68+($B$7*$B$6*$B$4)+($B$9*$B$8*$B$5))</f>
        <v>4.078143666346537E-2</v>
      </c>
      <c r="AD73" s="15"/>
      <c r="AE73" s="52"/>
      <c r="AF73" s="49"/>
      <c r="AG73" s="49"/>
      <c r="AH73" s="49"/>
      <c r="AI73" s="49"/>
      <c r="AU73" s="15" t="s">
        <v>332</v>
      </c>
      <c r="AV73" s="101">
        <f>AV$61*(0.33*AV$66)/(AV$66+AV$67+AV$68+($B$7*$B$6*$B$4)+($B$9*$B$8*$B$5))</f>
        <v>1.908875261723036E-3</v>
      </c>
      <c r="BA73" s="15"/>
      <c r="BB73" s="52"/>
      <c r="BC73" s="49"/>
      <c r="BD73" s="49"/>
      <c r="BE73" s="49"/>
      <c r="BF73" s="49"/>
      <c r="BR73" s="32">
        <f t="shared" si="30"/>
        <v>1</v>
      </c>
      <c r="BS73" s="52">
        <f t="shared" si="16"/>
        <v>5.4488939442531663E-4</v>
      </c>
      <c r="BT73" s="52">
        <f t="shared" si="16"/>
        <v>5.4488939442531663E-4</v>
      </c>
      <c r="BU73" s="52">
        <f t="shared" si="17"/>
        <v>9.0064180214900116E-3</v>
      </c>
      <c r="BV73" s="52">
        <f t="shared" si="18"/>
        <v>5.4488939442531663E-4</v>
      </c>
      <c r="BW73" s="52">
        <f t="shared" si="18"/>
        <v>5.4488939442531663E-4</v>
      </c>
      <c r="BX73" s="52">
        <f t="shared" si="19"/>
        <v>9.0064180214900116E-3</v>
      </c>
      <c r="BY73" s="52">
        <f t="shared" si="20"/>
        <v>1.0136024454962516E-2</v>
      </c>
      <c r="BZ73" s="52">
        <f t="shared" si="21"/>
        <v>1.1084344184849649E-3</v>
      </c>
      <c r="CA73" s="52">
        <f t="shared" si="21"/>
        <v>1.1084344184849649E-3</v>
      </c>
      <c r="CB73" s="52">
        <f t="shared" si="22"/>
        <v>1.386631282850182E-3</v>
      </c>
      <c r="CC73" s="52">
        <f t="shared" si="23"/>
        <v>1.3209177336790385E-4</v>
      </c>
      <c r="CD73" s="52">
        <f t="shared" si="23"/>
        <v>1.3209177336790385E-4</v>
      </c>
      <c r="CE73" s="52">
        <f t="shared" si="24"/>
        <v>1.6524440427377122E-4</v>
      </c>
      <c r="CF73" s="52">
        <f t="shared" si="25"/>
        <v>1.1084344184849649E-3</v>
      </c>
      <c r="CG73" s="52">
        <f t="shared" si="25"/>
        <v>1.1084344184849649E-3</v>
      </c>
      <c r="CH73" s="52">
        <f t="shared" si="26"/>
        <v>1.386631282850182E-3</v>
      </c>
      <c r="CI73" s="70">
        <f t="shared" si="27"/>
        <v>3.7964846266293616E-2</v>
      </c>
    </row>
    <row r="74" spans="1:87" ht="21" customHeight="1">
      <c r="A74" s="42" t="s">
        <v>205</v>
      </c>
      <c r="G74" s="15"/>
      <c r="H74" s="52"/>
      <c r="I74" s="49"/>
      <c r="J74" s="49"/>
      <c r="K74" s="49"/>
      <c r="L74" s="49"/>
      <c r="S74" s="11"/>
      <c r="T74" s="60"/>
      <c r="U74" s="11"/>
      <c r="V74" s="11"/>
      <c r="X74" s="42" t="s">
        <v>205</v>
      </c>
      <c r="AD74" s="15"/>
      <c r="AE74" s="52"/>
      <c r="AF74" s="49"/>
      <c r="AG74" s="49"/>
      <c r="AH74" s="49"/>
      <c r="AI74" s="49"/>
      <c r="AU74" s="42" t="s">
        <v>205</v>
      </c>
      <c r="BA74" s="15"/>
      <c r="BB74" s="52"/>
      <c r="BC74" s="49"/>
      <c r="BD74" s="49"/>
      <c r="BE74" s="49"/>
      <c r="BF74" s="49"/>
      <c r="BR74" s="32">
        <v>2</v>
      </c>
      <c r="BS74" s="52">
        <f t="shared" si="16"/>
        <v>5.4397727685036616E-4</v>
      </c>
      <c r="BT74" s="52">
        <f t="shared" si="16"/>
        <v>5.4397727685036616E-4</v>
      </c>
      <c r="BU74" s="52">
        <f t="shared" si="17"/>
        <v>8.9913417284867014E-3</v>
      </c>
      <c r="BV74" s="52">
        <f t="shared" si="18"/>
        <v>5.4397727685036616E-4</v>
      </c>
      <c r="BW74" s="52">
        <f t="shared" si="18"/>
        <v>5.4397727685036616E-4</v>
      </c>
      <c r="BX74" s="52">
        <f t="shared" si="19"/>
        <v>8.9913417284867014E-3</v>
      </c>
      <c r="BY74" s="52">
        <f t="shared" si="20"/>
        <v>1.0007434659201181E-2</v>
      </c>
      <c r="BZ74" s="52">
        <f t="shared" si="21"/>
        <v>1.0560646480986919E-3</v>
      </c>
      <c r="CA74" s="52">
        <f t="shared" si="21"/>
        <v>1.0560646480986919E-3</v>
      </c>
      <c r="CB74" s="52">
        <f t="shared" si="22"/>
        <v>1.321117653281964E-3</v>
      </c>
      <c r="CC74" s="52">
        <f t="shared" si="23"/>
        <v>1.3131575363750308E-4</v>
      </c>
      <c r="CD74" s="52">
        <f t="shared" si="23"/>
        <v>1.3131575363750308E-4</v>
      </c>
      <c r="CE74" s="52">
        <f t="shared" si="24"/>
        <v>1.6427361771541673E-4</v>
      </c>
      <c r="CF74" s="52">
        <f t="shared" si="25"/>
        <v>1.0560646480986919E-3</v>
      </c>
      <c r="CG74" s="52">
        <f t="shared" si="25"/>
        <v>1.0560646480986919E-3</v>
      </c>
      <c r="CH74" s="52">
        <f t="shared" si="26"/>
        <v>1.321117653281964E-3</v>
      </c>
      <c r="CI74" s="70">
        <f t="shared" si="27"/>
        <v>3.7459426247525192E-2</v>
      </c>
    </row>
    <row r="75" spans="1:87" ht="21" customHeight="1">
      <c r="A75" s="15" t="s">
        <v>333</v>
      </c>
      <c r="B75" s="52">
        <f>B$61*(0.33*$B$67)/($B$66+$B$67+$B$68+($B$7*$B$6*$B$4)+($B$9*$B$8*$B$5))</f>
        <v>3.8067477706446775E-3</v>
      </c>
      <c r="G75" s="44"/>
      <c r="H75" s="49"/>
      <c r="I75" s="49"/>
      <c r="J75" s="49"/>
      <c r="K75" s="49"/>
      <c r="L75" s="49"/>
      <c r="S75" s="11"/>
      <c r="T75" s="60"/>
      <c r="U75" s="11"/>
      <c r="V75" s="11"/>
      <c r="X75" s="15" t="s">
        <v>333</v>
      </c>
      <c r="Y75" s="52">
        <f>Y$61*(0.33*Y$67)/(Y$66+Y$67+Y$68+($B$7*$B$6*$B$4)+($B$9*$B$8*$B$5))</f>
        <v>3.0208471602566943E-3</v>
      </c>
      <c r="AD75" s="44"/>
      <c r="AE75" s="49"/>
      <c r="AF75" s="49"/>
      <c r="AG75" s="49"/>
      <c r="AH75" s="49"/>
      <c r="AI75" s="49"/>
      <c r="AU75" s="15" t="s">
        <v>333</v>
      </c>
      <c r="AV75" s="52">
        <f>AV$61*(0.33*AV$67)/(AV$66+AV$67+AV$68+($B$7*$B$6*$B$4)+($B$9*$B$8*$B$5))</f>
        <v>3.5349541883759922E-3</v>
      </c>
      <c r="BA75" s="44"/>
      <c r="BB75" s="49"/>
      <c r="BC75" s="49"/>
      <c r="BD75" s="49"/>
      <c r="BE75" s="49"/>
      <c r="BF75" s="49"/>
      <c r="BR75" s="32">
        <f>BR74+2</f>
        <v>4</v>
      </c>
      <c r="BS75" s="52">
        <f t="shared" si="16"/>
        <v>5.4216217216759312E-4</v>
      </c>
      <c r="BT75" s="52">
        <f t="shared" si="16"/>
        <v>5.4216217216759312E-4</v>
      </c>
      <c r="BU75" s="52">
        <f t="shared" si="17"/>
        <v>8.9613400589863088E-3</v>
      </c>
      <c r="BV75" s="52">
        <f t="shared" si="18"/>
        <v>5.4216217216759312E-4</v>
      </c>
      <c r="BW75" s="52">
        <f t="shared" si="18"/>
        <v>5.4216217216759312E-4</v>
      </c>
      <c r="BX75" s="52">
        <f t="shared" si="19"/>
        <v>8.9613400589863088E-3</v>
      </c>
      <c r="BY75" s="52">
        <f t="shared" si="20"/>
        <v>9.7598009221618685E-3</v>
      </c>
      <c r="BZ75" s="52">
        <f t="shared" si="21"/>
        <v>9.6488916133200095E-4</v>
      </c>
      <c r="CA75" s="52">
        <f t="shared" si="21"/>
        <v>9.6488916133200095E-4</v>
      </c>
      <c r="CB75" s="52">
        <f t="shared" si="22"/>
        <v>1.2070587788267756E-3</v>
      </c>
      <c r="CC75" s="52">
        <f t="shared" si="23"/>
        <v>1.2979075051796829E-4</v>
      </c>
      <c r="CD75" s="52">
        <f t="shared" si="23"/>
        <v>1.2979075051796829E-4</v>
      </c>
      <c r="CE75" s="52">
        <f t="shared" si="24"/>
        <v>1.6236586656954256E-4</v>
      </c>
      <c r="CF75" s="52">
        <f t="shared" si="25"/>
        <v>9.6488916133200095E-4</v>
      </c>
      <c r="CG75" s="52">
        <f t="shared" si="25"/>
        <v>9.6488916133200095E-4</v>
      </c>
      <c r="CH75" s="52">
        <f t="shared" si="26"/>
        <v>1.2070587788267756E-3</v>
      </c>
      <c r="CI75" s="70">
        <f t="shared" si="27"/>
        <v>3.6546751299391889E-2</v>
      </c>
    </row>
    <row r="76" spans="1:87" ht="21" customHeight="1">
      <c r="A76" s="15" t="s">
        <v>334</v>
      </c>
      <c r="B76" s="52">
        <f>B$61*(0.33*$B$67)/($B$66+$B$67+$B$68+($B$7*$B$6*$B$4)+($B$9*$B$8*$B$5))</f>
        <v>3.8067477706446775E-3</v>
      </c>
      <c r="C76" t="s">
        <v>336</v>
      </c>
      <c r="G76" s="1"/>
      <c r="H76" s="70"/>
      <c r="I76" s="49"/>
      <c r="J76" s="49"/>
      <c r="K76" s="49"/>
      <c r="L76" s="49"/>
      <c r="S76" s="11"/>
      <c r="T76" s="60"/>
      <c r="U76" s="11"/>
      <c r="V76" s="11"/>
      <c r="X76" s="15" t="s">
        <v>334</v>
      </c>
      <c r="Y76" s="52">
        <f>Y$61*(0.33*Y$67)/(Y$66+Y$67+Y$68+($B$7*$B$6*$B$4)+($B$9*$B$8*$B$5))</f>
        <v>3.0208471602566943E-3</v>
      </c>
      <c r="Z76" t="s">
        <v>336</v>
      </c>
      <c r="AD76" s="1"/>
      <c r="AE76" s="70"/>
      <c r="AF76" s="49"/>
      <c r="AG76" s="49"/>
      <c r="AH76" s="49"/>
      <c r="AI76" s="49"/>
      <c r="AU76" s="15" t="s">
        <v>334</v>
      </c>
      <c r="AV76" s="52">
        <f>AV$61*(0.33*AV$67)/(AV$66+AV$67+AV$68+($B$7*$B$6*$B$4)+($B$9*$B$8*$B$5))</f>
        <v>3.5349541883759922E-3</v>
      </c>
      <c r="AW76" t="s">
        <v>336</v>
      </c>
      <c r="BA76" s="1"/>
      <c r="BB76" s="70"/>
      <c r="BC76" s="49"/>
      <c r="BD76" s="49"/>
      <c r="BE76" s="49"/>
      <c r="BF76" s="49"/>
      <c r="BR76" s="32">
        <f t="shared" ref="BR76:BR78" si="31">BR75+2</f>
        <v>6</v>
      </c>
      <c r="BS76" s="52">
        <f t="shared" si="16"/>
        <v>5.403591402257412E-4</v>
      </c>
      <c r="BT76" s="52">
        <f t="shared" si="16"/>
        <v>5.403591402257412E-4</v>
      </c>
      <c r="BU76" s="52">
        <f t="shared" si="17"/>
        <v>8.9315379385182751E-3</v>
      </c>
      <c r="BV76" s="52">
        <f t="shared" si="18"/>
        <v>5.403591402257412E-4</v>
      </c>
      <c r="BW76" s="52">
        <f t="shared" si="18"/>
        <v>5.403591402257412E-4</v>
      </c>
      <c r="BX76" s="52">
        <f t="shared" si="19"/>
        <v>8.9315379385182751E-3</v>
      </c>
      <c r="BY76" s="52">
        <f t="shared" si="20"/>
        <v>9.524126630998617E-3</v>
      </c>
      <c r="BZ76" s="52">
        <f t="shared" si="21"/>
        <v>8.8820579201222716E-4</v>
      </c>
      <c r="CA76" s="52">
        <f t="shared" si="21"/>
        <v>8.8820579201222716E-4</v>
      </c>
      <c r="CB76" s="52">
        <f t="shared" si="22"/>
        <v>1.111129279525871E-3</v>
      </c>
      <c r="CC76" s="52">
        <f t="shared" si="23"/>
        <v>1.2830076126874504E-4</v>
      </c>
      <c r="CD76" s="52">
        <f t="shared" si="23"/>
        <v>1.2830076126874504E-4</v>
      </c>
      <c r="CE76" s="52">
        <f t="shared" si="24"/>
        <v>1.605019171381388E-4</v>
      </c>
      <c r="CF76" s="52">
        <f t="shared" si="25"/>
        <v>8.8820579201222716E-4</v>
      </c>
      <c r="CG76" s="52">
        <f t="shared" si="25"/>
        <v>8.8820579201222716E-4</v>
      </c>
      <c r="CH76" s="52">
        <f t="shared" si="26"/>
        <v>1.111129279525871E-3</v>
      </c>
      <c r="CI76" s="70">
        <f t="shared" si="27"/>
        <v>3.5740824235714418E-2</v>
      </c>
    </row>
    <row r="77" spans="1:87" ht="21" customHeight="1">
      <c r="A77" s="15" t="s">
        <v>335</v>
      </c>
      <c r="B77" s="52">
        <f>B$61*(0.33*$B$67)/($B$66+$B$67+$B$68+($B$7*$B$6*$B$4)+($B$9*$B$8*$B$5))</f>
        <v>3.8067477706446775E-3</v>
      </c>
      <c r="G77" s="1"/>
      <c r="H77" s="70"/>
      <c r="I77" s="49"/>
      <c r="J77" s="49"/>
      <c r="K77" s="49"/>
      <c r="L77" s="49"/>
      <c r="S77" s="11"/>
      <c r="T77" s="60"/>
      <c r="U77" s="11"/>
      <c r="V77" s="11"/>
      <c r="X77" s="15" t="s">
        <v>335</v>
      </c>
      <c r="Y77" s="52">
        <f>Y$61*(0.33*Y$67)/(Y$66+Y$67+Y$68+($B$7*$B$6*$B$4)+($B$9*$B$8*$B$5))</f>
        <v>3.0208471602566943E-3</v>
      </c>
      <c r="AD77" s="1"/>
      <c r="AE77" s="70"/>
      <c r="AF77" s="49"/>
      <c r="AG77" s="49"/>
      <c r="AH77" s="49"/>
      <c r="AI77" s="49"/>
      <c r="AU77" s="15" t="s">
        <v>335</v>
      </c>
      <c r="AV77" s="52">
        <f>AV$61*(0.33*AV$67)/(AV$66+AV$67+AV$68+($B$7*$B$6*$B$4)+($B$9*$B$8*$B$5))</f>
        <v>3.5349541883759922E-3</v>
      </c>
      <c r="BA77" s="1"/>
      <c r="BB77" s="70"/>
      <c r="BC77" s="49"/>
      <c r="BD77" s="49"/>
      <c r="BE77" s="49"/>
      <c r="BF77" s="49"/>
      <c r="BR77" s="32">
        <f t="shared" si="31"/>
        <v>8</v>
      </c>
      <c r="BS77" s="52">
        <f t="shared" si="16"/>
        <v>5.3856806097556413E-4</v>
      </c>
      <c r="BT77" s="52">
        <f t="shared" si="16"/>
        <v>5.3856806097556413E-4</v>
      </c>
      <c r="BU77" s="52">
        <f t="shared" si="17"/>
        <v>8.9019333828015586E-3</v>
      </c>
      <c r="BV77" s="52">
        <f t="shared" si="18"/>
        <v>5.3856806097556413E-4</v>
      </c>
      <c r="BW77" s="52">
        <f t="shared" si="18"/>
        <v>5.3856806097556413E-4</v>
      </c>
      <c r="BX77" s="52">
        <f t="shared" si="19"/>
        <v>8.9019333828015586E-3</v>
      </c>
      <c r="BY77" s="52">
        <f t="shared" si="20"/>
        <v>9.2995658427614189E-3</v>
      </c>
      <c r="BZ77" s="52">
        <f t="shared" si="21"/>
        <v>8.2281369422119294E-4</v>
      </c>
      <c r="CA77" s="52">
        <f t="shared" si="21"/>
        <v>8.2281369422119294E-4</v>
      </c>
      <c r="CB77" s="52">
        <f t="shared" si="22"/>
        <v>1.0293249553943785E-3</v>
      </c>
      <c r="CC77" s="52">
        <f t="shared" si="23"/>
        <v>1.268445937052731E-4</v>
      </c>
      <c r="CD77" s="52">
        <f t="shared" si="23"/>
        <v>1.268445937052731E-4</v>
      </c>
      <c r="CE77" s="52">
        <f t="shared" si="24"/>
        <v>1.586802780200196E-4</v>
      </c>
      <c r="CF77" s="52">
        <f t="shared" si="25"/>
        <v>8.2281369422119294E-4</v>
      </c>
      <c r="CG77" s="52">
        <f t="shared" si="25"/>
        <v>8.2281369422119294E-4</v>
      </c>
      <c r="CH77" s="52">
        <f t="shared" si="26"/>
        <v>1.0293249553943785E-3</v>
      </c>
      <c r="CI77" s="70">
        <f t="shared" si="27"/>
        <v>3.5019979005370891E-2</v>
      </c>
    </row>
    <row r="78" spans="1:87" ht="21" customHeight="1">
      <c r="A78" s="44" t="s">
        <v>283</v>
      </c>
      <c r="G78" s="48"/>
      <c r="H78" s="49"/>
      <c r="I78" s="49"/>
      <c r="J78" s="49"/>
      <c r="K78" s="49"/>
      <c r="L78" s="49"/>
      <c r="S78" s="11"/>
      <c r="T78" s="60"/>
      <c r="U78" s="11"/>
      <c r="V78" s="11"/>
      <c r="X78" s="44" t="s">
        <v>283</v>
      </c>
      <c r="AD78" s="48"/>
      <c r="AE78" s="49"/>
      <c r="AF78" s="49"/>
      <c r="AG78" s="49"/>
      <c r="AH78" s="49"/>
      <c r="AI78" s="49"/>
      <c r="AU78" s="44" t="s">
        <v>283</v>
      </c>
      <c r="BA78" s="48"/>
      <c r="BB78" s="49"/>
      <c r="BC78" s="49"/>
      <c r="BD78" s="49"/>
      <c r="BE78" s="49"/>
      <c r="BF78" s="49"/>
      <c r="BR78" s="32">
        <f t="shared" si="31"/>
        <v>10</v>
      </c>
      <c r="BS78" s="52">
        <f t="shared" si="16"/>
        <v>5.367888159542232E-4</v>
      </c>
      <c r="BT78" s="52">
        <f t="shared" si="16"/>
        <v>5.367888159542232E-4</v>
      </c>
      <c r="BU78" s="52">
        <f t="shared" si="17"/>
        <v>8.8725244337766809E-3</v>
      </c>
      <c r="BV78" s="52">
        <f t="shared" si="18"/>
        <v>5.367888159542232E-4</v>
      </c>
      <c r="BW78" s="52">
        <f t="shared" si="18"/>
        <v>5.367888159542232E-4</v>
      </c>
      <c r="BX78" s="52">
        <f t="shared" si="19"/>
        <v>8.8725244337766809E-3</v>
      </c>
      <c r="BY78" s="52">
        <f t="shared" si="20"/>
        <v>9.0853505596050835E-3</v>
      </c>
      <c r="BZ78" s="52">
        <f t="shared" si="21"/>
        <v>7.6639000229438391E-4</v>
      </c>
      <c r="CA78" s="52">
        <f t="shared" si="21"/>
        <v>7.6639000229438391E-4</v>
      </c>
      <c r="CB78" s="52">
        <f t="shared" si="22"/>
        <v>9.5873994376459383E-4</v>
      </c>
      <c r="CC78" s="52">
        <f t="shared" si="23"/>
        <v>1.2542110915907031E-4</v>
      </c>
      <c r="CD78" s="52">
        <f t="shared" si="23"/>
        <v>1.2542110915907031E-4</v>
      </c>
      <c r="CE78" s="52">
        <f t="shared" si="24"/>
        <v>1.5689952476163874E-4</v>
      </c>
      <c r="CF78" s="52">
        <f t="shared" si="25"/>
        <v>7.6639000229438391E-4</v>
      </c>
      <c r="CG78" s="52">
        <f t="shared" si="25"/>
        <v>7.6639000229438391E-4</v>
      </c>
      <c r="CH78" s="52">
        <f t="shared" si="26"/>
        <v>9.5873994376459383E-4</v>
      </c>
      <c r="CI78" s="70">
        <f t="shared" si="27"/>
        <v>3.4368336330761848E-2</v>
      </c>
    </row>
    <row r="79" spans="1:87" ht="21" customHeight="1">
      <c r="A79" s="1" t="s">
        <v>337</v>
      </c>
      <c r="B79" s="70">
        <f>B$61*(0.5*$B$68)/($B$66+$B$67+$B$68+($B$7*$B$6*$B$4)+($B$9*$B$8*$B$5))</f>
        <v>3.5244247811416746E-2</v>
      </c>
      <c r="C79" t="s">
        <v>287</v>
      </c>
      <c r="G79" s="48"/>
      <c r="H79" s="49"/>
      <c r="I79" s="49"/>
      <c r="J79" s="49"/>
      <c r="K79" s="49"/>
      <c r="L79" s="49"/>
      <c r="S79" s="11"/>
      <c r="T79" s="60"/>
      <c r="U79" s="11"/>
      <c r="V79" s="11"/>
      <c r="X79" s="1" t="s">
        <v>337</v>
      </c>
      <c r="Y79" s="70">
        <f>Y$61*(0.5*Y$68)/(Y$66+Y$67+Y$68+($B$7*$B$6*$B$4)+($B$9*$B$8*$B$5))</f>
        <v>2.7968095689846852E-2</v>
      </c>
      <c r="Z79" t="s">
        <v>287</v>
      </c>
      <c r="AD79" s="48"/>
      <c r="AE79" s="49"/>
      <c r="AF79" s="49"/>
      <c r="AG79" s="49"/>
      <c r="AH79" s="49"/>
      <c r="AI79" s="49"/>
      <c r="AU79" s="1" t="s">
        <v>337</v>
      </c>
      <c r="AV79" s="70">
        <f>AV$61*(0.5*AV$68)/(AV$66+AV$67+AV$68+($B$7*$B$6*$B$4)+($B$9*$B$8*$B$5))</f>
        <v>3.2727884515456121E-2</v>
      </c>
      <c r="AW79" t="s">
        <v>287</v>
      </c>
      <c r="BA79" s="48"/>
      <c r="BB79" s="49"/>
      <c r="BC79" s="49"/>
      <c r="BD79" s="49"/>
      <c r="BE79" s="49"/>
      <c r="BF79" s="49"/>
      <c r="BR79" s="32">
        <v>20</v>
      </c>
      <c r="BS79" s="52">
        <f t="shared" si="16"/>
        <v>5.2806606588103847E-4</v>
      </c>
      <c r="BT79" s="52">
        <f t="shared" si="16"/>
        <v>5.2806606588103847E-4</v>
      </c>
      <c r="BU79" s="52">
        <f t="shared" si="17"/>
        <v>8.7283470387680279E-3</v>
      </c>
      <c r="BV79" s="52">
        <f t="shared" si="18"/>
        <v>5.2806606588103847E-4</v>
      </c>
      <c r="BW79" s="52">
        <f t="shared" si="18"/>
        <v>5.2806606588103847E-4</v>
      </c>
      <c r="BX79" s="52">
        <f t="shared" si="19"/>
        <v>8.7283470387680279E-3</v>
      </c>
      <c r="BY79" s="52">
        <f t="shared" si="20"/>
        <v>8.1470186346478159E-3</v>
      </c>
      <c r="BZ79" s="52">
        <f t="shared" si="21"/>
        <v>5.7071032533699594E-4</v>
      </c>
      <c r="CA79" s="52">
        <f t="shared" si="21"/>
        <v>5.7071032533699594E-4</v>
      </c>
      <c r="CB79" s="52">
        <f t="shared" si="22"/>
        <v>7.1394822946723368E-4</v>
      </c>
      <c r="CC79" s="52">
        <f t="shared" si="23"/>
        <v>1.1875746615768033E-4</v>
      </c>
      <c r="CD79" s="52">
        <f t="shared" si="23"/>
        <v>1.1875746615768033E-4</v>
      </c>
      <c r="CE79" s="52">
        <f t="shared" si="24"/>
        <v>1.4856342865222479E-4</v>
      </c>
      <c r="CF79" s="52">
        <f t="shared" si="25"/>
        <v>5.7071032533699594E-4</v>
      </c>
      <c r="CG79" s="52">
        <f t="shared" si="25"/>
        <v>5.7071032533699594E-4</v>
      </c>
      <c r="CH79" s="52">
        <f t="shared" si="26"/>
        <v>7.1394822946723368E-4</v>
      </c>
      <c r="CI79" s="70">
        <f t="shared" si="27"/>
        <v>3.1812793096958059E-2</v>
      </c>
    </row>
    <row r="80" spans="1:87" ht="21" customHeight="1">
      <c r="A80" s="1" t="s">
        <v>338</v>
      </c>
      <c r="B80" s="70">
        <f>B$61*(0.5*$B$68)/($B$66+$B$67+$B$68+($B$7*$B$6*$B$4)+($B$9*$B$8*$B$5))</f>
        <v>3.5244247811416746E-2</v>
      </c>
      <c r="G80" s="48"/>
      <c r="H80" s="49"/>
      <c r="I80" s="49"/>
      <c r="J80" s="49"/>
      <c r="K80" s="49"/>
      <c r="L80" s="49"/>
      <c r="S80" s="11"/>
      <c r="T80" s="60"/>
      <c r="U80" s="11"/>
      <c r="V80" s="11"/>
      <c r="X80" s="1" t="s">
        <v>338</v>
      </c>
      <c r="Y80" s="70">
        <f>Y$61*(0.5*Y$68)/(Y$66+Y$67+Y$68+($B$7*$B$6*$B$4)+($B$9*$B$8*$B$5))</f>
        <v>2.7968095689846852E-2</v>
      </c>
      <c r="AD80" s="48"/>
      <c r="AE80" s="49"/>
      <c r="AF80" s="49"/>
      <c r="AG80" s="49"/>
      <c r="AH80" s="49"/>
      <c r="AI80" s="49"/>
      <c r="AU80" s="1" t="s">
        <v>338</v>
      </c>
      <c r="AV80" s="70">
        <f>AV$61*(0.5*AV$68)/(AV$66+AV$67+AV$68+($B$7*$B$6*$B$4)+($B$9*$B$8*$B$5))</f>
        <v>3.2727884515456121E-2</v>
      </c>
      <c r="BA80" s="48"/>
      <c r="BB80" s="49"/>
      <c r="BC80" s="49"/>
      <c r="BD80" s="49"/>
      <c r="BE80" s="49"/>
      <c r="BF80" s="49"/>
      <c r="BR80" s="32">
        <f>BR79+20</f>
        <v>40</v>
      </c>
      <c r="BS80" s="52">
        <f t="shared" si="16"/>
        <v>5.114442574473138E-4</v>
      </c>
      <c r="BT80" s="52">
        <f t="shared" si="16"/>
        <v>5.114442574473138E-4</v>
      </c>
      <c r="BU80" s="52">
        <f t="shared" si="17"/>
        <v>8.4536069602147625E-3</v>
      </c>
      <c r="BV80" s="52">
        <f t="shared" si="18"/>
        <v>5.114442574473138E-4</v>
      </c>
      <c r="BW80" s="52">
        <f t="shared" si="18"/>
        <v>5.114442574473138E-4</v>
      </c>
      <c r="BX80" s="52">
        <f t="shared" si="19"/>
        <v>8.4536069602147625E-3</v>
      </c>
      <c r="BY80" s="52">
        <f t="shared" si="20"/>
        <v>6.7522735827761273E-3</v>
      </c>
      <c r="BZ80" s="52">
        <f t="shared" si="21"/>
        <v>3.7779048219607064E-4</v>
      </c>
      <c r="CA80" s="52">
        <f t="shared" si="21"/>
        <v>3.7779048219607064E-4</v>
      </c>
      <c r="CB80" s="52">
        <f t="shared" si="22"/>
        <v>4.7260901704238451E-4</v>
      </c>
      <c r="CC80" s="52">
        <f t="shared" si="23"/>
        <v>1.0735038130741862E-4</v>
      </c>
      <c r="CD80" s="52">
        <f t="shared" si="23"/>
        <v>1.0735038130741862E-4</v>
      </c>
      <c r="CE80" s="52">
        <f t="shared" si="24"/>
        <v>1.342933731255127E-4</v>
      </c>
      <c r="CF80" s="52">
        <f t="shared" si="25"/>
        <v>3.7779048219607064E-4</v>
      </c>
      <c r="CG80" s="52">
        <f t="shared" si="25"/>
        <v>3.7779048219607064E-4</v>
      </c>
      <c r="CH80" s="52">
        <f t="shared" si="26"/>
        <v>4.7260901704238451E-4</v>
      </c>
      <c r="CI80" s="70">
        <f t="shared" si="27"/>
        <v>2.8510638631604312E-2</v>
      </c>
    </row>
    <row r="81" spans="1:91" ht="21" customHeight="1">
      <c r="A81" s="68" t="s">
        <v>299</v>
      </c>
      <c r="B81" s="67">
        <f>B71+B72+B73+B75+B76+B77</f>
        <v>4.2254900254155923E-2</v>
      </c>
      <c r="G81" s="48"/>
      <c r="H81" s="49"/>
      <c r="I81" s="49"/>
      <c r="J81" s="49"/>
      <c r="K81" s="49"/>
      <c r="L81" s="49"/>
      <c r="S81" s="11"/>
      <c r="T81" s="60"/>
      <c r="U81" s="11"/>
      <c r="V81" s="11"/>
      <c r="X81" s="68" t="s">
        <v>299</v>
      </c>
      <c r="Y81" s="67">
        <f>Y71+Y72+Y73+Y75+Y76+Y77</f>
        <v>0.13140685147116618</v>
      </c>
      <c r="AD81" s="48"/>
      <c r="AE81" s="49"/>
      <c r="AF81" s="49"/>
      <c r="AG81" s="49"/>
      <c r="AH81" s="49"/>
      <c r="AI81" s="49"/>
      <c r="AU81" s="68" t="s">
        <v>299</v>
      </c>
      <c r="AV81" s="67">
        <f>AV71+AV72+AV73+AV75+AV76+AV77</f>
        <v>1.6331488350297085E-2</v>
      </c>
      <c r="BA81" s="48"/>
      <c r="BB81" s="49"/>
      <c r="BC81" s="49"/>
      <c r="BD81" s="49"/>
      <c r="BE81" s="49"/>
      <c r="BF81" s="49"/>
      <c r="BR81" s="73">
        <f t="shared" ref="BR81:BR82" si="32">BR80+20</f>
        <v>60</v>
      </c>
      <c r="BS81" s="52">
        <f t="shared" si="16"/>
        <v>4.9583691813851697E-4</v>
      </c>
      <c r="BT81" s="52">
        <f t="shared" si="16"/>
        <v>4.9583691813851697E-4</v>
      </c>
      <c r="BU81" s="52">
        <f t="shared" si="17"/>
        <v>8.1956349323933936E-3</v>
      </c>
      <c r="BV81" s="52">
        <f t="shared" si="18"/>
        <v>4.9583691813851697E-4</v>
      </c>
      <c r="BW81" s="52">
        <f t="shared" si="18"/>
        <v>4.9583691813851697E-4</v>
      </c>
      <c r="BX81" s="52">
        <f t="shared" si="19"/>
        <v>8.1956349323933936E-3</v>
      </c>
      <c r="BY81" s="52">
        <f t="shared" si="20"/>
        <v>5.7652757406721428E-3</v>
      </c>
      <c r="BZ81" s="52">
        <f t="shared" si="21"/>
        <v>2.8234731667699155E-4</v>
      </c>
      <c r="CA81" s="52">
        <f t="shared" si="21"/>
        <v>2.8234731667699155E-4</v>
      </c>
      <c r="CB81" s="52">
        <f t="shared" si="22"/>
        <v>3.5321135414420911E-4</v>
      </c>
      <c r="CC81" s="52">
        <f t="shared" si="23"/>
        <v>9.7942636273926699E-5</v>
      </c>
      <c r="CD81" s="52">
        <f t="shared" si="23"/>
        <v>9.7942636273926699E-5</v>
      </c>
      <c r="CE81" s="52">
        <f t="shared" si="24"/>
        <v>1.2252445531948803E-4</v>
      </c>
      <c r="CF81" s="52">
        <f t="shared" si="25"/>
        <v>2.8234731667699155E-4</v>
      </c>
      <c r="CG81" s="52">
        <f t="shared" si="25"/>
        <v>2.8234731667699155E-4</v>
      </c>
      <c r="CH81" s="52">
        <f t="shared" si="26"/>
        <v>3.5321135414420911E-4</v>
      </c>
      <c r="CI81" s="70">
        <f t="shared" si="27"/>
        <v>2.6294114980876727E-2</v>
      </c>
    </row>
    <row r="82" spans="1:91" s="11" customFormat="1" ht="21" customHeight="1">
      <c r="G82" s="48"/>
      <c r="H82" s="49"/>
      <c r="I82" s="49"/>
      <c r="J82" s="49"/>
      <c r="K82" s="49"/>
      <c r="L82" s="49"/>
      <c r="T82" s="60"/>
      <c r="AD82" s="48"/>
      <c r="AE82" s="49"/>
      <c r="AF82" s="49"/>
      <c r="AG82" s="49"/>
      <c r="AH82" s="49"/>
      <c r="AI82" s="49"/>
      <c r="BA82" s="48"/>
      <c r="BB82" s="49"/>
      <c r="BC82" s="49"/>
      <c r="BD82" s="49"/>
      <c r="BE82" s="49"/>
      <c r="BF82" s="49"/>
      <c r="BR82" s="32">
        <f t="shared" si="32"/>
        <v>80</v>
      </c>
      <c r="BS82" s="52">
        <f t="shared" si="16"/>
        <v>4.8115392491575478E-4</v>
      </c>
      <c r="BT82" s="52">
        <f t="shared" si="16"/>
        <v>4.8115392491575478E-4</v>
      </c>
      <c r="BU82" s="52">
        <f t="shared" si="17"/>
        <v>7.9529413213159129E-3</v>
      </c>
      <c r="BV82" s="52">
        <f t="shared" si="18"/>
        <v>4.8115392491575478E-4</v>
      </c>
      <c r="BW82" s="52">
        <f t="shared" si="18"/>
        <v>4.8115392491575478E-4</v>
      </c>
      <c r="BX82" s="52">
        <f t="shared" si="19"/>
        <v>7.9529413213159129E-3</v>
      </c>
      <c r="BY82" s="52">
        <f t="shared" si="20"/>
        <v>5.0300237508162622E-3</v>
      </c>
      <c r="BZ82" s="52">
        <f t="shared" si="21"/>
        <v>2.2540267250475247E-4</v>
      </c>
      <c r="CA82" s="52">
        <f t="shared" si="21"/>
        <v>2.2540267250475247E-4</v>
      </c>
      <c r="CB82" s="52">
        <f t="shared" si="22"/>
        <v>2.8197464073727145E-4</v>
      </c>
      <c r="CC82" s="52">
        <f t="shared" si="23"/>
        <v>9.0050942746036598E-5</v>
      </c>
      <c r="CD82" s="52">
        <f t="shared" si="23"/>
        <v>9.0050942746036598E-5</v>
      </c>
      <c r="CE82" s="52">
        <f t="shared" si="24"/>
        <v>1.1265209035323614E-4</v>
      </c>
      <c r="CF82" s="52">
        <f t="shared" si="25"/>
        <v>2.2540267250475247E-4</v>
      </c>
      <c r="CG82" s="52">
        <f t="shared" si="25"/>
        <v>2.2540267250475247E-4</v>
      </c>
      <c r="CH82" s="52">
        <f t="shared" si="26"/>
        <v>2.8197464073727145E-4</v>
      </c>
      <c r="CI82" s="70">
        <f t="shared" si="27"/>
        <v>2.4618836040449971E-2</v>
      </c>
    </row>
    <row r="83" spans="1:91" s="11" customFormat="1" ht="21" customHeight="1">
      <c r="A83" s="40" t="s">
        <v>300</v>
      </c>
      <c r="B83"/>
      <c r="C83"/>
      <c r="D83"/>
      <c r="E83"/>
      <c r="F83"/>
      <c r="G83" s="48"/>
      <c r="H83" s="49"/>
      <c r="I83" s="49"/>
      <c r="J83" s="49"/>
      <c r="K83" s="49"/>
      <c r="L83" s="49"/>
      <c r="M83"/>
      <c r="N83"/>
      <c r="O83"/>
      <c r="P83"/>
      <c r="Q83"/>
      <c r="R83"/>
      <c r="T83" s="60"/>
      <c r="W83"/>
      <c r="X83" s="40" t="s">
        <v>300</v>
      </c>
      <c r="Y83"/>
      <c r="Z83"/>
      <c r="AA83"/>
      <c r="AB83"/>
      <c r="AC83"/>
      <c r="AD83" s="48"/>
      <c r="AE83" s="49"/>
      <c r="AF83" s="49"/>
      <c r="AG83" s="49"/>
      <c r="AH83" s="49"/>
      <c r="AI83" s="49"/>
      <c r="AJ83"/>
      <c r="AK83"/>
      <c r="AL83"/>
      <c r="AM83"/>
      <c r="AN83"/>
      <c r="AO83"/>
      <c r="AP83"/>
      <c r="AQ83"/>
      <c r="AR83"/>
      <c r="AS83"/>
      <c r="AT83"/>
      <c r="AU83" s="40" t="s">
        <v>300</v>
      </c>
      <c r="AV83"/>
      <c r="AW83"/>
      <c r="AX83"/>
      <c r="AY83"/>
      <c r="AZ83"/>
      <c r="BA83" s="48"/>
      <c r="BB83" s="49"/>
      <c r="BC83" s="49"/>
      <c r="BD83" s="49"/>
      <c r="BE83" s="49"/>
      <c r="BF83" s="49"/>
      <c r="BG83"/>
      <c r="BH83"/>
      <c r="BI83"/>
      <c r="BJ83"/>
      <c r="BK83"/>
      <c r="BL83"/>
      <c r="BM83"/>
      <c r="BN83"/>
      <c r="BO83"/>
      <c r="BP83"/>
      <c r="BQ83"/>
      <c r="BR83" s="32">
        <f>BR82+20</f>
        <v>100</v>
      </c>
      <c r="BS83" s="52">
        <f t="shared" si="16"/>
        <v>4.6731552280562837E-4</v>
      </c>
      <c r="BT83" s="52">
        <f t="shared" si="16"/>
        <v>4.6731552280562837E-4</v>
      </c>
      <c r="BU83" s="52">
        <f t="shared" si="17"/>
        <v>7.7242078656304392E-3</v>
      </c>
      <c r="BV83" s="52">
        <f t="shared" si="18"/>
        <v>4.6731552280562837E-4</v>
      </c>
      <c r="BW83" s="52">
        <f t="shared" si="18"/>
        <v>4.6731552280562837E-4</v>
      </c>
      <c r="BX83" s="52">
        <f t="shared" si="19"/>
        <v>7.7242078656304392E-3</v>
      </c>
      <c r="BY83" s="52">
        <f t="shared" si="20"/>
        <v>4.4610953306755815E-3</v>
      </c>
      <c r="BZ83" s="52">
        <f t="shared" si="21"/>
        <v>1.8757249536430882E-4</v>
      </c>
      <c r="CA83" s="52">
        <f t="shared" si="21"/>
        <v>1.8757249536430882E-4</v>
      </c>
      <c r="CB83" s="52">
        <f t="shared" si="22"/>
        <v>2.3464977768366667E-4</v>
      </c>
      <c r="CC83" s="52">
        <f t="shared" si="23"/>
        <v>8.3336160847005748E-5</v>
      </c>
      <c r="CD83" s="52">
        <f t="shared" si="23"/>
        <v>8.3336160847005748E-5</v>
      </c>
      <c r="CE83" s="52">
        <f t="shared" si="24"/>
        <v>1.0425202041365529E-4</v>
      </c>
      <c r="CF83" s="52">
        <f t="shared" si="25"/>
        <v>1.8757249536430882E-4</v>
      </c>
      <c r="CG83" s="52">
        <f t="shared" si="25"/>
        <v>1.8757249536430882E-4</v>
      </c>
      <c r="CH83" s="52">
        <f t="shared" si="26"/>
        <v>2.3464977768366667E-4</v>
      </c>
      <c r="CI83" s="70">
        <f t="shared" si="27"/>
        <v>2.3269287032091211E-2</v>
      </c>
    </row>
    <row r="84" spans="1:91" ht="21" customHeight="1">
      <c r="A84" s="32" t="s">
        <v>228</v>
      </c>
      <c r="B84" s="69">
        <f>'2nd Gen Rxns'!$N$105</f>
        <v>2.1</v>
      </c>
      <c r="G84" s="48"/>
      <c r="H84" s="49"/>
      <c r="I84" s="49"/>
      <c r="J84" s="32" t="s">
        <v>228</v>
      </c>
      <c r="K84" s="69">
        <f>'2nd Gen Rxns'!$N$122</f>
        <v>2.6</v>
      </c>
      <c r="L84" s="49"/>
      <c r="O84" s="32"/>
      <c r="P84" s="69"/>
      <c r="S84" s="11"/>
      <c r="T84" s="60"/>
      <c r="U84" s="11"/>
      <c r="V84" s="11"/>
      <c r="X84" s="32" t="s">
        <v>228</v>
      </c>
      <c r="Y84" s="69">
        <f>'2nd Gen Rxns'!$N$105</f>
        <v>2.1</v>
      </c>
      <c r="AD84" s="48"/>
      <c r="AE84" s="49"/>
      <c r="AF84" s="49"/>
      <c r="AG84" s="32" t="s">
        <v>228</v>
      </c>
      <c r="AH84" s="96">
        <f>'2nd Gen Rxns'!$N$122*Z$63</f>
        <v>13</v>
      </c>
      <c r="AI84" s="49"/>
      <c r="AL84" s="32"/>
      <c r="AM84" s="69"/>
      <c r="AU84" s="32" t="s">
        <v>228</v>
      </c>
      <c r="AV84" s="69">
        <f>'2nd Gen Rxns'!$N$105</f>
        <v>2.1</v>
      </c>
      <c r="BA84" s="48"/>
      <c r="BB84" s="49"/>
      <c r="BC84" s="49"/>
      <c r="BD84" s="32" t="s">
        <v>228</v>
      </c>
      <c r="BE84" s="100">
        <f>'2nd Gen Rxns'!$N$122*AW$63</f>
        <v>0.52</v>
      </c>
      <c r="BF84" s="49"/>
      <c r="BI84" s="32"/>
      <c r="BJ84" s="69"/>
      <c r="BR84" s="32">
        <v>200</v>
      </c>
      <c r="BS84" s="52">
        <f t="shared" si="16"/>
        <v>4.0856247585700425E-4</v>
      </c>
      <c r="BT84" s="52">
        <f t="shared" si="16"/>
        <v>4.0856247585700425E-4</v>
      </c>
      <c r="BU84" s="52">
        <f t="shared" si="17"/>
        <v>6.753085090496185E-3</v>
      </c>
      <c r="BV84" s="52">
        <f t="shared" si="18"/>
        <v>4.0856247585700425E-4</v>
      </c>
      <c r="BW84" s="52">
        <f t="shared" si="18"/>
        <v>4.0856247585700425E-4</v>
      </c>
      <c r="BX84" s="52">
        <f t="shared" si="19"/>
        <v>6.753085090496185E-3</v>
      </c>
      <c r="BY84" s="52">
        <f t="shared" si="20"/>
        <v>2.8495704949338639E-3</v>
      </c>
      <c r="BZ84" s="52">
        <f t="shared" si="21"/>
        <v>1.0198764648497373E-4</v>
      </c>
      <c r="CA84" s="52">
        <f t="shared" si="21"/>
        <v>1.0198764648497373E-4</v>
      </c>
      <c r="CB84" s="52">
        <f t="shared" si="22"/>
        <v>1.2758468947005928E-4</v>
      </c>
      <c r="CC84" s="52">
        <f t="shared" si="23"/>
        <v>6.0703812486400456E-5</v>
      </c>
      <c r="CD84" s="52">
        <f t="shared" si="23"/>
        <v>6.0703812486400456E-5</v>
      </c>
      <c r="CE84" s="52">
        <f t="shared" si="24"/>
        <v>7.593936454712871E-5</v>
      </c>
      <c r="CF84" s="52">
        <f t="shared" si="25"/>
        <v>1.0198764648497373E-4</v>
      </c>
      <c r="CG84" s="52">
        <f t="shared" si="25"/>
        <v>1.0198764648497373E-4</v>
      </c>
      <c r="CH84" s="52">
        <f t="shared" si="26"/>
        <v>1.2758468947005928E-4</v>
      </c>
      <c r="CI84" s="70">
        <f t="shared" ref="CI84:CI85" si="33">SUM(BS84:CH84)</f>
        <v>1.8850457533754198E-2</v>
      </c>
    </row>
    <row r="85" spans="1:91" ht="21" customHeight="1">
      <c r="A85" s="32" t="s">
        <v>229</v>
      </c>
      <c r="B85" s="69">
        <f>'2nd Gen Rxns'!$S$105</f>
        <v>14</v>
      </c>
      <c r="G85" s="32"/>
      <c r="H85" s="49"/>
      <c r="I85" s="49"/>
      <c r="J85" s="32" t="s">
        <v>229</v>
      </c>
      <c r="K85" s="69">
        <f>'2nd Gen Rxns'!$S$123</f>
        <v>33</v>
      </c>
      <c r="L85" s="49"/>
      <c r="O85" s="32"/>
      <c r="P85" s="69"/>
      <c r="U85" s="32"/>
      <c r="V85" s="49"/>
      <c r="X85" s="32" t="s">
        <v>229</v>
      </c>
      <c r="Y85" s="69">
        <f>'2nd Gen Rxns'!$S$105</f>
        <v>14</v>
      </c>
      <c r="AD85" s="32"/>
      <c r="AE85" s="49"/>
      <c r="AF85" s="49"/>
      <c r="AG85" s="32" t="s">
        <v>229</v>
      </c>
      <c r="AH85" s="69">
        <f>'2nd Gen Rxns'!$S$123</f>
        <v>33</v>
      </c>
      <c r="AI85" s="49"/>
      <c r="AL85" s="32"/>
      <c r="AM85" s="69"/>
      <c r="AU85" s="32" t="s">
        <v>229</v>
      </c>
      <c r="AV85" s="69">
        <f>'2nd Gen Rxns'!$S$105</f>
        <v>14</v>
      </c>
      <c r="BA85" s="32"/>
      <c r="BB85" s="49"/>
      <c r="BC85" s="49"/>
      <c r="BD85" s="32" t="s">
        <v>229</v>
      </c>
      <c r="BE85" s="69">
        <f>'2nd Gen Rxns'!$S$123</f>
        <v>33</v>
      </c>
      <c r="BF85" s="49"/>
      <c r="BI85" s="32"/>
      <c r="BJ85" s="69"/>
      <c r="BR85" s="73">
        <v>400</v>
      </c>
      <c r="BS85" s="75">
        <f t="shared" si="16"/>
        <v>3.2647149412891861E-4</v>
      </c>
      <c r="BT85" s="75">
        <f t="shared" si="16"/>
        <v>3.2647149412891861E-4</v>
      </c>
      <c r="BU85" s="75">
        <f t="shared" si="17"/>
        <v>5.3962121089300629E-3</v>
      </c>
      <c r="BV85" s="75">
        <f t="shared" si="18"/>
        <v>3.2647149412891861E-4</v>
      </c>
      <c r="BW85" s="75">
        <f t="shared" si="18"/>
        <v>3.2647149412891861E-4</v>
      </c>
      <c r="BX85" s="75">
        <f t="shared" si="19"/>
        <v>5.3962121089300629E-3</v>
      </c>
      <c r="BY85" s="75">
        <f t="shared" si="20"/>
        <v>1.6543422366195088E-3</v>
      </c>
      <c r="BZ85" s="75">
        <f t="shared" si="21"/>
        <v>5.332541784668633E-5</v>
      </c>
      <c r="CA85" s="75">
        <f t="shared" si="21"/>
        <v>5.332541784668633E-5</v>
      </c>
      <c r="CB85" s="75">
        <f t="shared" si="22"/>
        <v>6.6709127147404287E-5</v>
      </c>
      <c r="CC85" s="75">
        <f t="shared" si="23"/>
        <v>3.933739461037181E-5</v>
      </c>
      <c r="CD85" s="75">
        <f t="shared" si="23"/>
        <v>3.933739461037181E-5</v>
      </c>
      <c r="CE85" s="75">
        <f t="shared" si="24"/>
        <v>4.9210364675538612E-5</v>
      </c>
      <c r="CF85" s="75">
        <f t="shared" si="25"/>
        <v>5.332541784668633E-5</v>
      </c>
      <c r="CG85" s="75">
        <f t="shared" si="25"/>
        <v>5.332541784668633E-5</v>
      </c>
      <c r="CH85" s="75">
        <f t="shared" si="26"/>
        <v>6.6709127147404287E-5</v>
      </c>
      <c r="CI85" s="107">
        <f t="shared" si="33"/>
        <v>1.4227257510573145E-2</v>
      </c>
      <c r="CJ85" s="11"/>
      <c r="CK85" s="11"/>
      <c r="CL85" s="11"/>
    </row>
    <row r="86" spans="1:91" s="11" customFormat="1" ht="21" customHeight="1">
      <c r="A86" s="73" t="s">
        <v>267</v>
      </c>
      <c r="B86" s="22">
        <f>'2nd Gen Rxns'!$I$100</f>
        <v>115.70224488755599</v>
      </c>
      <c r="G86" s="73" t="s">
        <v>267</v>
      </c>
      <c r="H86" s="22">
        <f>'2nd Gen Rxns'!$N$86</f>
        <v>16.991967026899104</v>
      </c>
      <c r="I86" s="49"/>
      <c r="J86" s="73" t="s">
        <v>267</v>
      </c>
      <c r="K86" s="22">
        <f>'2nd Gen Rxns'!$I$121</f>
        <v>1.6262763386300316</v>
      </c>
      <c r="L86" s="49"/>
      <c r="O86" s="73"/>
      <c r="P86" s="22"/>
      <c r="U86" s="73"/>
      <c r="V86" s="22"/>
      <c r="X86" s="73" t="s">
        <v>267</v>
      </c>
      <c r="Y86" s="96">
        <f>'2nd Gen Rxns'!$I$100*Z$63</f>
        <v>578.5112244377799</v>
      </c>
      <c r="AD86" s="73" t="s">
        <v>267</v>
      </c>
      <c r="AE86" s="96">
        <f>'2nd Gen Rxns'!$N$86*Z$63</f>
        <v>84.95983513449552</v>
      </c>
      <c r="AF86" s="49"/>
      <c r="AG86" s="73" t="s">
        <v>267</v>
      </c>
      <c r="AH86" s="22">
        <f>'2nd Gen Rxns'!$I$121</f>
        <v>1.6262763386300316</v>
      </c>
      <c r="AI86" s="49"/>
      <c r="AL86" s="73"/>
      <c r="AM86" s="22"/>
      <c r="AU86" s="73" t="s">
        <v>267</v>
      </c>
      <c r="AV86" s="100">
        <f>'2nd Gen Rxns'!$I$100*AW$63</f>
        <v>23.140448977511198</v>
      </c>
      <c r="BA86" s="73" t="s">
        <v>267</v>
      </c>
      <c r="BB86" s="100">
        <f>'2nd Gen Rxns'!$N$86*AW$63</f>
        <v>3.3983934053798208</v>
      </c>
      <c r="BC86" s="49"/>
      <c r="BD86" s="73" t="s">
        <v>267</v>
      </c>
      <c r="BE86" s="22">
        <f>'2nd Gen Rxns'!$I$121</f>
        <v>1.6262763386300316</v>
      </c>
      <c r="BF86" s="49"/>
      <c r="BI86" s="73"/>
      <c r="BJ86" s="22"/>
      <c r="BR86" s="73">
        <v>600</v>
      </c>
      <c r="BS86" s="75">
        <f t="shared" si="16"/>
        <v>2.7184971363401582E-4</v>
      </c>
      <c r="BT86" s="75">
        <f t="shared" si="16"/>
        <v>2.7184971363401582E-4</v>
      </c>
      <c r="BU86" s="75">
        <f t="shared" si="17"/>
        <v>4.4933745913564097E-3</v>
      </c>
      <c r="BV86" s="75">
        <f t="shared" si="18"/>
        <v>2.7184971363401582E-4</v>
      </c>
      <c r="BW86" s="75">
        <f t="shared" si="18"/>
        <v>2.7184971363401582E-4</v>
      </c>
      <c r="BX86" s="75">
        <f t="shared" si="19"/>
        <v>4.4933745913564097E-3</v>
      </c>
      <c r="BY86" s="75">
        <f t="shared" si="20"/>
        <v>1.1654881030133055E-3</v>
      </c>
      <c r="BZ86" s="75">
        <f t="shared" si="21"/>
        <v>3.6100487036989362E-5</v>
      </c>
      <c r="CA86" s="75">
        <f t="shared" si="21"/>
        <v>3.6100487036989362E-5</v>
      </c>
      <c r="CB86" s="75">
        <f t="shared" si="22"/>
        <v>4.5161052216366136E-5</v>
      </c>
      <c r="CC86" s="75">
        <f t="shared" si="23"/>
        <v>2.9096175502204024E-5</v>
      </c>
      <c r="CD86" s="75">
        <f t="shared" si="23"/>
        <v>2.9096175502204024E-5</v>
      </c>
      <c r="CE86" s="75">
        <f t="shared" si="24"/>
        <v>3.6398785972200903E-5</v>
      </c>
      <c r="CF86" s="75">
        <f t="shared" si="25"/>
        <v>3.6100487036989362E-5</v>
      </c>
      <c r="CG86" s="75">
        <f t="shared" si="25"/>
        <v>3.6100487036989362E-5</v>
      </c>
      <c r="CH86" s="75">
        <f t="shared" si="26"/>
        <v>4.5161052216366136E-5</v>
      </c>
      <c r="CI86" s="107">
        <f t="shared" ref="CI86" si="34">SUM(BS86:CH86)</f>
        <v>1.1568951329819489E-2</v>
      </c>
    </row>
    <row r="87" spans="1:91" ht="21" customHeight="1">
      <c r="A87" s="71" t="s">
        <v>339</v>
      </c>
      <c r="D87" s="71" t="s">
        <v>343</v>
      </c>
      <c r="G87" s="71" t="s">
        <v>346</v>
      </c>
      <c r="H87" s="49"/>
      <c r="I87" s="49"/>
      <c r="J87" s="71" t="s">
        <v>348</v>
      </c>
      <c r="K87" s="49"/>
      <c r="L87" s="49"/>
      <c r="M87" s="71" t="s">
        <v>352</v>
      </c>
      <c r="N87" s="49"/>
      <c r="O87" s="71" t="s">
        <v>357</v>
      </c>
      <c r="U87" s="32"/>
      <c r="V87" s="69"/>
      <c r="W87" s="11"/>
      <c r="X87" s="71" t="s">
        <v>339</v>
      </c>
      <c r="AA87" s="71" t="s">
        <v>343</v>
      </c>
      <c r="AD87" s="71" t="s">
        <v>346</v>
      </c>
      <c r="AE87" s="49"/>
      <c r="AF87" s="49"/>
      <c r="AG87" s="71" t="s">
        <v>348</v>
      </c>
      <c r="AH87" s="49"/>
      <c r="AI87" s="49"/>
      <c r="AJ87" s="71" t="s">
        <v>352</v>
      </c>
      <c r="AK87" s="49"/>
      <c r="AL87" s="71" t="s">
        <v>357</v>
      </c>
      <c r="AN87" s="11"/>
      <c r="AO87" s="11"/>
      <c r="AP87" s="11"/>
      <c r="AQ87" s="11"/>
      <c r="AR87" s="11"/>
      <c r="AU87" s="71" t="s">
        <v>339</v>
      </c>
      <c r="AX87" s="71" t="s">
        <v>343</v>
      </c>
      <c r="BA87" s="71" t="s">
        <v>346</v>
      </c>
      <c r="BB87" s="49"/>
      <c r="BC87" s="49"/>
      <c r="BD87" s="71" t="s">
        <v>348</v>
      </c>
      <c r="BE87" s="49"/>
      <c r="BF87" s="49"/>
      <c r="BG87" s="71" t="s">
        <v>352</v>
      </c>
      <c r="BH87" s="49"/>
      <c r="BI87" s="71" t="s">
        <v>357</v>
      </c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</row>
    <row r="88" spans="1:91" ht="21" customHeight="1">
      <c r="A88" s="77" t="s">
        <v>230</v>
      </c>
      <c r="B88" s="11"/>
      <c r="C88" s="11"/>
      <c r="D88" s="77" t="s">
        <v>230</v>
      </c>
      <c r="E88" s="11"/>
      <c r="F88" s="11"/>
      <c r="G88" s="78" t="s">
        <v>283</v>
      </c>
      <c r="H88" s="11"/>
      <c r="I88" s="49"/>
      <c r="J88" s="77" t="s">
        <v>230</v>
      </c>
      <c r="K88" s="49"/>
      <c r="L88" s="49"/>
      <c r="M88" s="77" t="s">
        <v>230</v>
      </c>
      <c r="N88" s="49"/>
      <c r="O88" s="77" t="s">
        <v>230</v>
      </c>
      <c r="P88" s="49"/>
      <c r="Q88" s="11"/>
      <c r="R88" s="82"/>
      <c r="S88" s="11"/>
      <c r="T88" s="11"/>
      <c r="U88" s="82"/>
      <c r="V88" s="49"/>
      <c r="W88" s="57"/>
      <c r="X88" s="77" t="s">
        <v>230</v>
      </c>
      <c r="Y88" s="11"/>
      <c r="Z88" s="11"/>
      <c r="AA88" s="77" t="s">
        <v>230</v>
      </c>
      <c r="AB88" s="11"/>
      <c r="AC88" s="11"/>
      <c r="AD88" s="78" t="s">
        <v>283</v>
      </c>
      <c r="AE88" s="11"/>
      <c r="AF88" s="49"/>
      <c r="AG88" s="77" t="s">
        <v>230</v>
      </c>
      <c r="AH88" s="49"/>
      <c r="AI88" s="49"/>
      <c r="AJ88" s="77" t="s">
        <v>230</v>
      </c>
      <c r="AK88" s="49"/>
      <c r="AL88" s="77" t="s">
        <v>230</v>
      </c>
      <c r="AM88" s="49"/>
      <c r="AN88" s="11"/>
      <c r="AO88" s="11"/>
      <c r="AP88" s="11"/>
      <c r="AQ88" s="11"/>
      <c r="AR88" s="11"/>
      <c r="AS88" s="11"/>
      <c r="AT88" s="11"/>
      <c r="AU88" s="77" t="s">
        <v>230</v>
      </c>
      <c r="AV88" s="11"/>
      <c r="AW88" s="11"/>
      <c r="AX88" s="77" t="s">
        <v>230</v>
      </c>
      <c r="AY88" s="11"/>
      <c r="AZ88" s="11"/>
      <c r="BA88" s="78" t="s">
        <v>283</v>
      </c>
      <c r="BB88" s="11"/>
      <c r="BC88" s="49"/>
      <c r="BD88" s="77" t="s">
        <v>230</v>
      </c>
      <c r="BE88" s="49"/>
      <c r="BF88" s="49"/>
      <c r="BG88" s="77" t="s">
        <v>230</v>
      </c>
      <c r="BH88" s="49"/>
      <c r="BI88" s="77" t="s">
        <v>230</v>
      </c>
      <c r="BJ88" s="49"/>
      <c r="BK88" s="11"/>
      <c r="BL88" s="11"/>
      <c r="BM88" s="11"/>
      <c r="BN88" s="11"/>
      <c r="BO88" s="11"/>
      <c r="BP88" s="11"/>
      <c r="BQ88" s="11"/>
    </row>
    <row r="89" spans="1:91" ht="21" customHeight="1">
      <c r="A89" s="1" t="s">
        <v>340</v>
      </c>
      <c r="B89" s="72">
        <f>B$71*($B$84)/($B$84+$B$85+$B$86+($B$7*$B$6*$B$4)+($B$9*$B$8*$B$5))</f>
        <v>1.6346681832759503E-4</v>
      </c>
      <c r="D89" s="1" t="s">
        <v>340</v>
      </c>
      <c r="E89" s="72">
        <f>B$72*($B$84)/($B$84+$B$85+$B$86+($B$7*$B$6*$B$4)+($B$9*$B$8*$B$5))</f>
        <v>1.6346681832759503E-4</v>
      </c>
      <c r="G89" s="15" t="s">
        <v>347</v>
      </c>
      <c r="H89" s="52">
        <f>B$73*($H$86)/($H$86+($B$7*$B$6*$B$4)+($B$9*$B$8*$B$5))</f>
        <v>1.0136024454962516E-2</v>
      </c>
      <c r="I89" s="49"/>
      <c r="J89" s="15" t="s">
        <v>349</v>
      </c>
      <c r="K89" s="52">
        <f>B$75*(0.5*$K$84)/($K$84+$K$86+($B$7*$B$6*$B$4)+($B$9*$B$8*$B$5))</f>
        <v>1.1084344184849649E-3</v>
      </c>
      <c r="L89" s="49"/>
      <c r="M89" s="15" t="s">
        <v>353</v>
      </c>
      <c r="N89" s="52">
        <f>B$76*(0.5*$K$84)/($K$84+$K$85+$K$86+($B$7*$B$6*$B$4)+($B$9*$B$8*$B$5))</f>
        <v>1.3209177336790385E-4</v>
      </c>
      <c r="O89" s="15" t="s">
        <v>358</v>
      </c>
      <c r="P89" s="52">
        <f>B$76*(0.5*$K$84)/($K$84+$K$86+($B$7*$B$6*$B$4)+($B$9*$B$8*$B$5))</f>
        <v>1.1084344184849649E-3</v>
      </c>
      <c r="R89" s="43"/>
      <c r="T89" s="11"/>
      <c r="U89" s="82"/>
      <c r="V89" s="49"/>
      <c r="W89" s="57"/>
      <c r="X89" s="1" t="s">
        <v>340</v>
      </c>
      <c r="Y89" s="72">
        <f>Y$71*(Y$84)/(Y$84+Y$85+Y$86+($B$7*$B$6*$B$4)+($B$9*$B$8*$B$5))</f>
        <v>1.4397087468528426E-4</v>
      </c>
      <c r="AA89" s="1" t="s">
        <v>340</v>
      </c>
      <c r="AB89" s="72">
        <f>Y$72*(Y$84)/(Y$84+Y$85+Y$86+($B$7*$B$6*$B$4)+($B$9*$B$8*$B$5))</f>
        <v>1.4397087468528426E-4</v>
      </c>
      <c r="AD89" s="15" t="s">
        <v>347</v>
      </c>
      <c r="AE89" s="95">
        <f>Y$73*(Y$86)/(Y$86+($B$7*$B$6*$B$4)+($B$9*$B$8*$B$5))</f>
        <v>4.076463970289821E-2</v>
      </c>
      <c r="AF89" s="49"/>
      <c r="AG89" s="15" t="s">
        <v>349</v>
      </c>
      <c r="AH89" s="95">
        <f>Y$75*(0.5*AH$84)/(AH$84+AH$86+($B$7*$B$6*$B$4)+($B$9*$B$8*$B$5))</f>
        <v>1.3209531401246657E-3</v>
      </c>
      <c r="AI89" s="49"/>
      <c r="AJ89" s="15" t="s">
        <v>353</v>
      </c>
      <c r="AK89" s="95">
        <f>Y$76*(0.5*AH$84)/(AH$84+AH$85+AH$86+($B$7*$B$6*$B$4)+($B$9*$B$8*$B$5))</f>
        <v>4.1022981266451079E-4</v>
      </c>
      <c r="AL89" s="15" t="s">
        <v>358</v>
      </c>
      <c r="AM89" s="95">
        <f>Y$77*(0.5*AH$84)/(AH$84+AH$86+($B$7*$B$6*$B$4)+($B$9*$B$8*$B$5))</f>
        <v>1.3209531401246657E-3</v>
      </c>
      <c r="AN89" s="11"/>
      <c r="AO89" s="11"/>
      <c r="AP89" s="11"/>
      <c r="AQ89" s="11"/>
      <c r="AR89" s="11"/>
      <c r="AS89" s="11"/>
      <c r="AT89" s="11"/>
      <c r="AU89" s="1" t="s">
        <v>340</v>
      </c>
      <c r="AV89" s="72">
        <f>AV$71*(AV$84)/(AV$84+AV$85+AV$86+($B$7*$B$6*$B$4)+($B$9*$B$8*$B$5))</f>
        <v>1.01538945370835E-4</v>
      </c>
      <c r="AX89" s="1" t="s">
        <v>340</v>
      </c>
      <c r="AY89" s="72">
        <f>AV$72*(AV$84)/(AV$84+AV$85+AV$86+($B$7*$B$6*$B$4)+($B$9*$B$8*$B$5))</f>
        <v>1.01538945370835E-4</v>
      </c>
      <c r="BA89" s="15" t="s">
        <v>347</v>
      </c>
      <c r="BB89" s="101">
        <f>AV$73*(AV$86)/(AV$86+($B$7*$B$6*$B$4)+($B$9*$B$8*$B$5))</f>
        <v>1.8894120820721325E-3</v>
      </c>
      <c r="BC89" s="49"/>
      <c r="BD89" s="15" t="s">
        <v>349</v>
      </c>
      <c r="BE89" s="101">
        <f>AV$75*(0.5*BE$84)/(BE$84+BE$86+($B$7*$B$6*$B$4)+($B$9*$B$8*$B$5))</f>
        <v>3.8541838779842624E-4</v>
      </c>
      <c r="BF89" s="49"/>
      <c r="BG89" s="15" t="s">
        <v>353</v>
      </c>
      <c r="BH89" s="101">
        <f>AV$76*(0.5*BE$84)/(BE$84+BE$85+BE$86+($B$7*$B$6*$B$4)+($B$9*$B$8*$B$5))</f>
        <v>2.5974202943426389E-5</v>
      </c>
      <c r="BI89" s="15" t="s">
        <v>358</v>
      </c>
      <c r="BJ89" s="101">
        <f>AV$77*(0.5*BE$84)/(BE$84+BE$86+($B$7*$B$6*$B$4)+($B$9*$B$8*$B$5))</f>
        <v>3.8541838779842624E-4</v>
      </c>
      <c r="BK89" s="11"/>
      <c r="BL89" s="11"/>
      <c r="BM89" s="11"/>
      <c r="BN89" s="11"/>
      <c r="BO89" s="11"/>
      <c r="BP89" s="11"/>
      <c r="BQ89" s="11"/>
    </row>
    <row r="90" spans="1:91" ht="21" customHeight="1">
      <c r="A90" s="42" t="s">
        <v>205</v>
      </c>
      <c r="D90" s="42" t="s">
        <v>205</v>
      </c>
      <c r="G90" s="48"/>
      <c r="H90" s="49"/>
      <c r="I90" s="49"/>
      <c r="J90" s="15" t="s">
        <v>350</v>
      </c>
      <c r="K90" s="52">
        <f>B$75*(0.5*$K$84)/($K$84+$K$86+($B$7*$B$6*$B$4)+($B$9*$B$8*$B$5))</f>
        <v>1.1084344184849649E-3</v>
      </c>
      <c r="L90" s="49"/>
      <c r="M90" s="15" t="s">
        <v>354</v>
      </c>
      <c r="N90" s="52">
        <f>B$76*(0.5*$K$84)/($K$84+$K$85+$K$86+($B$7*$B$6*$B$4)+($B$9*$B$8*$B$5))</f>
        <v>1.3209177336790385E-4</v>
      </c>
      <c r="O90" s="15" t="s">
        <v>359</v>
      </c>
      <c r="P90" s="52">
        <f>B$76*(0.5*$K$84)/($K$84+$K$86+($B$7*$B$6*$B$4)+($B$9*$B$8*$B$5))</f>
        <v>1.1084344184849649E-3</v>
      </c>
      <c r="R90" s="1"/>
      <c r="S90" s="72"/>
      <c r="T90" s="11"/>
      <c r="U90" s="82"/>
      <c r="V90" s="49"/>
      <c r="W90" s="57"/>
      <c r="X90" s="42" t="s">
        <v>205</v>
      </c>
      <c r="AA90" s="42" t="s">
        <v>205</v>
      </c>
      <c r="AD90" s="48"/>
      <c r="AE90" s="49"/>
      <c r="AF90" s="49"/>
      <c r="AG90" s="15" t="s">
        <v>350</v>
      </c>
      <c r="AH90" s="95">
        <f>Y$75*(0.5*AH$84)/(AH$84+AH$86+($B$7*$B$6*$B$4)+($B$9*$B$8*$B$5))</f>
        <v>1.3209531401246657E-3</v>
      </c>
      <c r="AI90" s="49"/>
      <c r="AJ90" s="15" t="s">
        <v>354</v>
      </c>
      <c r="AK90" s="95">
        <f>Y$76*(0.5*AH$84)/(AH$84+AH$85+AH$86+($B$7*$B$6*$B$4)+($B$9*$B$8*$B$5))</f>
        <v>4.1022981266451079E-4</v>
      </c>
      <c r="AL90" s="15" t="s">
        <v>359</v>
      </c>
      <c r="AM90" s="95">
        <f>Y$77*(0.5*AH$84)/(AH$84+AH$86+($B$7*$B$6*$B$4)+($B$9*$B$8*$B$5))</f>
        <v>1.3209531401246657E-3</v>
      </c>
      <c r="AN90" s="11"/>
      <c r="AO90" s="11"/>
      <c r="AP90" s="11"/>
      <c r="AQ90" s="11"/>
      <c r="AR90" s="11"/>
      <c r="AS90" s="11"/>
      <c r="AT90" s="11"/>
      <c r="AU90" s="42" t="s">
        <v>205</v>
      </c>
      <c r="AX90" s="42" t="s">
        <v>205</v>
      </c>
      <c r="BA90" s="48"/>
      <c r="BB90" s="49"/>
      <c r="BC90" s="49"/>
      <c r="BD90" s="15" t="s">
        <v>350</v>
      </c>
      <c r="BE90" s="101">
        <f>AV$75*(0.5*BE$84)/(BE$84+BE$86+($B$7*$B$6*$B$4)+($B$9*$B$8*$B$5))</f>
        <v>3.8541838779842624E-4</v>
      </c>
      <c r="BF90" s="49"/>
      <c r="BG90" s="15" t="s">
        <v>354</v>
      </c>
      <c r="BH90" s="101">
        <f>AV$76*(0.5*BE$84)/(BE$84+BE$85+BE$86+($B$7*$B$6*$B$4)+($B$9*$B$8*$B$5))</f>
        <v>2.5974202943426389E-5</v>
      </c>
      <c r="BI90" s="15" t="s">
        <v>359</v>
      </c>
      <c r="BJ90" s="101">
        <f>AV$77*(0.5*BE$84)/(BE$84+BE$86+($B$7*$B$6*$B$4)+($B$9*$B$8*$B$5))</f>
        <v>3.8541838779842624E-4</v>
      </c>
      <c r="BK90" s="11"/>
      <c r="BL90" s="11"/>
      <c r="BM90" s="11"/>
      <c r="BN90" s="11"/>
      <c r="BO90" s="11"/>
      <c r="BP90" s="11"/>
      <c r="BQ90" s="11"/>
      <c r="CM90" s="11"/>
    </row>
    <row r="91" spans="1:91" ht="21" customHeight="1">
      <c r="A91" s="15" t="s">
        <v>341</v>
      </c>
      <c r="B91" s="52">
        <f>B$71*(0.5*$B$85)/($B$84+$B$85+$B$86+($B$7*$B$6*$B$4)+($B$9*$B$8*$B$5))</f>
        <v>5.4488939442531663E-4</v>
      </c>
      <c r="D91" s="15" t="s">
        <v>344</v>
      </c>
      <c r="E91" s="52">
        <f>B$72*(0.5*$B$85)/($B$84+$B$85+$B$86+($B$7*$B$6*$B$4)+($B$9*$B$8*$B$5))</f>
        <v>5.4488939442531663E-4</v>
      </c>
      <c r="G91" s="48"/>
      <c r="H91" s="49"/>
      <c r="I91" s="49"/>
      <c r="J91" s="44" t="s">
        <v>283</v>
      </c>
      <c r="K91" s="49"/>
      <c r="L91" s="49"/>
      <c r="M91" s="42" t="s">
        <v>205</v>
      </c>
      <c r="N91" s="52"/>
      <c r="O91" s="44" t="s">
        <v>283</v>
      </c>
      <c r="P91" s="49"/>
      <c r="R91" s="44"/>
      <c r="T91" s="11"/>
      <c r="U91" s="82"/>
      <c r="V91" s="49"/>
      <c r="W91" s="57"/>
      <c r="X91" s="15" t="s">
        <v>341</v>
      </c>
      <c r="Y91" s="52">
        <f>Y$71*(0.5*Y$85)/(Y$84+Y$85+Y$86+($B$7*$B$6*$B$4)+($B$9*$B$8*$B$5))</f>
        <v>4.7990291561761421E-4</v>
      </c>
      <c r="AA91" s="15" t="s">
        <v>344</v>
      </c>
      <c r="AB91" s="52">
        <f>Y$72*(0.5*Y$85)/(Y$84+Y$85+Y$86+($B$7*$B$6*$B$4)+($B$9*$B$8*$B$5))</f>
        <v>4.7990291561761421E-4</v>
      </c>
      <c r="AD91" s="48"/>
      <c r="AE91" s="49"/>
      <c r="AF91" s="49"/>
      <c r="AG91" s="44" t="s">
        <v>283</v>
      </c>
      <c r="AH91" s="49"/>
      <c r="AI91" s="49"/>
      <c r="AJ91" s="42" t="s">
        <v>205</v>
      </c>
      <c r="AK91" s="52"/>
      <c r="AL91" s="44" t="s">
        <v>283</v>
      </c>
      <c r="AM91" s="49"/>
      <c r="AN91" s="11"/>
      <c r="AO91" s="11"/>
      <c r="AP91" s="11"/>
      <c r="AQ91" s="11"/>
      <c r="AR91" s="11"/>
      <c r="AS91" s="11"/>
      <c r="AT91" s="11"/>
      <c r="AU91" s="15" t="s">
        <v>341</v>
      </c>
      <c r="AV91" s="52">
        <f>AV$71*(0.5*AV$85)/(AV$84+AV$85+AV$86+($B$7*$B$6*$B$4)+($B$9*$B$8*$B$5))</f>
        <v>3.3846315123611668E-4</v>
      </c>
      <c r="AX91" s="15" t="s">
        <v>344</v>
      </c>
      <c r="AY91" s="52">
        <f>AV$72*(0.5*AV$85)/(AV$84+AV$85+AV$86+($B$7*$B$6*$B$4)+($B$9*$B$8*$B$5))</f>
        <v>3.3846315123611668E-4</v>
      </c>
      <c r="BA91" s="48"/>
      <c r="BB91" s="49"/>
      <c r="BC91" s="49"/>
      <c r="BD91" s="44" t="s">
        <v>283</v>
      </c>
      <c r="BE91" s="49"/>
      <c r="BF91" s="49"/>
      <c r="BG91" s="42" t="s">
        <v>205</v>
      </c>
      <c r="BH91" s="52"/>
      <c r="BI91" s="44" t="s">
        <v>283</v>
      </c>
      <c r="BJ91" s="49"/>
    </row>
    <row r="92" spans="1:91" ht="21" customHeight="1">
      <c r="A92" s="15" t="s">
        <v>342</v>
      </c>
      <c r="B92" s="52">
        <f>B$71*(0.5*$B$85)/($B$84+$B$85+$B$86+($B$7*$B$6*$B$4)+($B$9*$B$8*$B$5))</f>
        <v>5.4488939442531663E-4</v>
      </c>
      <c r="D92" s="15" t="s">
        <v>345</v>
      </c>
      <c r="E92" s="52">
        <f>B$72*(0.5*$B$85)/($B$84+$B$85+$B$86+($B$7*$B$6*$B$4)+($B$9*$B$8*$B$5))</f>
        <v>5.4488939442531663E-4</v>
      </c>
      <c r="G92" s="48"/>
      <c r="H92" s="49"/>
      <c r="I92" s="49"/>
      <c r="J92" s="15" t="s">
        <v>351</v>
      </c>
      <c r="K92" s="52">
        <f>B$75*($K$86)/($K$84+$K$86+($B$7*$B$6*$B$4)+($B$9*$B$8*$B$5))</f>
        <v>1.386631282850182E-3</v>
      </c>
      <c r="L92" s="49"/>
      <c r="M92" s="1" t="s">
        <v>355</v>
      </c>
      <c r="N92" s="72">
        <f>B$76*($K$85)/($K$84+$K$85+$K$86+($B$7*$B$6*$B$4)+($B$9*$B$8*$B$5))</f>
        <v>3.3530988624160206E-3</v>
      </c>
      <c r="O92" s="15" t="s">
        <v>360</v>
      </c>
      <c r="P92" s="52">
        <f>B$76*($K$86)/($K$84+$K$86+($B$7*$B$6*$B$4)+($B$9*$B$8*$B$5))</f>
        <v>1.386631282850182E-3</v>
      </c>
      <c r="R92" s="15"/>
      <c r="S92" s="52"/>
      <c r="T92" s="11"/>
      <c r="U92" s="82"/>
      <c r="V92" s="49"/>
      <c r="W92" s="57"/>
      <c r="X92" s="15" t="s">
        <v>342</v>
      </c>
      <c r="Y92" s="52">
        <f>Y$71*(0.5*Y$85)/(Y$84+Y$85+Y$86+($B$7*$B$6*$B$4)+($B$9*$B$8*$B$5))</f>
        <v>4.7990291561761421E-4</v>
      </c>
      <c r="AA92" s="15" t="s">
        <v>345</v>
      </c>
      <c r="AB92" s="52">
        <f>Y$72*(0.5*Y$85)/(Y$84+Y$85+Y$86+($B$7*$B$6*$B$4)+($B$9*$B$8*$B$5))</f>
        <v>4.7990291561761421E-4</v>
      </c>
      <c r="AD92" s="48"/>
      <c r="AE92" s="49"/>
      <c r="AF92" s="49"/>
      <c r="AG92" s="15" t="s">
        <v>351</v>
      </c>
      <c r="AH92" s="52">
        <f>Y$75*(AH$86)/(AH$84+AH$86+($B$7*$B$6*$B$4)+($B$9*$B$8*$B$5))</f>
        <v>3.3049766711135147E-4</v>
      </c>
      <c r="AI92" s="49"/>
      <c r="AJ92" s="1" t="s">
        <v>355</v>
      </c>
      <c r="AK92" s="72">
        <f>Y$76*(AH$85)/(AH$84+AH$85+AH$86+($B$7*$B$6*$B$4)+($B$9*$B$8*$B$5))</f>
        <v>2.0827052027582857E-3</v>
      </c>
      <c r="AL92" s="15" t="s">
        <v>360</v>
      </c>
      <c r="AM92" s="52">
        <f>Y$77*(AH$86)/(AH$84+AH$86+($B$7*$B$6*$B$4)+($B$9*$B$8*$B$5))</f>
        <v>3.3049766711135147E-4</v>
      </c>
      <c r="AN92" s="11"/>
      <c r="AO92" s="11"/>
      <c r="AP92" s="11"/>
      <c r="AQ92" s="11"/>
      <c r="AR92" s="11"/>
      <c r="AS92" s="11"/>
      <c r="AT92" s="11"/>
      <c r="AU92" s="15" t="s">
        <v>342</v>
      </c>
      <c r="AV92" s="52">
        <f>AV$71*(0.5*AV$85)/(AV$84+AV$85+AV$86+($B$7*$B$6*$B$4)+($B$9*$B$8*$B$5))</f>
        <v>3.3846315123611668E-4</v>
      </c>
      <c r="AX92" s="15" t="s">
        <v>345</v>
      </c>
      <c r="AY92" s="52">
        <f>AV$72*(0.5*AV$85)/(AV$84+AV$85+AV$86+($B$7*$B$6*$B$4)+($B$9*$B$8*$B$5))</f>
        <v>3.3846315123611668E-4</v>
      </c>
      <c r="BA92" s="48"/>
      <c r="BB92" s="49"/>
      <c r="BC92" s="49"/>
      <c r="BD92" s="15" t="s">
        <v>351</v>
      </c>
      <c r="BE92" s="52">
        <f>AV$75*(BE$86)/(BE$84+BE$86+($B$7*$B$6*$B$4)+($B$9*$B$8*$B$5))</f>
        <v>2.4107569405750545E-3</v>
      </c>
      <c r="BF92" s="49"/>
      <c r="BG92" s="1" t="s">
        <v>355</v>
      </c>
      <c r="BH92" s="72">
        <f>AV$76*(BE$85)/(BE$84+BE$85+BE$86+($B$7*$B$6*$B$4)+($B$9*$B$8*$B$5))</f>
        <v>3.2967257582041188E-3</v>
      </c>
      <c r="BI92" s="15" t="s">
        <v>360</v>
      </c>
      <c r="BJ92" s="52">
        <f>AV$77*(BE$86)/(BE$84+BE$86+($B$7*$B$6*$B$4)+($B$9*$B$8*$B$5))</f>
        <v>2.4107569405750545E-3</v>
      </c>
    </row>
    <row r="93" spans="1:91" ht="21" customHeight="1">
      <c r="A93" s="44" t="s">
        <v>283</v>
      </c>
      <c r="D93" s="44" t="s">
        <v>283</v>
      </c>
      <c r="G93" s="48"/>
      <c r="H93" s="49"/>
      <c r="I93" s="49"/>
      <c r="J93" s="49"/>
      <c r="K93" s="49"/>
      <c r="L93" s="49"/>
      <c r="M93" s="44" t="s">
        <v>283</v>
      </c>
      <c r="N93" s="49"/>
      <c r="S93" s="11"/>
      <c r="T93" s="11"/>
      <c r="U93" s="82"/>
      <c r="V93" s="49"/>
      <c r="W93" s="57"/>
      <c r="X93" s="44" t="s">
        <v>283</v>
      </c>
      <c r="AA93" s="44" t="s">
        <v>283</v>
      </c>
      <c r="AD93" s="48"/>
      <c r="AE93" s="49"/>
      <c r="AF93" s="49"/>
      <c r="AG93" s="49"/>
      <c r="AH93" s="49"/>
      <c r="AI93" s="49"/>
      <c r="AJ93" s="44" t="s">
        <v>283</v>
      </c>
      <c r="AK93" s="49"/>
      <c r="AN93" s="11"/>
      <c r="AO93" s="11"/>
      <c r="AP93" s="11"/>
      <c r="AQ93" s="11"/>
      <c r="AR93" s="11"/>
      <c r="AS93" s="11"/>
      <c r="AT93" s="11"/>
      <c r="AU93" s="44" t="s">
        <v>283</v>
      </c>
      <c r="AX93" s="44" t="s">
        <v>283</v>
      </c>
      <c r="BA93" s="48"/>
      <c r="BB93" s="49"/>
      <c r="BC93" s="49"/>
      <c r="BD93" s="49"/>
      <c r="BE93" s="49"/>
      <c r="BF93" s="49"/>
      <c r="BG93" s="44" t="s">
        <v>283</v>
      </c>
      <c r="BH93" s="49"/>
    </row>
    <row r="94" spans="1:91" ht="21" customHeight="1">
      <c r="A94" s="15" t="s">
        <v>463</v>
      </c>
      <c r="B94" s="52">
        <f>B$71*($B$86)/($B$84+$B$85+$B$86+($B$7*$B$6*$B$4)+($B$9*$B$8*$B$5))</f>
        <v>9.0064180214900116E-3</v>
      </c>
      <c r="D94" s="15" t="s">
        <v>344</v>
      </c>
      <c r="E94" s="52">
        <f>B$72*($B$86)/($B$84+$B$85+$B$86+($B$7*$B$6*$B$4)+($B$9*$B$8*$B$5))</f>
        <v>9.0064180214900116E-3</v>
      </c>
      <c r="G94" s="48"/>
      <c r="H94" s="49"/>
      <c r="I94" s="49"/>
      <c r="J94" s="49"/>
      <c r="K94" s="49"/>
      <c r="L94" s="49"/>
      <c r="M94" s="15" t="s">
        <v>356</v>
      </c>
      <c r="N94" s="52">
        <f>B$76*($K$86)/($K$84+$K$85+$K$86+($B$7*$B$6*$B$4)+($B$9*$B$8*$B$5))</f>
        <v>1.6524440427377122E-4</v>
      </c>
      <c r="S94" s="11"/>
      <c r="T94" s="11"/>
      <c r="U94" s="82"/>
      <c r="V94" s="49"/>
      <c r="W94" s="57"/>
      <c r="X94" s="15" t="s">
        <v>341</v>
      </c>
      <c r="Y94" s="95">
        <f>Y$71*(Y$86)/(Y$84+Y$85+Y$86+($B$7*$B$6*$B$4)+($B$9*$B$8*$B$5))</f>
        <v>3.9661317617886646E-2</v>
      </c>
      <c r="AA94" s="15" t="s">
        <v>344</v>
      </c>
      <c r="AB94" s="95">
        <f>Y$72*(Y$86)/(Y$84+Y$85+Y$86+($B$7*$B$6*$B$4)+($B$9*$B$8*$B$5))</f>
        <v>3.9661317617886646E-2</v>
      </c>
      <c r="AD94" s="48"/>
      <c r="AE94" s="49"/>
      <c r="AF94" s="49"/>
      <c r="AG94" s="49"/>
      <c r="AH94" s="49"/>
      <c r="AI94" s="49"/>
      <c r="AJ94" s="15" t="s">
        <v>356</v>
      </c>
      <c r="AK94" s="52">
        <f>Y$76*(AH$86)/(AH$84+AH$85+AH$86+($B$7*$B$6*$B$4)+($B$9*$B$8*$B$5))</f>
        <v>1.0263800580568069E-4</v>
      </c>
      <c r="AN94" s="11"/>
      <c r="AO94" s="11"/>
      <c r="AP94" s="11"/>
      <c r="AQ94" s="11"/>
      <c r="AR94" s="11"/>
      <c r="AS94" s="11"/>
      <c r="AT94" s="11"/>
      <c r="AU94" s="15" t="s">
        <v>341</v>
      </c>
      <c r="AV94" s="101">
        <f>AV$71*(AV$86)/(AV$84+AV$85+AV$86+($B$7*$B$6*$B$4)+($B$9*$B$8*$B$5))</f>
        <v>1.1188841831352879E-3</v>
      </c>
      <c r="AX94" s="15" t="s">
        <v>344</v>
      </c>
      <c r="AY94" s="101">
        <f>AV$72*(AV$86)/(AV$84+AV$85+AV$86+($B$7*$B$6*$B$4)+($B$9*$B$8*$B$5))</f>
        <v>1.1188841831352879E-3</v>
      </c>
      <c r="BA94" s="48"/>
      <c r="BB94" s="49"/>
      <c r="BC94" s="49"/>
      <c r="BD94" s="49"/>
      <c r="BE94" s="49"/>
      <c r="BF94" s="49"/>
      <c r="BG94" s="15" t="s">
        <v>356</v>
      </c>
      <c r="BH94" s="52">
        <f>AV$76*(BE$86)/(BE$84+BE$85+BE$86+($B$7*$B$6*$B$4)+($B$9*$B$8*$B$5))</f>
        <v>1.6246627562180329E-4</v>
      </c>
    </row>
    <row r="95" spans="1:91" ht="21" customHeight="1">
      <c r="A95" s="68" t="s">
        <v>326</v>
      </c>
      <c r="B95" s="67">
        <f>B91+B92+B94+E91+E92+E94+H89+K89+K90+K92+N89+N90+N94+P89+P90+P92</f>
        <v>3.7964846266293616E-2</v>
      </c>
      <c r="C95" s="104">
        <f>Y95-B95</f>
        <v>9.0909945860704389E-2</v>
      </c>
      <c r="G95" s="48"/>
      <c r="H95" s="49"/>
      <c r="I95" s="49"/>
      <c r="J95" s="49"/>
      <c r="K95" s="49"/>
      <c r="L95" s="49"/>
      <c r="S95" s="11"/>
      <c r="T95" s="11"/>
      <c r="U95" s="82"/>
      <c r="V95" s="49"/>
      <c r="W95" s="57"/>
      <c r="X95" s="102" t="s">
        <v>326</v>
      </c>
      <c r="Y95" s="95">
        <f>Y91+Y92+Y94+AB91+AB92+AB94+AE89+AH89+AH90+AH92+AK89+AK90+AK94+AM89+AM90+AM92</f>
        <v>0.12887479212699801</v>
      </c>
      <c r="AD95" s="48"/>
      <c r="AE95" s="49"/>
      <c r="AF95" s="49"/>
      <c r="AG95" s="49"/>
      <c r="AH95" s="49"/>
      <c r="AI95" s="49"/>
      <c r="AN95" s="11"/>
      <c r="AO95" s="11"/>
      <c r="AP95" s="11"/>
      <c r="AQ95" s="11"/>
      <c r="AR95" s="11"/>
      <c r="AS95" s="11"/>
      <c r="AT95" s="11"/>
      <c r="AU95" s="103" t="s">
        <v>326</v>
      </c>
      <c r="AV95" s="101">
        <f>AV91+AV92+AV94+AY91+AY92+AY94+BB89+BE89+BE90+BE92+BH89+BH90+BH94+BJ89+BJ90+BJ92</f>
        <v>1.2058635167139644E-2</v>
      </c>
      <c r="BA95" s="48"/>
      <c r="BB95" s="49"/>
      <c r="BC95" s="49"/>
      <c r="BD95" s="49"/>
      <c r="BE95" s="49"/>
      <c r="BF95" s="49"/>
    </row>
    <row r="96" spans="1:91" ht="21" customHeight="1">
      <c r="A96" s="24"/>
      <c r="B96" s="75"/>
      <c r="C96" s="104">
        <f>AV95-B95</f>
        <v>-2.5906211099153972E-2</v>
      </c>
      <c r="G96" s="48"/>
      <c r="H96" s="49"/>
      <c r="I96" s="49"/>
      <c r="J96" s="49"/>
      <c r="K96" s="49"/>
      <c r="L96" s="49"/>
      <c r="S96" s="11"/>
      <c r="T96" s="11"/>
      <c r="U96" s="82"/>
      <c r="V96" s="49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91" s="64" customFormat="1" ht="21" customHeight="1">
      <c r="A97" s="63" t="s">
        <v>361</v>
      </c>
      <c r="B97" s="84"/>
      <c r="G97" s="85"/>
      <c r="H97" s="86"/>
      <c r="I97" s="86"/>
      <c r="J97" s="86"/>
      <c r="K97" s="86"/>
      <c r="L97" s="86"/>
      <c r="U97" s="87"/>
      <c r="V97" s="86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91" ht="21" customHeight="1">
      <c r="A98" s="88" t="s">
        <v>416</v>
      </c>
      <c r="B98" s="75"/>
      <c r="G98" s="48"/>
      <c r="H98" s="49"/>
      <c r="I98" s="49"/>
      <c r="J98" s="49"/>
      <c r="K98" s="49"/>
      <c r="L98" s="49"/>
      <c r="S98" s="11"/>
      <c r="T98" s="11"/>
      <c r="U98" s="82"/>
      <c r="V98" s="49"/>
      <c r="W98" s="57"/>
      <c r="X98" s="89" t="s">
        <v>417</v>
      </c>
      <c r="Y98" s="89" t="s">
        <v>418</v>
      </c>
      <c r="Z98" s="91">
        <v>0.1</v>
      </c>
      <c r="AD98" s="48"/>
      <c r="AE98" s="49"/>
      <c r="AF98" s="49"/>
      <c r="AG98" s="49"/>
      <c r="AH98" s="49"/>
      <c r="AI98" s="49"/>
      <c r="AN98" s="11"/>
      <c r="AO98" s="11"/>
      <c r="AP98" s="11"/>
      <c r="AQ98" s="11"/>
      <c r="AR98" s="11"/>
      <c r="AS98" s="11"/>
      <c r="AT98" s="11"/>
      <c r="AU98" s="90" t="s">
        <v>420</v>
      </c>
      <c r="AV98" s="90" t="s">
        <v>418</v>
      </c>
      <c r="AW98" s="97">
        <v>0.1</v>
      </c>
      <c r="BA98" s="48"/>
      <c r="BB98" s="49"/>
      <c r="BC98" s="49"/>
      <c r="BD98" s="49"/>
      <c r="BE98" s="49"/>
      <c r="BF98" s="49"/>
      <c r="BR98" s="106" t="s">
        <v>421</v>
      </c>
      <c r="BS98" s="11"/>
      <c r="CM98" s="11"/>
    </row>
    <row r="99" spans="1:91" ht="21" customHeight="1">
      <c r="A99" s="40" t="s">
        <v>295</v>
      </c>
      <c r="G99" s="48"/>
      <c r="H99" s="49"/>
      <c r="I99" s="49"/>
      <c r="J99" s="49"/>
      <c r="K99" s="49"/>
      <c r="L99" s="49"/>
      <c r="S99" s="11"/>
      <c r="T99" s="11"/>
      <c r="U99" s="82"/>
      <c r="V99" s="49"/>
      <c r="W99" s="57"/>
      <c r="X99" s="40" t="s">
        <v>295</v>
      </c>
      <c r="AD99" s="48"/>
      <c r="AE99" s="49"/>
      <c r="AF99" s="49"/>
      <c r="AG99" s="49"/>
      <c r="AH99" s="49"/>
      <c r="AI99" s="49"/>
      <c r="AN99" s="11"/>
      <c r="AO99" s="11"/>
      <c r="AP99" s="11"/>
      <c r="AQ99" s="11"/>
      <c r="AR99" s="11"/>
      <c r="AS99" s="11"/>
      <c r="AT99" s="11"/>
      <c r="AU99" s="40" t="s">
        <v>295</v>
      </c>
      <c r="BA99" s="48"/>
      <c r="BB99" s="49"/>
      <c r="BC99" s="49"/>
      <c r="BD99" s="49"/>
      <c r="BE99" s="49"/>
      <c r="BF99" s="49"/>
      <c r="BS99" s="1" t="s">
        <v>422</v>
      </c>
      <c r="BT99" s="16"/>
      <c r="BU99" s="16"/>
      <c r="BV99" s="16"/>
      <c r="BX99" s="45"/>
      <c r="BY99" s="16"/>
      <c r="BZ99" s="16"/>
      <c r="CA99" s="16"/>
      <c r="CB99" s="16"/>
      <c r="CC99" s="16"/>
      <c r="CD99" s="16"/>
      <c r="CF99" s="16"/>
      <c r="CG99" s="16"/>
      <c r="CH99" s="16"/>
      <c r="CJ99" s="16"/>
      <c r="CK99" s="51"/>
      <c r="CL99" s="51"/>
    </row>
    <row r="100" spans="1:91" ht="21" customHeight="1">
      <c r="A100" s="15" t="s">
        <v>362</v>
      </c>
      <c r="G100" s="15" t="s">
        <v>369</v>
      </c>
      <c r="K100" s="49"/>
      <c r="L100" s="49"/>
      <c r="S100" s="11"/>
      <c r="T100" s="11"/>
      <c r="U100" s="82"/>
      <c r="V100" s="49"/>
      <c r="W100" s="57"/>
      <c r="X100" s="15" t="s">
        <v>362</v>
      </c>
      <c r="AD100" s="15" t="s">
        <v>369</v>
      </c>
      <c r="AH100" s="49"/>
      <c r="AI100" s="49"/>
      <c r="AN100" s="11"/>
      <c r="AO100" s="11"/>
      <c r="AP100" s="11"/>
      <c r="AQ100" s="11"/>
      <c r="AR100" s="11"/>
      <c r="AS100" s="11"/>
      <c r="AT100" s="11"/>
      <c r="AU100" s="15" t="s">
        <v>362</v>
      </c>
      <c r="BA100" s="15" t="s">
        <v>369</v>
      </c>
      <c r="BE100" s="49"/>
      <c r="BF100" s="49"/>
      <c r="BR100" s="5" t="s">
        <v>233</v>
      </c>
      <c r="BS100" s="15" t="s">
        <v>447</v>
      </c>
      <c r="BT100" s="15" t="s">
        <v>448</v>
      </c>
      <c r="BU100" s="15" t="s">
        <v>449</v>
      </c>
      <c r="BV100" s="15" t="s">
        <v>450</v>
      </c>
      <c r="BW100" s="15" t="s">
        <v>451</v>
      </c>
      <c r="BX100" s="15" t="s">
        <v>452</v>
      </c>
      <c r="BY100" s="15" t="s">
        <v>453</v>
      </c>
      <c r="BZ100" s="15" t="s">
        <v>454</v>
      </c>
      <c r="CA100" s="15" t="s">
        <v>455</v>
      </c>
      <c r="CB100" s="15" t="s">
        <v>456</v>
      </c>
      <c r="CC100" s="15" t="s">
        <v>457</v>
      </c>
      <c r="CD100" s="15" t="s">
        <v>458</v>
      </c>
      <c r="CE100" s="15" t="s">
        <v>459</v>
      </c>
      <c r="CF100" s="15" t="s">
        <v>460</v>
      </c>
      <c r="CG100" s="15" t="s">
        <v>461</v>
      </c>
      <c r="CH100" s="15" t="s">
        <v>462</v>
      </c>
      <c r="CI100" s="51" t="s">
        <v>234</v>
      </c>
      <c r="CJ100" s="46"/>
      <c r="CK100" s="52"/>
      <c r="CL100" s="52"/>
    </row>
    <row r="101" spans="1:91" ht="21" customHeight="1">
      <c r="A101" t="s">
        <v>262</v>
      </c>
      <c r="B101" s="66">
        <v>0.67</v>
      </c>
      <c r="C101" s="11" t="s">
        <v>363</v>
      </c>
      <c r="G101" t="s">
        <v>262</v>
      </c>
      <c r="H101" s="66">
        <v>0.67</v>
      </c>
      <c r="I101" s="11" t="s">
        <v>363</v>
      </c>
      <c r="K101" s="49"/>
      <c r="L101" s="49"/>
      <c r="T101" s="11"/>
      <c r="U101" s="82"/>
      <c r="V101" s="49"/>
      <c r="W101" s="57"/>
      <c r="X101" t="s">
        <v>262</v>
      </c>
      <c r="Y101" s="66">
        <f>$B$101+(1-$B$101)*Z$98</f>
        <v>0.70300000000000007</v>
      </c>
      <c r="Z101" s="11" t="s">
        <v>363</v>
      </c>
      <c r="AD101" t="s">
        <v>262</v>
      </c>
      <c r="AE101" s="66">
        <f>$H$101+(1-$H$101)*Z$98</f>
        <v>0.70300000000000007</v>
      </c>
      <c r="AF101" s="11" t="s">
        <v>363</v>
      </c>
      <c r="AH101" s="49"/>
      <c r="AI101" s="49"/>
      <c r="AN101" s="11"/>
      <c r="AO101" s="11"/>
      <c r="AP101" s="11"/>
      <c r="AQ101" s="11"/>
      <c r="AR101" s="11"/>
      <c r="AS101" s="11"/>
      <c r="AT101" s="11"/>
      <c r="AU101" t="s">
        <v>262</v>
      </c>
      <c r="AV101" s="66">
        <f>$B$101-($B$101*AW$98)</f>
        <v>0.60299999999999998</v>
      </c>
      <c r="AW101" s="11" t="s">
        <v>363</v>
      </c>
      <c r="BA101" t="s">
        <v>262</v>
      </c>
      <c r="BB101" s="66">
        <f>$H$101-($H$101*AW$98)</f>
        <v>0.60299999999999998</v>
      </c>
      <c r="BC101" s="11" t="s">
        <v>363</v>
      </c>
      <c r="BE101" s="49"/>
      <c r="BF101" s="49"/>
      <c r="BR101" s="32">
        <v>1E-3</v>
      </c>
      <c r="BS101" s="52">
        <f>$B$114*(0.5*$B$128)/($B$127+$B$128+$B$129+($B$7*$BR101*$B$4)+($B$9*$B$8*$B$5))</f>
        <v>1.400080675543445E-4</v>
      </c>
      <c r="BT101" s="52">
        <f>$B$114*(0.5*$B$128)/($B$127+$B$128+$B$129+($B$7*$BR101*$B$4)+($B$9*$B$8*$B$5))</f>
        <v>1.400080675543445E-4</v>
      </c>
      <c r="BU101" s="52">
        <f>$B$114*($B$129)/($B$127+$B$128+$B$129+($B$7*$BR101*$B$4)+($B$9*$B$8*$B$5))</f>
        <v>6.9642847657666439E-3</v>
      </c>
      <c r="BV101" s="52">
        <f>$B$115*(0.5*$B$128)/($B$127+$B$128+$B$129+($B$7*$BR101*$B$4)+($B$9*$B$8*$B$5))</f>
        <v>1.400080675543445E-4</v>
      </c>
      <c r="BW101" s="52">
        <f>$B$115*(0.5*$B$128)/($B$127+$B$128+$B$129+($B$7*$BR101*$B$4)+($B$9*$B$8*$B$5))</f>
        <v>1.400080675543445E-4</v>
      </c>
      <c r="BX101" s="52">
        <f>$B$115*($B$129)/($B$127+$B$128+$B$129+($B$7*$BR101*$B$4)+($B$9*$B$8*$B$5))</f>
        <v>6.9642847657666439E-3</v>
      </c>
      <c r="BY101" s="52">
        <f>$B$116*($H$129)/($H$129+($B$7*$BR101*$B$4)+($B$9*$B$8*$B$5))</f>
        <v>1.6554547871767078E-2</v>
      </c>
      <c r="BZ101" s="52">
        <f>$B$118*(0.5*$K$127)/($K$127+$K$129+($B$7*$BR101*$B$4)+($B$9*$B$8*$B$5))</f>
        <v>2.2806479419822554E-3</v>
      </c>
      <c r="CA101" s="52">
        <f>$B$118*(0.5*$K$127)/($K$127+$K$129+($B$7*$BR101*$B$4)+($B$9*$B$8*$B$5))</f>
        <v>2.2806479419822554E-3</v>
      </c>
      <c r="CB101" s="52">
        <f>$B$118*($K$129)/($K$127+$K$129+($B$7*$BR101*$B$4)+($B$9*$B$8*$B$5))</f>
        <v>3.9255485512376486E-4</v>
      </c>
      <c r="CC101" s="52">
        <f>$B$119*(0.5*$K$127)/($K$127+$K$128+$K$129+($B$7*$BR101*$B$4)+($B$9*$B$8*$B$5))</f>
        <v>6.904828027780159E-4</v>
      </c>
      <c r="CD101" s="52">
        <f>$B$119*(0.5*$K$127)/($K$127+$K$128+$K$129+($B$7*$BR101*$B$4)+($B$9*$B$8*$B$5))</f>
        <v>6.904828027780159E-4</v>
      </c>
      <c r="CE101" s="52">
        <f>$B$119*($K$129)/($K$127+$K$128+$K$129+($B$7*$BR101*$B$4)+($B$9*$B$8*$B$5))</f>
        <v>1.1884884625129225E-4</v>
      </c>
      <c r="CF101" s="52">
        <f>$B$120*(0.5*$K$127)/($K$127+$K$129+($B$7*$BR101*$B$4)+($B$9*$B$8*$B$5))</f>
        <v>2.2806479419822554E-3</v>
      </c>
      <c r="CG101" s="52">
        <f>$B$120*(0.5*$K$127)/($K$127+$K$129+($B$7*$BR101*$B$4)+($B$9*$B$8*$B$5))</f>
        <v>2.2806479419822554E-3</v>
      </c>
      <c r="CH101" s="52">
        <f>$B$120*($K$129)/($K$127+$K$129+($B$7*$BR101*$B$4)+($B$9*$B$8*$B$5))</f>
        <v>3.9255485512376486E-4</v>
      </c>
      <c r="CI101" s="72">
        <f>2*SUM(BS101:CH101)</f>
        <v>8.4901331207003231E-2</v>
      </c>
      <c r="CJ101" s="46"/>
      <c r="CK101" s="52"/>
      <c r="CL101" s="52"/>
    </row>
    <row r="102" spans="1:91" ht="21" customHeight="1">
      <c r="A102" t="s">
        <v>364</v>
      </c>
      <c r="B102" s="66">
        <v>0.37</v>
      </c>
      <c r="C102" t="s">
        <v>365</v>
      </c>
      <c r="G102" t="s">
        <v>364</v>
      </c>
      <c r="H102" s="66">
        <v>0.37</v>
      </c>
      <c r="I102" t="s">
        <v>365</v>
      </c>
      <c r="K102" s="49"/>
      <c r="L102" s="49"/>
      <c r="T102" s="11"/>
      <c r="U102" s="82"/>
      <c r="V102" s="49"/>
      <c r="W102" s="57"/>
      <c r="X102" t="s">
        <v>364</v>
      </c>
      <c r="Y102" s="66">
        <f>$B$102+(1-$B$102)*Z$98</f>
        <v>0.433</v>
      </c>
      <c r="Z102" t="s">
        <v>365</v>
      </c>
      <c r="AD102" t="s">
        <v>364</v>
      </c>
      <c r="AE102" s="66">
        <f>$H$102+(1-$H$102)*Z$98</f>
        <v>0.433</v>
      </c>
      <c r="AF102" t="s">
        <v>365</v>
      </c>
      <c r="AH102" s="49"/>
      <c r="AI102" s="49"/>
      <c r="AN102" s="11"/>
      <c r="AO102" s="11"/>
      <c r="AP102" s="11"/>
      <c r="AQ102" s="11"/>
      <c r="AR102" s="11"/>
      <c r="AS102" s="11"/>
      <c r="AT102" s="11"/>
      <c r="AU102" t="s">
        <v>364</v>
      </c>
      <c r="AV102" s="66">
        <f>$B$102-($B$102*AW$98)</f>
        <v>0.33300000000000002</v>
      </c>
      <c r="AW102" t="s">
        <v>365</v>
      </c>
      <c r="BA102" t="s">
        <v>364</v>
      </c>
      <c r="BB102" s="66">
        <f>$H$102-($H$102*AW$98)</f>
        <v>0.33300000000000002</v>
      </c>
      <c r="BC102" t="s">
        <v>365</v>
      </c>
      <c r="BE102" s="49"/>
      <c r="BF102" s="49"/>
      <c r="BR102" s="32">
        <v>2E-3</v>
      </c>
      <c r="BS102" s="52">
        <f t="shared" ref="BS102:BT129" si="35">$B$114*(0.5*$B$128)/($B$127+$B$128+$B$129+($B$7*$BR102*$B$4)+($B$9*$B$8*$B$5))</f>
        <v>1.4000672607183257E-4</v>
      </c>
      <c r="BT102" s="52">
        <f t="shared" si="35"/>
        <v>1.4000672607183257E-4</v>
      </c>
      <c r="BU102" s="52">
        <f t="shared" ref="BU102:BU129" si="36">$B$114*($B$129)/($B$127+$B$128+$B$129+($B$7*$BR102*$B$4)+($B$9*$B$8*$B$5))</f>
        <v>6.9642180377102927E-3</v>
      </c>
      <c r="BV102" s="52">
        <f t="shared" ref="BV102:BW129" si="37">$B$115*(0.5*$B$128)/($B$127+$B$128+$B$129+($B$7*$BR102*$B$4)+($B$9*$B$8*$B$5))</f>
        <v>1.4000672607183257E-4</v>
      </c>
      <c r="BW102" s="52">
        <f t="shared" si="37"/>
        <v>1.4000672607183257E-4</v>
      </c>
      <c r="BX102" s="52">
        <f t="shared" ref="BX102:BX129" si="38">$B$115*($B$129)/($B$127+$B$128+$B$129+($B$7*$BR102*$B$4)+($B$9*$B$8*$B$5))</f>
        <v>6.9642180377102927E-3</v>
      </c>
      <c r="BY102" s="52">
        <f t="shared" ref="BY102:BY129" si="39">$B$116*($H$129)/($H$129+($B$7*$BR102*$B$4)+($B$9*$B$8*$B$5))</f>
        <v>1.6554085751560112E-2</v>
      </c>
      <c r="BZ102" s="52">
        <f t="shared" ref="BZ102:CA129" si="40">$B$118*(0.5*$K$127)/($K$127+$K$129+($B$7*$BR102*$B$4)+($B$9*$B$8*$B$5))</f>
        <v>2.27934211245019E-3</v>
      </c>
      <c r="CA102" s="52">
        <f t="shared" si="40"/>
        <v>2.27934211245019E-3</v>
      </c>
      <c r="CB102" s="52">
        <f t="shared" ref="CB102:CB129" si="41">$B$118*($K$129)/($K$127+$K$129+($B$7*$BR102*$B$4)+($B$9*$B$8*$B$5))</f>
        <v>3.9233009017283137E-4</v>
      </c>
      <c r="CC102" s="52">
        <f t="shared" ref="CC102:CD129" si="42">$B$119*(0.5*$K$127)/($K$127+$K$128+$K$129+($B$7*$BR102*$B$4)+($B$9*$B$8*$B$5))</f>
        <v>6.9036306005395339E-4</v>
      </c>
      <c r="CD102" s="52">
        <f t="shared" si="42"/>
        <v>6.9036306005395339E-4</v>
      </c>
      <c r="CE102" s="52">
        <f t="shared" ref="CE102:CE129" si="43">$B$119*($K$129)/($K$127+$K$128+$K$129+($B$7*$BR102*$B$4)+($B$9*$B$8*$B$5))</f>
        <v>1.1882823562269361E-4</v>
      </c>
      <c r="CF102" s="52">
        <f t="shared" ref="CF102:CG129" si="44">$B$120*(0.5*$K$127)/($K$127+$K$129+($B$7*$BR102*$B$4)+($B$9*$B$8*$B$5))</f>
        <v>2.27934211245019E-3</v>
      </c>
      <c r="CG102" s="52">
        <f t="shared" si="44"/>
        <v>2.27934211245019E-3</v>
      </c>
      <c r="CH102" s="52">
        <f t="shared" ref="CH102:CH129" si="45">$B$120*($K$129)/($K$127+$K$129+($B$7*$BR102*$B$4)+($B$9*$B$8*$B$5))</f>
        <v>3.9233009017283137E-4</v>
      </c>
      <c r="CI102" s="72">
        <f t="shared" ref="CI102:CI126" si="46">2*SUM(BS102:CH102)</f>
        <v>8.4888263434290123E-2</v>
      </c>
      <c r="CJ102" s="46"/>
      <c r="CK102" s="52"/>
      <c r="CL102" s="52"/>
    </row>
    <row r="103" spans="1:91" ht="21" customHeight="1">
      <c r="A103" t="s">
        <v>367</v>
      </c>
      <c r="B103" s="66">
        <v>0.5</v>
      </c>
      <c r="C103" t="s">
        <v>368</v>
      </c>
      <c r="G103" t="s">
        <v>370</v>
      </c>
      <c r="H103" s="66">
        <v>0.5</v>
      </c>
      <c r="I103" t="s">
        <v>368</v>
      </c>
      <c r="K103" s="49"/>
      <c r="L103" s="49"/>
      <c r="S103" s="41"/>
      <c r="T103" s="11"/>
      <c r="U103" s="82"/>
      <c r="V103" s="49"/>
      <c r="W103" s="57"/>
      <c r="X103" t="s">
        <v>367</v>
      </c>
      <c r="Y103" s="66">
        <f>$B$103</f>
        <v>0.5</v>
      </c>
      <c r="Z103" t="s">
        <v>368</v>
      </c>
      <c r="AD103" t="s">
        <v>370</v>
      </c>
      <c r="AE103" s="66">
        <f>$H$103</f>
        <v>0.5</v>
      </c>
      <c r="AF103" t="s">
        <v>368</v>
      </c>
      <c r="AH103" s="49"/>
      <c r="AI103" s="49"/>
      <c r="AN103" s="11"/>
      <c r="AO103" s="11"/>
      <c r="AP103" s="11"/>
      <c r="AQ103" s="11"/>
      <c r="AR103" s="11"/>
      <c r="AS103" s="11"/>
      <c r="AT103" s="11"/>
      <c r="AU103" t="s">
        <v>367</v>
      </c>
      <c r="AV103" s="66">
        <f>$B$103</f>
        <v>0.5</v>
      </c>
      <c r="AW103" t="s">
        <v>368</v>
      </c>
      <c r="BA103" t="s">
        <v>370</v>
      </c>
      <c r="BB103" s="66">
        <f>$H$103</f>
        <v>0.5</v>
      </c>
      <c r="BC103" t="s">
        <v>368</v>
      </c>
      <c r="BE103" s="49"/>
      <c r="BF103" s="49"/>
      <c r="BR103" s="32">
        <f>BR102+0.002</f>
        <v>4.0000000000000001E-3</v>
      </c>
      <c r="BS103" s="52">
        <f t="shared" si="35"/>
        <v>1.4000404318392735E-4</v>
      </c>
      <c r="BT103" s="52">
        <f t="shared" si="35"/>
        <v>1.4000404318392735E-4</v>
      </c>
      <c r="BU103" s="52">
        <f t="shared" si="36"/>
        <v>6.9640845854336284E-3</v>
      </c>
      <c r="BV103" s="52">
        <f t="shared" si="37"/>
        <v>1.4000404318392735E-4</v>
      </c>
      <c r="BW103" s="52">
        <f t="shared" si="37"/>
        <v>1.4000404318392735E-4</v>
      </c>
      <c r="BX103" s="52">
        <f t="shared" si="38"/>
        <v>6.9640845854336284E-3</v>
      </c>
      <c r="BY103" s="52">
        <f t="shared" si="39"/>
        <v>1.6553161588542371E-2</v>
      </c>
      <c r="BZ103" s="52">
        <f t="shared" si="40"/>
        <v>2.2767349343240121E-3</v>
      </c>
      <c r="CA103" s="52">
        <f t="shared" si="40"/>
        <v>2.2767349343240121E-3</v>
      </c>
      <c r="CB103" s="52">
        <f t="shared" si="41"/>
        <v>3.9188133154912465E-4</v>
      </c>
      <c r="CC103" s="52">
        <f t="shared" si="42"/>
        <v>6.9012369915649285E-4</v>
      </c>
      <c r="CD103" s="52">
        <f t="shared" si="42"/>
        <v>6.9012369915649285E-4</v>
      </c>
      <c r="CE103" s="52">
        <f t="shared" si="43"/>
        <v>1.187870358036881E-4</v>
      </c>
      <c r="CF103" s="52">
        <f t="shared" si="44"/>
        <v>2.2767349343240121E-3</v>
      </c>
      <c r="CG103" s="52">
        <f t="shared" si="44"/>
        <v>2.2767349343240121E-3</v>
      </c>
      <c r="CH103" s="52">
        <f t="shared" si="45"/>
        <v>3.9188133154912465E-4</v>
      </c>
      <c r="CI103" s="72">
        <f t="shared" si="46"/>
        <v>8.4862167533312591E-2</v>
      </c>
      <c r="CJ103" s="46"/>
      <c r="CK103" s="52"/>
      <c r="CL103" s="52"/>
    </row>
    <row r="104" spans="1:91" ht="21" customHeight="1">
      <c r="A104" s="15" t="s">
        <v>366</v>
      </c>
      <c r="B104" s="52">
        <f>B101*B102*B103</f>
        <v>0.12395</v>
      </c>
      <c r="G104" s="15" t="s">
        <v>464</v>
      </c>
      <c r="H104" s="52">
        <f>H101*H102*H103</f>
        <v>0.12395</v>
      </c>
      <c r="K104" s="49"/>
      <c r="L104" s="49"/>
      <c r="S104" s="41"/>
      <c r="T104" s="11"/>
      <c r="U104" s="82"/>
      <c r="V104" s="49"/>
      <c r="W104" s="57"/>
      <c r="X104" s="15" t="s">
        <v>366</v>
      </c>
      <c r="Y104" s="52">
        <f>Y101*Y102*Y103</f>
        <v>0.15219950000000002</v>
      </c>
      <c r="AD104" s="15" t="s">
        <v>366</v>
      </c>
      <c r="AE104" s="52">
        <f>AE101*AE102*AE103</f>
        <v>0.15219950000000002</v>
      </c>
      <c r="AH104" s="49"/>
      <c r="AI104" s="49"/>
      <c r="AN104" s="11"/>
      <c r="AO104" s="11"/>
      <c r="AP104" s="11"/>
      <c r="AQ104" s="11"/>
      <c r="AR104" s="11"/>
      <c r="AS104" s="11"/>
      <c r="AT104" s="11"/>
      <c r="AU104" s="15" t="s">
        <v>366</v>
      </c>
      <c r="AV104" s="52">
        <f>AV101*AV102*AV103</f>
        <v>0.1003995</v>
      </c>
      <c r="BA104" s="15" t="s">
        <v>366</v>
      </c>
      <c r="BB104" s="52">
        <f>BB101*BB102*BB103</f>
        <v>0.1003995</v>
      </c>
      <c r="BE104" s="49"/>
      <c r="BF104" s="49"/>
      <c r="BK104" s="41"/>
      <c r="BL104" s="41"/>
      <c r="BM104" s="41"/>
      <c r="BN104" s="41"/>
      <c r="BO104" s="41"/>
      <c r="BP104" s="41"/>
      <c r="BQ104" s="41"/>
      <c r="BR104" s="32">
        <f t="shared" ref="BR104:BR105" si="47">BR103+0.002</f>
        <v>6.0000000000000001E-3</v>
      </c>
      <c r="BS104" s="52">
        <f t="shared" si="35"/>
        <v>1.4000136039884223E-4</v>
      </c>
      <c r="BT104" s="52">
        <f t="shared" si="35"/>
        <v>1.4000136039884223E-4</v>
      </c>
      <c r="BU104" s="52">
        <f t="shared" si="36"/>
        <v>6.9639511382714432E-3</v>
      </c>
      <c r="BV104" s="52">
        <f t="shared" si="37"/>
        <v>1.4000136039884223E-4</v>
      </c>
      <c r="BW104" s="52">
        <f t="shared" si="37"/>
        <v>1.4000136039884223E-4</v>
      </c>
      <c r="BX104" s="52">
        <f t="shared" si="38"/>
        <v>6.9639511382714432E-3</v>
      </c>
      <c r="BY104" s="52">
        <f t="shared" si="39"/>
        <v>1.6552237528705153E-2</v>
      </c>
      <c r="BZ104" s="52">
        <f t="shared" si="40"/>
        <v>2.2741337137165306E-3</v>
      </c>
      <c r="CA104" s="52">
        <f t="shared" si="40"/>
        <v>2.2741337137165306E-3</v>
      </c>
      <c r="CB104" s="52">
        <f t="shared" si="41"/>
        <v>3.9143359835895619E-4</v>
      </c>
      <c r="CC104" s="52">
        <f t="shared" si="42"/>
        <v>6.8988450418268799E-4</v>
      </c>
      <c r="CD104" s="52">
        <f t="shared" si="42"/>
        <v>6.8988450418268799E-4</v>
      </c>
      <c r="CE104" s="52">
        <f t="shared" si="43"/>
        <v>1.1874586454417021E-4</v>
      </c>
      <c r="CF104" s="52">
        <f t="shared" si="44"/>
        <v>2.2741337137165306E-3</v>
      </c>
      <c r="CG104" s="52">
        <f t="shared" si="44"/>
        <v>2.2741337137165306E-3</v>
      </c>
      <c r="CH104" s="52">
        <f t="shared" si="45"/>
        <v>3.9143359835895619E-4</v>
      </c>
      <c r="CI104" s="72">
        <f t="shared" si="46"/>
        <v>8.4836124342673971E-2</v>
      </c>
      <c r="CJ104" s="46"/>
      <c r="CK104" s="52"/>
      <c r="CL104" s="52"/>
    </row>
    <row r="105" spans="1:91" ht="21" customHeight="1">
      <c r="A105" s="68" t="s">
        <v>274</v>
      </c>
      <c r="B105" s="67">
        <f>B104+H104</f>
        <v>0.24790000000000001</v>
      </c>
      <c r="G105" s="24"/>
      <c r="H105" s="75"/>
      <c r="K105" s="49"/>
      <c r="L105" s="49"/>
      <c r="S105" s="41"/>
      <c r="T105" s="11"/>
      <c r="U105" s="82"/>
      <c r="V105" s="49"/>
      <c r="W105" s="57"/>
      <c r="X105" s="68" t="s">
        <v>274</v>
      </c>
      <c r="Y105" s="67">
        <f>Y104+AE104</f>
        <v>0.30439900000000003</v>
      </c>
      <c r="AD105" s="24"/>
      <c r="AE105" s="75"/>
      <c r="AH105" s="49"/>
      <c r="AI105" s="49"/>
      <c r="AN105" s="11"/>
      <c r="AO105" s="11"/>
      <c r="AP105" s="11"/>
      <c r="AQ105" s="11"/>
      <c r="AR105" s="11"/>
      <c r="AS105" s="11"/>
      <c r="AT105" s="11"/>
      <c r="AU105" s="68" t="s">
        <v>274</v>
      </c>
      <c r="AV105" s="67">
        <f>AV104+BB104</f>
        <v>0.20079900000000001</v>
      </c>
      <c r="BA105" s="24"/>
      <c r="BB105" s="75"/>
      <c r="BE105" s="49"/>
      <c r="BF105" s="49"/>
      <c r="BK105" s="41"/>
      <c r="BL105" s="41"/>
      <c r="BM105" s="41"/>
      <c r="BN105" s="41"/>
      <c r="BO105" s="41"/>
      <c r="BP105" s="41"/>
      <c r="BQ105" s="41"/>
      <c r="BR105" s="32">
        <f t="shared" si="47"/>
        <v>8.0000000000000002E-3</v>
      </c>
      <c r="BS105" s="52">
        <f t="shared" si="35"/>
        <v>1.3999867771657124E-4</v>
      </c>
      <c r="BT105" s="52">
        <f t="shared" si="35"/>
        <v>1.3999867771657124E-4</v>
      </c>
      <c r="BU105" s="52">
        <f t="shared" si="36"/>
        <v>6.9638176962234415E-3</v>
      </c>
      <c r="BV105" s="52">
        <f t="shared" si="37"/>
        <v>1.3999867771657124E-4</v>
      </c>
      <c r="BW105" s="52">
        <f t="shared" si="37"/>
        <v>1.3999867771657124E-4</v>
      </c>
      <c r="BX105" s="52">
        <f t="shared" si="38"/>
        <v>6.9638176962234415E-3</v>
      </c>
      <c r="BY105" s="52">
        <f t="shared" si="39"/>
        <v>1.6551313572031177E-2</v>
      </c>
      <c r="BZ105" s="52">
        <f t="shared" si="40"/>
        <v>2.2715384302312543E-3</v>
      </c>
      <c r="CA105" s="52">
        <f t="shared" si="40"/>
        <v>2.2715384302312543E-3</v>
      </c>
      <c r="CB105" s="52">
        <f t="shared" si="41"/>
        <v>3.9098688709159491E-4</v>
      </c>
      <c r="CC105" s="52">
        <f t="shared" si="42"/>
        <v>6.8964547496007281E-4</v>
      </c>
      <c r="CD105" s="52">
        <f t="shared" si="42"/>
        <v>6.8964547496007281E-4</v>
      </c>
      <c r="CE105" s="52">
        <f t="shared" si="43"/>
        <v>1.1870472181445432E-4</v>
      </c>
      <c r="CF105" s="52">
        <f t="shared" si="44"/>
        <v>2.2715384302312543E-3</v>
      </c>
      <c r="CG105" s="52">
        <f t="shared" si="44"/>
        <v>2.2715384302312543E-3</v>
      </c>
      <c r="CH105" s="52">
        <f t="shared" si="45"/>
        <v>3.9098688709159491E-4</v>
      </c>
      <c r="CI105" s="72">
        <f t="shared" si="46"/>
        <v>8.4810133684374331E-2</v>
      </c>
      <c r="CJ105" s="46"/>
      <c r="CK105" s="52"/>
      <c r="CL105" s="52"/>
    </row>
    <row r="106" spans="1:91" ht="21" customHeight="1">
      <c r="A106" s="24"/>
      <c r="B106" s="75"/>
      <c r="G106" s="48"/>
      <c r="H106" s="49"/>
      <c r="I106" s="49"/>
      <c r="J106" s="49"/>
      <c r="K106" s="49"/>
      <c r="L106" s="49"/>
      <c r="T106" s="11"/>
      <c r="U106" s="82"/>
      <c r="V106" s="49"/>
      <c r="W106" s="57"/>
      <c r="X106" s="92"/>
      <c r="Y106" s="93" t="s">
        <v>419</v>
      </c>
      <c r="Z106" s="94">
        <v>5</v>
      </c>
      <c r="AD106" s="48"/>
      <c r="AE106" s="49"/>
      <c r="AF106" s="49"/>
      <c r="AG106" s="49"/>
      <c r="AH106" s="49"/>
      <c r="AI106" s="49"/>
      <c r="AN106" s="11"/>
      <c r="AO106" s="11"/>
      <c r="AP106" s="11"/>
      <c r="AQ106" s="11"/>
      <c r="AR106" s="11"/>
      <c r="AS106" s="11"/>
      <c r="AT106" s="11"/>
      <c r="AU106" s="61"/>
      <c r="AV106" s="98" t="s">
        <v>419</v>
      </c>
      <c r="AW106" s="99">
        <v>0.2</v>
      </c>
      <c r="BA106" s="48"/>
      <c r="BB106" s="49"/>
      <c r="BC106" s="49"/>
      <c r="BD106" s="49"/>
      <c r="BE106" s="49"/>
      <c r="BF106" s="49"/>
      <c r="BK106" s="41"/>
      <c r="BL106" s="41"/>
      <c r="BM106" s="41"/>
      <c r="BN106" s="41"/>
      <c r="BO106" s="41"/>
      <c r="BP106" s="41"/>
      <c r="BQ106" s="41"/>
      <c r="BR106" s="32">
        <f>BR105+0.002</f>
        <v>0.01</v>
      </c>
      <c r="BS106" s="52">
        <f t="shared" si="35"/>
        <v>1.399959951371085E-4</v>
      </c>
      <c r="BT106" s="52">
        <f t="shared" si="35"/>
        <v>1.399959951371085E-4</v>
      </c>
      <c r="BU106" s="52">
        <f t="shared" si="36"/>
        <v>6.9636842592893291E-3</v>
      </c>
      <c r="BV106" s="52">
        <f t="shared" si="37"/>
        <v>1.399959951371085E-4</v>
      </c>
      <c r="BW106" s="52">
        <f t="shared" si="37"/>
        <v>1.399959951371085E-4</v>
      </c>
      <c r="BX106" s="52">
        <f t="shared" si="38"/>
        <v>6.9636842592893291E-3</v>
      </c>
      <c r="BY106" s="52">
        <f t="shared" si="39"/>
        <v>1.6550389718503172E-2</v>
      </c>
      <c r="BZ106" s="52">
        <f t="shared" si="40"/>
        <v>2.2689490635646918E-3</v>
      </c>
      <c r="CA106" s="52">
        <f t="shared" si="40"/>
        <v>2.2689490635646918E-3</v>
      </c>
      <c r="CB106" s="52">
        <f t="shared" si="41"/>
        <v>3.905411942523173E-4</v>
      </c>
      <c r="CC106" s="52">
        <f t="shared" si="42"/>
        <v>6.8940661131642006E-4</v>
      </c>
      <c r="CD106" s="52">
        <f t="shared" si="42"/>
        <v>6.8940661131642006E-4</v>
      </c>
      <c r="CE106" s="52">
        <f t="shared" si="43"/>
        <v>1.1866360758489598E-4</v>
      </c>
      <c r="CF106" s="52">
        <f t="shared" si="44"/>
        <v>2.2689490635646918E-3</v>
      </c>
      <c r="CG106" s="52">
        <f t="shared" si="44"/>
        <v>2.2689490635646918E-3</v>
      </c>
      <c r="CH106" s="52">
        <f t="shared" si="45"/>
        <v>3.905411942523173E-4</v>
      </c>
      <c r="CI106" s="72">
        <f t="shared" si="46"/>
        <v>8.478419538122281E-2</v>
      </c>
      <c r="CJ106" s="46"/>
      <c r="CK106" s="52"/>
      <c r="CL106" s="52"/>
    </row>
    <row r="107" spans="1:91" ht="21" customHeight="1">
      <c r="A107" s="40" t="s">
        <v>296</v>
      </c>
      <c r="G107" s="48"/>
      <c r="H107" s="49"/>
      <c r="I107" s="49"/>
      <c r="J107" s="49"/>
      <c r="K107" s="49"/>
      <c r="L107" s="49"/>
      <c r="T107" s="11"/>
      <c r="U107" s="82"/>
      <c r="V107" s="49"/>
      <c r="W107" s="57"/>
      <c r="X107" s="40" t="s">
        <v>296</v>
      </c>
      <c r="AD107" s="48"/>
      <c r="AE107" s="49"/>
      <c r="AF107" s="49"/>
      <c r="AG107" s="49"/>
      <c r="AH107" s="49"/>
      <c r="AI107" s="49"/>
      <c r="AN107" s="11"/>
      <c r="AO107" s="11"/>
      <c r="AP107" s="11"/>
      <c r="AQ107" s="11"/>
      <c r="AR107" s="11"/>
      <c r="AS107" s="11"/>
      <c r="AT107" s="11"/>
      <c r="AU107" s="40" t="s">
        <v>296</v>
      </c>
      <c r="BA107" s="48"/>
      <c r="BB107" s="49"/>
      <c r="BC107" s="49"/>
      <c r="BD107" s="49"/>
      <c r="BE107" s="49"/>
      <c r="BF107" s="49"/>
      <c r="BR107" s="32">
        <v>0.02</v>
      </c>
      <c r="BS107" s="52">
        <f t="shared" si="35"/>
        <v>1.3998258378171137E-4</v>
      </c>
      <c r="BT107" s="52">
        <f t="shared" si="35"/>
        <v>1.3998258378171137E-4</v>
      </c>
      <c r="BU107" s="52">
        <f t="shared" si="36"/>
        <v>6.9630171513168256E-3</v>
      </c>
      <c r="BV107" s="52">
        <f t="shared" si="37"/>
        <v>1.3998258378171137E-4</v>
      </c>
      <c r="BW107" s="52">
        <f t="shared" si="37"/>
        <v>1.3998258378171137E-4</v>
      </c>
      <c r="BX107" s="52">
        <f t="shared" si="38"/>
        <v>6.9630171513168256E-3</v>
      </c>
      <c r="BY107" s="52">
        <f t="shared" si="39"/>
        <v>1.6545771997448312E-2</v>
      </c>
      <c r="BZ107" s="52">
        <f t="shared" si="40"/>
        <v>2.2560902783341046E-3</v>
      </c>
      <c r="CA107" s="52">
        <f t="shared" si="40"/>
        <v>2.2560902783341046E-3</v>
      </c>
      <c r="CB107" s="52">
        <f t="shared" si="41"/>
        <v>3.8832788527097865E-4</v>
      </c>
      <c r="CC107" s="52">
        <f t="shared" si="42"/>
        <v>6.882147707713076E-4</v>
      </c>
      <c r="CD107" s="52">
        <f t="shared" si="42"/>
        <v>6.882147707713076E-4</v>
      </c>
      <c r="CE107" s="52">
        <f t="shared" si="43"/>
        <v>1.1845846290477907E-4</v>
      </c>
      <c r="CF107" s="52">
        <f t="shared" si="44"/>
        <v>2.2560902783341046E-3</v>
      </c>
      <c r="CG107" s="52">
        <f t="shared" si="44"/>
        <v>2.2560902783341046E-3</v>
      </c>
      <c r="CH107" s="52">
        <f t="shared" si="45"/>
        <v>3.8832788527097865E-4</v>
      </c>
      <c r="CI107" s="72">
        <f t="shared" si="46"/>
        <v>8.4655283047069152E-2</v>
      </c>
      <c r="CJ107" s="46"/>
      <c r="CK107" s="52"/>
      <c r="CL107" s="52"/>
    </row>
    <row r="108" spans="1:91" s="11" customFormat="1" ht="21" customHeight="1">
      <c r="A108" t="s">
        <v>275</v>
      </c>
      <c r="B108"/>
      <c r="C108"/>
      <c r="D108"/>
      <c r="E108"/>
      <c r="F108"/>
      <c r="G108" s="48"/>
      <c r="H108" s="49"/>
      <c r="I108" s="49"/>
      <c r="J108" s="49"/>
      <c r="K108" s="49"/>
      <c r="L108" s="49"/>
      <c r="M108"/>
      <c r="N108"/>
      <c r="O108"/>
      <c r="P108"/>
      <c r="Q108"/>
      <c r="R108"/>
      <c r="S108" s="46"/>
      <c r="T108"/>
      <c r="U108" s="44"/>
      <c r="V108"/>
      <c r="W108" s="57"/>
      <c r="X108" t="s">
        <v>275</v>
      </c>
      <c r="Y108"/>
      <c r="Z108"/>
      <c r="AA108"/>
      <c r="AB108"/>
      <c r="AC108"/>
      <c r="AD108" s="48"/>
      <c r="AE108" s="49"/>
      <c r="AF108" s="49"/>
      <c r="AG108" s="49"/>
      <c r="AH108" s="49"/>
      <c r="AI108" s="49"/>
      <c r="AJ108"/>
      <c r="AK108"/>
      <c r="AL108"/>
      <c r="AM108"/>
      <c r="AN108" s="57"/>
      <c r="AO108" s="57"/>
      <c r="AP108" s="57"/>
      <c r="AQ108" s="57"/>
      <c r="AR108" s="57"/>
      <c r="AU108" t="s">
        <v>275</v>
      </c>
      <c r="AV108"/>
      <c r="AW108"/>
      <c r="AX108"/>
      <c r="AY108"/>
      <c r="AZ108"/>
      <c r="BA108" s="48"/>
      <c r="BB108" s="49"/>
      <c r="BC108" s="49"/>
      <c r="BD108" s="49"/>
      <c r="BE108" s="49"/>
      <c r="BF108" s="49"/>
      <c r="BG108"/>
      <c r="BH108"/>
      <c r="BI108"/>
      <c r="BJ108"/>
      <c r="BK108"/>
      <c r="BL108"/>
      <c r="BM108"/>
      <c r="BN108"/>
      <c r="BO108"/>
      <c r="BP108"/>
      <c r="BQ108"/>
      <c r="BR108" s="32">
        <f>BR107+0.02</f>
        <v>0.04</v>
      </c>
      <c r="BS108" s="52">
        <f t="shared" si="35"/>
        <v>1.399557687781376E-4</v>
      </c>
      <c r="BT108" s="52">
        <f t="shared" si="35"/>
        <v>1.399557687781376E-4</v>
      </c>
      <c r="BU108" s="52">
        <f t="shared" si="36"/>
        <v>6.9616833187445678E-3</v>
      </c>
      <c r="BV108" s="52">
        <f t="shared" si="37"/>
        <v>1.399557687781376E-4</v>
      </c>
      <c r="BW108" s="52">
        <f t="shared" si="37"/>
        <v>1.399557687781376E-4</v>
      </c>
      <c r="BX108" s="52">
        <f t="shared" si="38"/>
        <v>6.9616833187445678E-3</v>
      </c>
      <c r="BY108" s="52">
        <f t="shared" si="39"/>
        <v>1.6536544281364099E-2</v>
      </c>
      <c r="BZ108" s="52">
        <f t="shared" si="40"/>
        <v>2.2308050539623044E-3</v>
      </c>
      <c r="CA108" s="52">
        <f t="shared" si="40"/>
        <v>2.2308050539623044E-3</v>
      </c>
      <c r="CB108" s="52">
        <f t="shared" si="41"/>
        <v>3.839756845619921E-4</v>
      </c>
      <c r="CC108" s="52">
        <f t="shared" si="42"/>
        <v>6.8584340974888879E-4</v>
      </c>
      <c r="CD108" s="52">
        <f t="shared" si="42"/>
        <v>6.8584340974888879E-4</v>
      </c>
      <c r="CE108" s="52">
        <f t="shared" si="43"/>
        <v>1.180502941271848E-4</v>
      </c>
      <c r="CF108" s="52">
        <f t="shared" si="44"/>
        <v>2.2308050539623044E-3</v>
      </c>
      <c r="CG108" s="52">
        <f t="shared" si="44"/>
        <v>2.2308050539623044E-3</v>
      </c>
      <c r="CH108" s="52">
        <f t="shared" si="45"/>
        <v>3.839756845619921E-4</v>
      </c>
      <c r="CI108" s="72">
        <f t="shared" si="46"/>
        <v>8.4401285385127867E-2</v>
      </c>
      <c r="CJ108" s="46"/>
      <c r="CK108" s="52"/>
      <c r="CL108" s="52"/>
      <c r="CM108"/>
    </row>
    <row r="109" spans="1:91" ht="21" customHeight="1">
      <c r="A109" s="32" t="s">
        <v>228</v>
      </c>
      <c r="B109" s="69">
        <f>'[1]MonoterpeneOO Rxns'!$I$94</f>
        <v>6.4</v>
      </c>
      <c r="G109" s="48"/>
      <c r="H109" s="49"/>
      <c r="I109" s="49"/>
      <c r="J109" s="49"/>
      <c r="K109" s="49"/>
      <c r="L109" s="49"/>
      <c r="S109" s="46"/>
      <c r="T109" s="11"/>
      <c r="U109" s="24"/>
      <c r="V109" s="75"/>
      <c r="W109" s="57"/>
      <c r="X109" s="32" t="s">
        <v>228</v>
      </c>
      <c r="Y109" s="96">
        <f>'[1]MonoterpeneOO Rxns'!$I$94*Z$106</f>
        <v>32</v>
      </c>
      <c r="AD109" s="48"/>
      <c r="AE109" s="49"/>
      <c r="AF109" s="49"/>
      <c r="AG109" s="49"/>
      <c r="AH109" s="49"/>
      <c r="AI109" s="49"/>
      <c r="AN109" s="57"/>
      <c r="AO109" s="57"/>
      <c r="AP109" s="57"/>
      <c r="AQ109" s="57"/>
      <c r="AR109" s="57"/>
      <c r="AS109" s="10"/>
      <c r="AT109" s="57"/>
      <c r="AU109" s="32" t="s">
        <v>228</v>
      </c>
      <c r="AV109" s="100">
        <f>'[1]MonoterpeneOO Rxns'!$I$94*AW$106</f>
        <v>1.2800000000000002</v>
      </c>
      <c r="BA109" s="48"/>
      <c r="BB109" s="49"/>
      <c r="BC109" s="49"/>
      <c r="BD109" s="49"/>
      <c r="BE109" s="49"/>
      <c r="BF109" s="49"/>
      <c r="BK109" s="46"/>
      <c r="BL109" s="46"/>
      <c r="BM109" s="46"/>
      <c r="BN109" s="46"/>
      <c r="BO109" s="46"/>
      <c r="BP109" s="46"/>
      <c r="BQ109" s="46"/>
      <c r="BR109" s="32">
        <f t="shared" ref="BR109:BR111" si="48">BR108+0.02</f>
        <v>0.06</v>
      </c>
      <c r="BS109" s="52">
        <f t="shared" si="35"/>
        <v>1.3992896404593736E-4</v>
      </c>
      <c r="BT109" s="52">
        <f t="shared" si="35"/>
        <v>1.3992896404593736E-4</v>
      </c>
      <c r="BU109" s="52">
        <f t="shared" si="36"/>
        <v>6.9603499970912275E-3</v>
      </c>
      <c r="BV109" s="52">
        <f t="shared" si="37"/>
        <v>1.3992896404593736E-4</v>
      </c>
      <c r="BW109" s="52">
        <f t="shared" si="37"/>
        <v>1.3992896404593736E-4</v>
      </c>
      <c r="BX109" s="52">
        <f t="shared" si="38"/>
        <v>6.9603499970912275E-3</v>
      </c>
      <c r="BY109" s="52">
        <f t="shared" si="39"/>
        <v>1.6527326852292346E-2</v>
      </c>
      <c r="BZ109" s="52">
        <f t="shared" si="40"/>
        <v>2.2060803182700518E-3</v>
      </c>
      <c r="CA109" s="52">
        <f t="shared" si="40"/>
        <v>2.2060803182700518E-3</v>
      </c>
      <c r="CB109" s="52">
        <f t="shared" si="41"/>
        <v>3.7971995755609148E-4</v>
      </c>
      <c r="CC109" s="52">
        <f t="shared" si="42"/>
        <v>6.8348833446648034E-4</v>
      </c>
      <c r="CD109" s="52">
        <f t="shared" si="42"/>
        <v>6.8348833446648034E-4</v>
      </c>
      <c r="CE109" s="52">
        <f t="shared" si="43"/>
        <v>1.1764492852065114E-4</v>
      </c>
      <c r="CF109" s="52">
        <f t="shared" si="44"/>
        <v>2.2060803182700518E-3</v>
      </c>
      <c r="CG109" s="52">
        <f t="shared" si="44"/>
        <v>2.2060803182700518E-3</v>
      </c>
      <c r="CH109" s="52">
        <f t="shared" si="45"/>
        <v>3.7971995755609148E-4</v>
      </c>
      <c r="CI109" s="72">
        <f t="shared" si="46"/>
        <v>8.4152250976609083E-2</v>
      </c>
      <c r="CJ109" s="46"/>
      <c r="CK109" s="52"/>
      <c r="CL109" s="52"/>
    </row>
    <row r="110" spans="1:91" ht="21" customHeight="1">
      <c r="A110" s="32" t="s">
        <v>229</v>
      </c>
      <c r="B110" s="69">
        <f>'[1]MonoterpeneOO Rxns'!$N$94</f>
        <v>2</v>
      </c>
      <c r="G110" s="48"/>
      <c r="H110" s="49"/>
      <c r="I110" s="49"/>
      <c r="J110" s="49"/>
      <c r="K110" s="49"/>
      <c r="L110" s="49"/>
      <c r="T110" s="11"/>
      <c r="U110" s="48"/>
      <c r="V110" s="49"/>
      <c r="W110" s="11"/>
      <c r="X110" s="32" t="s">
        <v>229</v>
      </c>
      <c r="Y110" s="69">
        <f>'[1]MonoterpeneOO Rxns'!$N$94</f>
        <v>2</v>
      </c>
      <c r="AD110" s="48"/>
      <c r="AE110" s="49"/>
      <c r="AF110" s="49"/>
      <c r="AG110" s="49"/>
      <c r="AH110" s="49"/>
      <c r="AI110" s="49"/>
      <c r="AN110" s="11"/>
      <c r="AO110" s="11"/>
      <c r="AP110" s="11"/>
      <c r="AQ110" s="11"/>
      <c r="AR110" s="11"/>
      <c r="AS110" s="11"/>
      <c r="AT110" s="11"/>
      <c r="AU110" s="32" t="s">
        <v>229</v>
      </c>
      <c r="AV110" s="69">
        <f>'[1]MonoterpeneOO Rxns'!$N$94</f>
        <v>2</v>
      </c>
      <c r="BA110" s="48"/>
      <c r="BB110" s="49"/>
      <c r="BC110" s="49"/>
      <c r="BD110" s="49"/>
      <c r="BE110" s="49"/>
      <c r="BF110" s="49"/>
      <c r="BK110" s="46"/>
      <c r="BL110" s="46"/>
      <c r="BM110" s="46"/>
      <c r="BN110" s="46"/>
      <c r="BO110" s="46"/>
      <c r="BP110" s="46"/>
      <c r="BQ110" s="46"/>
      <c r="BR110" s="32">
        <f t="shared" si="48"/>
        <v>0.08</v>
      </c>
      <c r="BS110" s="52">
        <f t="shared" si="35"/>
        <v>1.3990216957921017E-4</v>
      </c>
      <c r="BT110" s="52">
        <f t="shared" si="35"/>
        <v>1.3990216957921017E-4</v>
      </c>
      <c r="BU110" s="52">
        <f t="shared" si="36"/>
        <v>6.9590171860633016E-3</v>
      </c>
      <c r="BV110" s="52">
        <f t="shared" si="37"/>
        <v>1.3990216957921017E-4</v>
      </c>
      <c r="BW110" s="52">
        <f t="shared" si="37"/>
        <v>1.3990216957921017E-4</v>
      </c>
      <c r="BX110" s="52">
        <f t="shared" si="38"/>
        <v>6.9590171860633016E-3</v>
      </c>
      <c r="BY110" s="52">
        <f t="shared" si="39"/>
        <v>1.6518119693040761E-2</v>
      </c>
      <c r="BZ110" s="52">
        <f t="shared" si="40"/>
        <v>2.1818976393113048E-3</v>
      </c>
      <c r="CA110" s="52">
        <f t="shared" si="40"/>
        <v>2.1818976393113048E-3</v>
      </c>
      <c r="CB110" s="52">
        <f t="shared" si="41"/>
        <v>3.7555753166807626E-4</v>
      </c>
      <c r="CC110" s="52">
        <f t="shared" si="42"/>
        <v>6.8114937773041144E-4</v>
      </c>
      <c r="CD110" s="52">
        <f t="shared" si="42"/>
        <v>6.8114937773041144E-4</v>
      </c>
      <c r="CE110" s="52">
        <f t="shared" si="43"/>
        <v>1.1724233730709003E-4</v>
      </c>
      <c r="CF110" s="52">
        <f t="shared" si="44"/>
        <v>2.1818976393113048E-3</v>
      </c>
      <c r="CG110" s="52">
        <f t="shared" si="44"/>
        <v>2.1818976393113048E-3</v>
      </c>
      <c r="CH110" s="52">
        <f t="shared" si="45"/>
        <v>3.7555753166807626E-4</v>
      </c>
      <c r="CI110" s="72">
        <f t="shared" si="46"/>
        <v>8.3908018913666976E-2</v>
      </c>
      <c r="CJ110" s="46"/>
      <c r="CK110" s="52"/>
      <c r="CL110" s="52"/>
    </row>
    <row r="111" spans="1:91" ht="21" customHeight="1">
      <c r="A111" s="32" t="s">
        <v>267</v>
      </c>
      <c r="B111" s="69">
        <f>'[1]MonoterpeneOO Rxns'!$D$98</f>
        <v>7.140662970177706</v>
      </c>
      <c r="G111" s="48"/>
      <c r="H111" s="49"/>
      <c r="I111" s="49"/>
      <c r="J111" s="49"/>
      <c r="K111" s="49"/>
      <c r="L111" s="49"/>
      <c r="S111" s="47"/>
      <c r="T111" s="11"/>
      <c r="U111" s="48"/>
      <c r="V111" s="49"/>
      <c r="W111" s="11"/>
      <c r="X111" s="32" t="s">
        <v>267</v>
      </c>
      <c r="Y111" s="69">
        <f>'[1]MonoterpeneOO Rxns'!$D$98</f>
        <v>7.140662970177706</v>
      </c>
      <c r="AD111" s="48"/>
      <c r="AE111" s="49"/>
      <c r="AF111" s="49"/>
      <c r="AG111" s="49"/>
      <c r="AH111" s="49"/>
      <c r="AI111" s="49"/>
      <c r="AN111" s="11"/>
      <c r="AO111" s="11"/>
      <c r="AP111" s="11"/>
      <c r="AQ111" s="11"/>
      <c r="AR111" s="11"/>
      <c r="AS111" s="76"/>
      <c r="AT111" s="73"/>
      <c r="AU111" s="32" t="s">
        <v>267</v>
      </c>
      <c r="AV111" s="69">
        <f>'[1]MonoterpeneOO Rxns'!$D$98</f>
        <v>7.140662970177706</v>
      </c>
      <c r="BA111" s="48"/>
      <c r="BB111" s="49"/>
      <c r="BC111" s="49"/>
      <c r="BD111" s="49"/>
      <c r="BE111" s="49"/>
      <c r="BF111" s="49"/>
      <c r="BR111" s="32">
        <f t="shared" si="48"/>
        <v>0.1</v>
      </c>
      <c r="BS111" s="52">
        <f t="shared" si="35"/>
        <v>1.3987538537206008E-4</v>
      </c>
      <c r="BT111" s="52">
        <f t="shared" si="35"/>
        <v>1.3987538537206008E-4</v>
      </c>
      <c r="BU111" s="52">
        <f t="shared" si="36"/>
        <v>6.9576848853675141E-3</v>
      </c>
      <c r="BV111" s="52">
        <f t="shared" si="37"/>
        <v>1.3987538537206008E-4</v>
      </c>
      <c r="BW111" s="52">
        <f t="shared" si="37"/>
        <v>1.3987538537206008E-4</v>
      </c>
      <c r="BX111" s="52">
        <f t="shared" si="38"/>
        <v>6.9576848853675141E-3</v>
      </c>
      <c r="BY111" s="52">
        <f t="shared" si="39"/>
        <v>1.6508922786455358E-2</v>
      </c>
      <c r="BZ111" s="52">
        <f t="shared" si="40"/>
        <v>2.1582393845683101E-3</v>
      </c>
      <c r="CA111" s="52">
        <f t="shared" si="40"/>
        <v>2.1582393845683101E-3</v>
      </c>
      <c r="CB111" s="52">
        <f t="shared" si="41"/>
        <v>3.7148537191375425E-4</v>
      </c>
      <c r="CC111" s="52">
        <f t="shared" si="42"/>
        <v>6.7882637462781065E-4</v>
      </c>
      <c r="CD111" s="52">
        <f t="shared" si="42"/>
        <v>6.7882637462781065E-4</v>
      </c>
      <c r="CE111" s="52">
        <f t="shared" si="43"/>
        <v>1.1684249210099438E-4</v>
      </c>
      <c r="CF111" s="52">
        <f t="shared" si="44"/>
        <v>2.1582393845683101E-3</v>
      </c>
      <c r="CG111" s="52">
        <f t="shared" si="44"/>
        <v>2.1582393845683101E-3</v>
      </c>
      <c r="CH111" s="52">
        <f t="shared" si="45"/>
        <v>3.7148537191375425E-4</v>
      </c>
      <c r="CI111" s="72">
        <f t="shared" si="46"/>
        <v>8.3668435244271963E-2</v>
      </c>
      <c r="CJ111" s="46"/>
      <c r="CK111" s="52"/>
      <c r="CL111" s="52"/>
    </row>
    <row r="112" spans="1:91" ht="21" customHeight="1">
      <c r="A112" s="71" t="s">
        <v>371</v>
      </c>
      <c r="G112" s="71" t="s">
        <v>380</v>
      </c>
      <c r="I112" s="49"/>
      <c r="J112" s="49"/>
      <c r="K112" s="49"/>
      <c r="L112" s="49"/>
      <c r="T112" s="11"/>
      <c r="U112" s="48"/>
      <c r="V112" s="49"/>
      <c r="W112" s="11"/>
      <c r="X112" s="71" t="s">
        <v>371</v>
      </c>
      <c r="AD112" s="71" t="s">
        <v>380</v>
      </c>
      <c r="AF112" s="49"/>
      <c r="AG112" s="49"/>
      <c r="AH112" s="49"/>
      <c r="AI112" s="49"/>
      <c r="AN112" s="11"/>
      <c r="AO112" s="11"/>
      <c r="AP112" s="11"/>
      <c r="AQ112" s="11"/>
      <c r="AR112" s="11"/>
      <c r="AS112" s="11"/>
      <c r="AT112" s="11"/>
      <c r="AU112" s="71" t="s">
        <v>371</v>
      </c>
      <c r="BA112" s="71" t="s">
        <v>380</v>
      </c>
      <c r="BC112" s="49"/>
      <c r="BD112" s="49"/>
      <c r="BE112" s="49"/>
      <c r="BF112" s="49"/>
      <c r="BK112" s="47"/>
      <c r="BL112" s="47"/>
      <c r="BM112" s="47"/>
      <c r="BN112" s="47"/>
      <c r="BO112" s="47"/>
      <c r="BP112" s="47"/>
      <c r="BQ112" s="47"/>
      <c r="BR112" s="32">
        <v>0.2</v>
      </c>
      <c r="BS112" s="52">
        <f t="shared" si="35"/>
        <v>1.3974161802392319E-4</v>
      </c>
      <c r="BT112" s="52">
        <f t="shared" si="35"/>
        <v>1.3974161802392319E-4</v>
      </c>
      <c r="BU112" s="52">
        <f t="shared" si="36"/>
        <v>6.9510310266216587E-3</v>
      </c>
      <c r="BV112" s="52">
        <f t="shared" si="37"/>
        <v>1.3974161802392319E-4</v>
      </c>
      <c r="BW112" s="52">
        <f t="shared" si="37"/>
        <v>1.3974161802392319E-4</v>
      </c>
      <c r="BX112" s="52">
        <f t="shared" si="38"/>
        <v>6.9510310266216587E-3</v>
      </c>
      <c r="BY112" s="52">
        <f t="shared" si="39"/>
        <v>1.6463091445798054E-2</v>
      </c>
      <c r="BZ112" s="52">
        <f t="shared" si="40"/>
        <v>2.0472481158352925E-3</v>
      </c>
      <c r="CA112" s="52">
        <f t="shared" si="40"/>
        <v>2.0472481158352925E-3</v>
      </c>
      <c r="CB112" s="52">
        <f t="shared" si="41"/>
        <v>3.5238108114819979E-4</v>
      </c>
      <c r="CC112" s="52">
        <f t="shared" si="42"/>
        <v>6.6744504650408359E-4</v>
      </c>
      <c r="CD112" s="52">
        <f t="shared" si="42"/>
        <v>6.6744504650408359E-4</v>
      </c>
      <c r="CE112" s="52">
        <f t="shared" si="43"/>
        <v>1.1488348934108464E-4</v>
      </c>
      <c r="CF112" s="52">
        <f t="shared" si="44"/>
        <v>2.0472481158352925E-3</v>
      </c>
      <c r="CG112" s="52">
        <f t="shared" si="44"/>
        <v>2.0472481158352925E-3</v>
      </c>
      <c r="CH112" s="52">
        <f t="shared" si="45"/>
        <v>3.5238108114819979E-4</v>
      </c>
      <c r="CI112" s="72">
        <f t="shared" si="46"/>
        <v>8.2535296358247773E-2</v>
      </c>
      <c r="CJ112" s="46"/>
      <c r="CK112" s="52"/>
      <c r="CL112" s="52"/>
    </row>
    <row r="113" spans="1:91" ht="21" customHeight="1">
      <c r="A113" s="43" t="s">
        <v>230</v>
      </c>
      <c r="B113" s="75"/>
      <c r="G113" s="43" t="s">
        <v>230</v>
      </c>
      <c r="H113" s="75"/>
      <c r="I113" s="49"/>
      <c r="J113" s="49"/>
      <c r="L113" s="41"/>
      <c r="P113" s="41"/>
      <c r="S113" s="46"/>
      <c r="T113" s="11"/>
      <c r="U113" s="48"/>
      <c r="V113" s="49"/>
      <c r="W113" s="11"/>
      <c r="X113" s="43" t="s">
        <v>230</v>
      </c>
      <c r="Y113" s="75"/>
      <c r="AD113" s="43" t="s">
        <v>230</v>
      </c>
      <c r="AE113" s="75"/>
      <c r="AF113" s="49"/>
      <c r="AG113" s="49"/>
      <c r="AI113" s="41"/>
      <c r="AM113" s="41"/>
      <c r="AN113" s="11"/>
      <c r="AO113" s="11"/>
      <c r="AP113" s="11"/>
      <c r="AQ113" s="11"/>
      <c r="AR113" s="11"/>
      <c r="AS113" s="11"/>
      <c r="AT113" s="11"/>
      <c r="AU113" s="43" t="s">
        <v>230</v>
      </c>
      <c r="AV113" s="75"/>
      <c r="BA113" s="43" t="s">
        <v>230</v>
      </c>
      <c r="BB113" s="75"/>
      <c r="BC113" s="49"/>
      <c r="BD113" s="49"/>
      <c r="BF113" s="41"/>
      <c r="BJ113" s="41"/>
      <c r="BR113" s="32">
        <f>BR112+0.2</f>
        <v>0.4</v>
      </c>
      <c r="BS113" s="52">
        <f t="shared" si="35"/>
        <v>1.3947484941858367E-4</v>
      </c>
      <c r="BT113" s="52">
        <f t="shared" si="35"/>
        <v>1.3947484941858367E-4</v>
      </c>
      <c r="BU113" s="52">
        <f t="shared" si="36"/>
        <v>6.937761416044185E-3</v>
      </c>
      <c r="BV113" s="52">
        <f t="shared" si="37"/>
        <v>1.3947484941858367E-4</v>
      </c>
      <c r="BW113" s="52">
        <f t="shared" si="37"/>
        <v>1.3947484941858367E-4</v>
      </c>
      <c r="BX113" s="52">
        <f t="shared" si="38"/>
        <v>6.937761416044185E-3</v>
      </c>
      <c r="BY113" s="52">
        <f t="shared" si="39"/>
        <v>1.6372187958834942E-2</v>
      </c>
      <c r="BZ113" s="52">
        <f t="shared" si="40"/>
        <v>1.856319140949093E-3</v>
      </c>
      <c r="CA113" s="52">
        <f t="shared" si="40"/>
        <v>1.856319140949093E-3</v>
      </c>
      <c r="CB113" s="52">
        <f t="shared" si="41"/>
        <v>3.1951757131150089E-4</v>
      </c>
      <c r="CC113" s="52">
        <f t="shared" si="42"/>
        <v>6.457901723697421E-4</v>
      </c>
      <c r="CD113" s="52">
        <f t="shared" si="42"/>
        <v>6.457901723697421E-4</v>
      </c>
      <c r="CE113" s="52">
        <f t="shared" si="43"/>
        <v>1.1115616000539539E-4</v>
      </c>
      <c r="CF113" s="52">
        <f t="shared" si="44"/>
        <v>1.856319140949093E-3</v>
      </c>
      <c r="CG113" s="52">
        <f t="shared" si="44"/>
        <v>1.856319140949093E-3</v>
      </c>
      <c r="CH113" s="52">
        <f t="shared" si="45"/>
        <v>3.1951757131150089E-4</v>
      </c>
      <c r="CI113" s="72">
        <f t="shared" si="46"/>
        <v>8.0545316799523828E-2</v>
      </c>
      <c r="CJ113" s="46"/>
      <c r="CK113" s="52"/>
      <c r="CL113" s="52"/>
    </row>
    <row r="114" spans="1:91" ht="21" customHeight="1">
      <c r="A114" s="15" t="s">
        <v>372</v>
      </c>
      <c r="B114" s="52">
        <f>B$104*(0.33*$B$109)/($B$109+$B$110+$B$111+($B$7*$B$6*$B$4)+($B$9*$B$8*$B$5))</f>
        <v>1.6590518197958936E-2</v>
      </c>
      <c r="G114" s="15" t="s">
        <v>381</v>
      </c>
      <c r="H114" s="52">
        <f>H$104*(0.33*$B$109)/($B$109+$B$110+$B$111+($B$7*$B$6*$B$4)+($B$9*$B$8*$B$5))</f>
        <v>1.6590518197958936E-2</v>
      </c>
      <c r="J114" s="49"/>
      <c r="L114" s="65"/>
      <c r="N114" s="41"/>
      <c r="P114" s="41"/>
      <c r="T114" s="11"/>
      <c r="U114" s="48"/>
      <c r="V114" s="49"/>
      <c r="W114" s="11"/>
      <c r="X114" s="15" t="s">
        <v>372</v>
      </c>
      <c r="Y114" s="95">
        <f>Y$104*(0.33*Y$109)/(Y$109+Y$110+Y$111+($B$7*$B$6*$B$4)+($B$9*$B$8*$B$5))</f>
        <v>3.8841569008924617E-2</v>
      </c>
      <c r="AD114" s="15" t="s">
        <v>381</v>
      </c>
      <c r="AE114" s="95">
        <f>AE$104*(0.33*Y$109)/(Y$109+Y$110+Y$111+($B$7*$B$6*$B$4)+($B$9*$B$8*$B$5))</f>
        <v>3.8841569008924617E-2</v>
      </c>
      <c r="AG114" s="49"/>
      <c r="AI114" s="65"/>
      <c r="AK114" s="41"/>
      <c r="AM114" s="41"/>
      <c r="AN114" s="11"/>
      <c r="AO114" s="11"/>
      <c r="AP114" s="11"/>
      <c r="AQ114" s="11"/>
      <c r="AR114" s="11"/>
      <c r="AS114" s="11"/>
      <c r="AT114" s="11"/>
      <c r="AU114" s="15" t="s">
        <v>372</v>
      </c>
      <c r="AV114" s="101">
        <f>AV$104*(0.33*AV$109)/(AV$109+AV$110+AV$111+($B$7*$B$6*$B$4)+($B$9*$B$8*$B$5))</f>
        <v>3.9786660763681536E-3</v>
      </c>
      <c r="BA114" s="15" t="s">
        <v>381</v>
      </c>
      <c r="BB114" s="101">
        <f>BB$104*(0.33*AV$109)/(AV$109+AV$110+AV$111+($B$7*$B$6*$B$4)+($B$9*$B$8*$B$5))</f>
        <v>3.9786660763681536E-3</v>
      </c>
      <c r="BD114" s="49"/>
      <c r="BF114" s="65"/>
      <c r="BH114" s="41"/>
      <c r="BJ114" s="41"/>
      <c r="BK114" s="46"/>
      <c r="BL114" s="46"/>
      <c r="BM114" s="46"/>
      <c r="BN114" s="46"/>
      <c r="BO114" s="46"/>
      <c r="BP114" s="46"/>
      <c r="BQ114" s="46"/>
      <c r="BR114" s="32">
        <f t="shared" ref="BR114:BR116" si="49">BR113+0.2</f>
        <v>0.60000000000000009</v>
      </c>
      <c r="BS114" s="52">
        <f t="shared" si="35"/>
        <v>1.3920909740218585E-4</v>
      </c>
      <c r="BT114" s="52">
        <f t="shared" si="35"/>
        <v>1.3920909740218585E-4</v>
      </c>
      <c r="BU114" s="52">
        <f t="shared" si="36"/>
        <v>6.9245423726590405E-3</v>
      </c>
      <c r="BV114" s="52">
        <f t="shared" si="37"/>
        <v>1.3920909740218585E-4</v>
      </c>
      <c r="BW114" s="52">
        <f t="shared" si="37"/>
        <v>1.3920909740218585E-4</v>
      </c>
      <c r="BX114" s="52">
        <f t="shared" si="38"/>
        <v>6.9245423726590405E-3</v>
      </c>
      <c r="BY114" s="52">
        <f t="shared" si="39"/>
        <v>1.628228283437896E-2</v>
      </c>
      <c r="BZ114" s="52">
        <f t="shared" si="40"/>
        <v>1.6979647765369415E-3</v>
      </c>
      <c r="CA114" s="52">
        <f t="shared" si="40"/>
        <v>1.6979647765369415E-3</v>
      </c>
      <c r="CB114" s="52">
        <f t="shared" si="41"/>
        <v>2.9226094242295854E-4</v>
      </c>
      <c r="CC114" s="52">
        <f t="shared" si="42"/>
        <v>6.2549630136348019E-4</v>
      </c>
      <c r="CD114" s="52">
        <f t="shared" si="42"/>
        <v>6.2549630136348019E-4</v>
      </c>
      <c r="CE114" s="52">
        <f t="shared" si="43"/>
        <v>1.0766309233540712E-4</v>
      </c>
      <c r="CF114" s="52">
        <f t="shared" si="44"/>
        <v>1.6979647765369415E-3</v>
      </c>
      <c r="CG114" s="52">
        <f t="shared" si="44"/>
        <v>1.6979647765369415E-3</v>
      </c>
      <c r="CH114" s="52">
        <f t="shared" si="45"/>
        <v>2.9226094242295854E-4</v>
      </c>
      <c r="CI114" s="72">
        <f t="shared" si="46"/>
        <v>7.8846481310723679E-2</v>
      </c>
      <c r="CJ114" s="46"/>
      <c r="CK114" s="52"/>
      <c r="CL114" s="52"/>
    </row>
    <row r="115" spans="1:91" ht="21" customHeight="1">
      <c r="A115" s="15" t="s">
        <v>373</v>
      </c>
      <c r="B115" s="52">
        <f>B$104*(0.33*$B$109)/($B$109+$B$110+$B$111+($B$7*$B$6*$B$4)+($B$9*$B$8*$B$5))</f>
        <v>1.6590518197958936E-2</v>
      </c>
      <c r="C115" t="s">
        <v>288</v>
      </c>
      <c r="G115" s="15" t="s">
        <v>382</v>
      </c>
      <c r="H115" s="52">
        <f>H$104*(0.33*$B$109)/($B$109+$B$110+$B$111+($B$7*$B$6*$B$4)+($B$9*$B$8*$B$5))</f>
        <v>1.6590518197958936E-2</v>
      </c>
      <c r="I115" t="s">
        <v>288</v>
      </c>
      <c r="J115" s="49"/>
      <c r="L115" s="41"/>
      <c r="N115" s="41"/>
      <c r="P115" s="41"/>
      <c r="T115" s="11"/>
      <c r="U115" s="48"/>
      <c r="V115" s="49"/>
      <c r="W115" s="11"/>
      <c r="X115" s="15" t="s">
        <v>373</v>
      </c>
      <c r="Y115" s="95">
        <f>Y$104*(0.33*Y$109)/(Y$109+Y$110+Y$111+($B$7*$B$6*$B$4)+($B$9*$B$8*$B$5))</f>
        <v>3.8841569008924617E-2</v>
      </c>
      <c r="Z115" t="s">
        <v>288</v>
      </c>
      <c r="AD115" s="15" t="s">
        <v>382</v>
      </c>
      <c r="AE115" s="95">
        <f>AE$104*(0.33*Y$109)/(Y$109+Y$110+Y$111+($B$7*$B$6*$B$4)+($B$9*$B$8*$B$5))</f>
        <v>3.8841569008924617E-2</v>
      </c>
      <c r="AF115" t="s">
        <v>288</v>
      </c>
      <c r="AG115" s="49"/>
      <c r="AI115" s="41"/>
      <c r="AK115" s="41"/>
      <c r="AM115" s="41"/>
      <c r="AN115" s="11"/>
      <c r="AO115" s="11"/>
      <c r="AP115" s="11"/>
      <c r="AQ115" s="11"/>
      <c r="AR115" s="11"/>
      <c r="AS115" s="11"/>
      <c r="AT115" s="11"/>
      <c r="AU115" s="15" t="s">
        <v>373</v>
      </c>
      <c r="AV115" s="101">
        <f>AV$104*(0.33*AV$109)/(AV$109+AV$110+AV$111+($B$7*$B$6*$B$4)+($B$9*$B$8*$B$5))</f>
        <v>3.9786660763681536E-3</v>
      </c>
      <c r="AW115" t="s">
        <v>288</v>
      </c>
      <c r="BA115" s="15" t="s">
        <v>382</v>
      </c>
      <c r="BB115" s="101">
        <f>BB$104*(0.33*AV$109)/(AV$109+AV$110+AV$111+($B$7*$B$6*$B$4)+($B$9*$B$8*$B$5))</f>
        <v>3.9786660763681536E-3</v>
      </c>
      <c r="BC115" t="s">
        <v>288</v>
      </c>
      <c r="BD115" s="49"/>
      <c r="BF115" s="41"/>
      <c r="BH115" s="41"/>
      <c r="BJ115" s="41"/>
      <c r="BR115" s="32">
        <f t="shared" si="49"/>
        <v>0.8</v>
      </c>
      <c r="BS115" s="52">
        <f t="shared" si="35"/>
        <v>1.3894435617482851E-4</v>
      </c>
      <c r="BT115" s="52">
        <f t="shared" si="35"/>
        <v>1.3894435617482851E-4</v>
      </c>
      <c r="BU115" s="52">
        <f t="shared" si="36"/>
        <v>6.9113736079673945E-3</v>
      </c>
      <c r="BV115" s="52">
        <f t="shared" si="37"/>
        <v>1.3894435617482851E-4</v>
      </c>
      <c r="BW115" s="52">
        <f t="shared" si="37"/>
        <v>1.3894435617482851E-4</v>
      </c>
      <c r="BX115" s="52">
        <f t="shared" si="38"/>
        <v>6.9113736079673945E-3</v>
      </c>
      <c r="BY115" s="52">
        <f t="shared" si="39"/>
        <v>1.6193359715232093E-2</v>
      </c>
      <c r="BZ115" s="52">
        <f t="shared" si="40"/>
        <v>1.5645038796386539E-3</v>
      </c>
      <c r="CA115" s="52">
        <f t="shared" si="40"/>
        <v>1.5645038796386539E-3</v>
      </c>
      <c r="CB115" s="52">
        <f t="shared" si="41"/>
        <v>2.6928908338141844E-4</v>
      </c>
      <c r="CC115" s="52">
        <f t="shared" si="42"/>
        <v>6.0643903467018595E-4</v>
      </c>
      <c r="CD115" s="52">
        <f t="shared" si="42"/>
        <v>6.0643903467018595E-4</v>
      </c>
      <c r="CE115" s="52">
        <f t="shared" si="43"/>
        <v>1.0438287427626254E-4</v>
      </c>
      <c r="CF115" s="52">
        <f t="shared" si="44"/>
        <v>1.5645038796386539E-3</v>
      </c>
      <c r="CG115" s="52">
        <f t="shared" si="44"/>
        <v>1.5645038796386539E-3</v>
      </c>
      <c r="CH115" s="52">
        <f t="shared" si="45"/>
        <v>2.6928908338141844E-4</v>
      </c>
      <c r="CI115" s="72">
        <f t="shared" si="46"/>
        <v>7.7371477969600574E-2</v>
      </c>
      <c r="CJ115" s="46"/>
      <c r="CK115" s="52"/>
      <c r="CL115" s="52"/>
    </row>
    <row r="116" spans="1:91" s="11" customFormat="1" ht="21" customHeight="1">
      <c r="A116" s="15" t="s">
        <v>374</v>
      </c>
      <c r="B116" s="52">
        <f>B$104*(0.33*$B$109)/($B$109+$B$110+$B$111+($B$7*$B$6*$B$4)+($B$9*$B$8*$B$5))</f>
        <v>1.6590518197958936E-2</v>
      </c>
      <c r="C116"/>
      <c r="D116"/>
      <c r="E116"/>
      <c r="F116"/>
      <c r="G116" s="15" t="s">
        <v>383</v>
      </c>
      <c r="H116" s="52">
        <f>H$104*(0.33*$B$109)/($B$109+$B$110+$B$111+($B$7*$B$6*$B$4)+($B$9*$B$8*$B$5))</f>
        <v>1.6590518197958936E-2</v>
      </c>
      <c r="I116"/>
      <c r="J116" s="49"/>
      <c r="K116" s="49"/>
      <c r="L116" s="49"/>
      <c r="M116"/>
      <c r="N116"/>
      <c r="O116"/>
      <c r="P116"/>
      <c r="Q116"/>
      <c r="R116"/>
      <c r="S116"/>
      <c r="U116" s="48"/>
      <c r="V116" s="49"/>
      <c r="X116" s="15" t="s">
        <v>374</v>
      </c>
      <c r="Y116" s="95">
        <f>Y$104*(0.33*Y$109)/(Y$109+Y$110+Y$111+($B$7*$B$6*$B$4)+($B$9*$B$8*$B$5))</f>
        <v>3.8841569008924617E-2</v>
      </c>
      <c r="Z116"/>
      <c r="AA116"/>
      <c r="AB116"/>
      <c r="AC116"/>
      <c r="AD116" s="15" t="s">
        <v>383</v>
      </c>
      <c r="AE116" s="95">
        <f>AE$104*(0.33*Y$109)/(Y$109+Y$110+Y$111+($B$7*$B$6*$B$4)+($B$9*$B$8*$B$5))</f>
        <v>3.8841569008924617E-2</v>
      </c>
      <c r="AF116"/>
      <c r="AG116" s="49"/>
      <c r="AH116" s="49"/>
      <c r="AI116" s="49"/>
      <c r="AJ116"/>
      <c r="AK116"/>
      <c r="AL116"/>
      <c r="AM116"/>
      <c r="AU116" s="15" t="s">
        <v>374</v>
      </c>
      <c r="AV116" s="101">
        <f>AV$104*(0.33*AV$109)/(AV$109+AV$110+AV$111+($B$7*$B$6*$B$4)+($B$9*$B$8*$B$5))</f>
        <v>3.9786660763681536E-3</v>
      </c>
      <c r="AW116"/>
      <c r="AX116"/>
      <c r="AY116"/>
      <c r="AZ116"/>
      <c r="BA116" s="15" t="s">
        <v>383</v>
      </c>
      <c r="BB116" s="101">
        <f>BB$104*(0.33*AV$109)/(AV$109+AV$110+AV$111+($B$7*$B$6*$B$4)+($B$9*$B$8*$B$5))</f>
        <v>3.9786660763681536E-3</v>
      </c>
      <c r="BC116"/>
      <c r="BD116" s="49"/>
      <c r="BE116" s="49"/>
      <c r="BF116" s="49"/>
      <c r="BG116"/>
      <c r="BH116"/>
      <c r="BI116"/>
      <c r="BJ116"/>
      <c r="BK116"/>
      <c r="BL116"/>
      <c r="BM116"/>
      <c r="BN116"/>
      <c r="BO116"/>
      <c r="BP116"/>
      <c r="BQ116"/>
      <c r="BR116" s="32">
        <f t="shared" si="49"/>
        <v>1</v>
      </c>
      <c r="BS116" s="52">
        <f t="shared" si="35"/>
        <v>1.3868061998064654E-4</v>
      </c>
      <c r="BT116" s="52">
        <f t="shared" si="35"/>
        <v>1.3868061998064654E-4</v>
      </c>
      <c r="BU116" s="52">
        <f t="shared" si="36"/>
        <v>6.8982548356608655E-3</v>
      </c>
      <c r="BV116" s="52">
        <f t="shared" si="37"/>
        <v>1.3868061998064654E-4</v>
      </c>
      <c r="BW116" s="52">
        <f t="shared" si="37"/>
        <v>1.3868061998064654E-4</v>
      </c>
      <c r="BX116" s="52">
        <f t="shared" si="38"/>
        <v>6.8982548356608655E-3</v>
      </c>
      <c r="BY116" s="52">
        <f t="shared" si="39"/>
        <v>1.6105402599584446E-2</v>
      </c>
      <c r="BZ116" s="52">
        <f t="shared" si="40"/>
        <v>1.4504942891834891E-3</v>
      </c>
      <c r="CA116" s="52">
        <f t="shared" si="40"/>
        <v>1.4504942891834891E-3</v>
      </c>
      <c r="CB116" s="52">
        <f t="shared" si="41"/>
        <v>2.4966526620210066E-4</v>
      </c>
      <c r="CC116" s="52">
        <f t="shared" si="42"/>
        <v>5.8850868568185218E-4</v>
      </c>
      <c r="CD116" s="52">
        <f t="shared" si="42"/>
        <v>5.8850868568185218E-4</v>
      </c>
      <c r="CE116" s="52">
        <f t="shared" si="43"/>
        <v>1.0129662610096716E-4</v>
      </c>
      <c r="CF116" s="52">
        <f t="shared" si="44"/>
        <v>1.4504942891834891E-3</v>
      </c>
      <c r="CG116" s="52">
        <f t="shared" si="44"/>
        <v>1.4504942891834891E-3</v>
      </c>
      <c r="CH116" s="52">
        <f t="shared" si="45"/>
        <v>2.4966526620210066E-4</v>
      </c>
      <c r="CI116" s="72">
        <f t="shared" si="46"/>
        <v>7.6072512874863163E-2</v>
      </c>
      <c r="CJ116" s="46"/>
      <c r="CK116" s="52"/>
      <c r="CL116" s="52"/>
      <c r="CM116"/>
    </row>
    <row r="117" spans="1:91" ht="21" customHeight="1">
      <c r="A117" s="42" t="s">
        <v>205</v>
      </c>
      <c r="B117" s="75"/>
      <c r="G117" s="42" t="s">
        <v>205</v>
      </c>
      <c r="H117" s="75"/>
      <c r="J117" s="49"/>
      <c r="K117" s="49"/>
      <c r="L117" s="49"/>
      <c r="T117" s="11"/>
      <c r="U117" s="48"/>
      <c r="V117" s="49"/>
      <c r="W117" s="11"/>
      <c r="X117" s="42" t="s">
        <v>205</v>
      </c>
      <c r="Y117" s="75"/>
      <c r="AD117" s="42" t="s">
        <v>205</v>
      </c>
      <c r="AE117" s="75"/>
      <c r="AG117" s="49"/>
      <c r="AH117" s="49"/>
      <c r="AI117" s="49"/>
      <c r="AN117" s="11"/>
      <c r="AO117" s="11"/>
      <c r="AP117" s="11"/>
      <c r="AQ117" s="11"/>
      <c r="AR117" s="11"/>
      <c r="AS117" s="11"/>
      <c r="AT117" s="11"/>
      <c r="AU117" s="42" t="s">
        <v>205</v>
      </c>
      <c r="AV117" s="75"/>
      <c r="BA117" s="42" t="s">
        <v>205</v>
      </c>
      <c r="BB117" s="75"/>
      <c r="BD117" s="49"/>
      <c r="BE117" s="49"/>
      <c r="BF117" s="49"/>
      <c r="BR117" s="32">
        <v>2</v>
      </c>
      <c r="BS117" s="52">
        <f t="shared" si="35"/>
        <v>1.3737681608245756E-4</v>
      </c>
      <c r="BT117" s="52">
        <f t="shared" si="35"/>
        <v>1.3737681608245756E-4</v>
      </c>
      <c r="BU117" s="52">
        <f t="shared" si="36"/>
        <v>6.8334009898481565E-3</v>
      </c>
      <c r="BV117" s="52">
        <f t="shared" si="37"/>
        <v>1.3737681608245756E-4</v>
      </c>
      <c r="BW117" s="52">
        <f t="shared" si="37"/>
        <v>1.3737681608245756E-4</v>
      </c>
      <c r="BX117" s="52">
        <f t="shared" si="38"/>
        <v>6.8334009898481565E-3</v>
      </c>
      <c r="BY117" s="52">
        <f t="shared" si="39"/>
        <v>1.5679570703689315E-2</v>
      </c>
      <c r="BZ117" s="52">
        <f t="shared" si="40"/>
        <v>1.0631289945233807E-3</v>
      </c>
      <c r="CA117" s="52">
        <f t="shared" si="40"/>
        <v>1.0631289945233807E-3</v>
      </c>
      <c r="CB117" s="52">
        <f t="shared" si="41"/>
        <v>1.8299029882721225E-4</v>
      </c>
      <c r="CC117" s="52">
        <f t="shared" si="42"/>
        <v>5.1271278070789744E-4</v>
      </c>
      <c r="CD117" s="52">
        <f t="shared" si="42"/>
        <v>5.1271278070789744E-4</v>
      </c>
      <c r="CE117" s="52">
        <f t="shared" si="43"/>
        <v>8.8250311521539214E-5</v>
      </c>
      <c r="CF117" s="52">
        <f t="shared" si="44"/>
        <v>1.0631289945233807E-3</v>
      </c>
      <c r="CG117" s="52">
        <f t="shared" si="44"/>
        <v>1.0631289945233807E-3</v>
      </c>
      <c r="CH117" s="52">
        <f t="shared" si="45"/>
        <v>1.8299029882721225E-4</v>
      </c>
      <c r="CI117" s="72">
        <f t="shared" si="46"/>
        <v>7.1256104792801506E-2</v>
      </c>
      <c r="CJ117" s="46"/>
      <c r="CK117" s="52"/>
      <c r="CL117" s="52"/>
    </row>
    <row r="118" spans="1:91" ht="21" customHeight="1">
      <c r="A118" s="15" t="s">
        <v>375</v>
      </c>
      <c r="B118" s="52">
        <f>B$104*(0.33*$B$110)/($B$109+$B$110+$B$111+($B$7*$B$6*$B$4)+($B$9*$B$8*$B$5))</f>
        <v>5.1845369368621668E-3</v>
      </c>
      <c r="G118" s="15" t="s">
        <v>384</v>
      </c>
      <c r="H118" s="52">
        <f>H$104*(0.33*$B$110)/($B$109+$B$110+$B$111+($B$7*$B$6*$B$4)+($B$9*$B$8*$B$5))</f>
        <v>5.1845369368621668E-3</v>
      </c>
      <c r="J118" s="49"/>
      <c r="K118" s="49"/>
      <c r="L118" s="49"/>
      <c r="T118" s="11"/>
      <c r="U118" s="48"/>
      <c r="V118" s="49"/>
      <c r="W118" s="11"/>
      <c r="X118" s="15" t="s">
        <v>375</v>
      </c>
      <c r="Y118" s="52">
        <f>Y$104*(0.33*Y$110)/(Y$109+Y$110+Y$111+($B$7*$B$6*$B$4)+($B$9*$B$8*$B$5))</f>
        <v>2.4275980630577886E-3</v>
      </c>
      <c r="AD118" s="15" t="s">
        <v>384</v>
      </c>
      <c r="AE118" s="52">
        <f>AE$104*(0.33*Y$110)/(Y$109+Y$110+Y$111+($B$7*$B$6*$B$4)+($B$9*$B$8*$B$5))</f>
        <v>2.4275980630577886E-3</v>
      </c>
      <c r="AG118" s="49"/>
      <c r="AH118" s="49"/>
      <c r="AI118" s="49"/>
      <c r="AN118" s="11"/>
      <c r="AO118" s="11"/>
      <c r="AP118" s="11"/>
      <c r="AQ118" s="11"/>
      <c r="AR118" s="11"/>
      <c r="AS118" s="11"/>
      <c r="AT118" s="11"/>
      <c r="AU118" s="15" t="s">
        <v>375</v>
      </c>
      <c r="AV118" s="52">
        <f>AV$104*(0.33*AV$110)/(AV$109+AV$110+AV$111+($B$7*$B$6*$B$4)+($B$9*$B$8*$B$5))</f>
        <v>6.2166657443252383E-3</v>
      </c>
      <c r="BA118" s="15" t="s">
        <v>384</v>
      </c>
      <c r="BB118" s="52">
        <f>BB$104*(0.33*AV$110)/(AV$109+AV$110+AV$111+($B$7*$B$6*$B$4)+($B$9*$B$8*$B$5))</f>
        <v>6.2166657443252383E-3</v>
      </c>
      <c r="BD118" s="49"/>
      <c r="BE118" s="49"/>
      <c r="BF118" s="49"/>
      <c r="BR118" s="32">
        <f>BR117+2</f>
        <v>4</v>
      </c>
      <c r="BS118" s="52">
        <f t="shared" si="35"/>
        <v>1.3484139708616621E-4</v>
      </c>
      <c r="BT118" s="52">
        <f t="shared" si="35"/>
        <v>1.3484139708616621E-4</v>
      </c>
      <c r="BU118" s="52">
        <f t="shared" si="36"/>
        <v>6.7072841153055273E-3</v>
      </c>
      <c r="BV118" s="52">
        <f t="shared" si="37"/>
        <v>1.3484139708616621E-4</v>
      </c>
      <c r="BW118" s="52">
        <f t="shared" si="37"/>
        <v>1.3484139708616621E-4</v>
      </c>
      <c r="BX118" s="52">
        <f t="shared" si="38"/>
        <v>6.7072841153055273E-3</v>
      </c>
      <c r="BY118" s="52">
        <f t="shared" si="39"/>
        <v>1.4892068766093553E-2</v>
      </c>
      <c r="BZ118" s="52">
        <f t="shared" si="40"/>
        <v>6.9299177360378445E-4</v>
      </c>
      <c r="CA118" s="52">
        <f t="shared" si="40"/>
        <v>6.9299177360378445E-4</v>
      </c>
      <c r="CB118" s="52">
        <f t="shared" si="41"/>
        <v>1.1928070101540954E-4</v>
      </c>
      <c r="CC118" s="52">
        <f t="shared" si="42"/>
        <v>4.0769588250301231E-4</v>
      </c>
      <c r="CD118" s="52">
        <f t="shared" si="42"/>
        <v>4.0769588250301231E-4</v>
      </c>
      <c r="CE118" s="52">
        <f t="shared" si="43"/>
        <v>7.0174354903467464E-5</v>
      </c>
      <c r="CF118" s="52">
        <f t="shared" si="44"/>
        <v>6.9299177360378445E-4</v>
      </c>
      <c r="CG118" s="52">
        <f t="shared" si="44"/>
        <v>6.9299177360378445E-4</v>
      </c>
      <c r="CH118" s="52">
        <f t="shared" si="45"/>
        <v>1.1928070101540954E-4</v>
      </c>
      <c r="CI118" s="72">
        <f t="shared" si="46"/>
        <v>6.5484194402809434E-2</v>
      </c>
      <c r="CJ118" s="46"/>
      <c r="CK118" s="52"/>
      <c r="CL118" s="52"/>
    </row>
    <row r="119" spans="1:91" ht="21" customHeight="1">
      <c r="A119" s="15" t="s">
        <v>376</v>
      </c>
      <c r="B119" s="52">
        <f>B$104*(0.33*$B$110)/($B$109+$B$110+$B$111+($B$7*$B$6*$B$4)+($B$9*$B$8*$B$5))</f>
        <v>5.1845369368621668E-3</v>
      </c>
      <c r="C119" t="s">
        <v>336</v>
      </c>
      <c r="G119" s="15" t="s">
        <v>385</v>
      </c>
      <c r="H119" s="52">
        <f>H$104*(0.33*$B$110)/($B$109+$B$110+$B$111+($B$7*$B$6*$B$4)+($B$9*$B$8*$B$5))</f>
        <v>5.1845369368621668E-3</v>
      </c>
      <c r="I119" t="s">
        <v>336</v>
      </c>
      <c r="J119" s="49"/>
      <c r="K119" s="49"/>
      <c r="L119" s="49"/>
      <c r="T119" s="60"/>
      <c r="U119" s="11"/>
      <c r="V119" s="11"/>
      <c r="W119" s="11"/>
      <c r="X119" s="15" t="s">
        <v>376</v>
      </c>
      <c r="Y119" s="52">
        <f>Y$104*(0.33*Y$110)/(Y$109+Y$110+Y$111+($B$7*$B$6*$B$4)+($B$9*$B$8*$B$5))</f>
        <v>2.4275980630577886E-3</v>
      </c>
      <c r="Z119" t="s">
        <v>336</v>
      </c>
      <c r="AD119" s="15" t="s">
        <v>385</v>
      </c>
      <c r="AE119" s="52">
        <f>AE$104*(0.33*Y$110)/(Y$109+Y$110+Y$111+($B$7*$B$6*$B$4)+($B$9*$B$8*$B$5))</f>
        <v>2.4275980630577886E-3</v>
      </c>
      <c r="AF119" t="s">
        <v>336</v>
      </c>
      <c r="AG119" s="49"/>
      <c r="AH119" s="49"/>
      <c r="AI119" s="49"/>
      <c r="AN119" s="11"/>
      <c r="AO119" s="11"/>
      <c r="AP119" s="11"/>
      <c r="AQ119" s="57"/>
      <c r="AR119" s="11"/>
      <c r="AS119" s="11"/>
      <c r="AT119" s="11"/>
      <c r="AU119" s="15" t="s">
        <v>376</v>
      </c>
      <c r="AV119" s="52">
        <f>AV$104*(0.33*AV$110)/(AV$109+AV$110+AV$111+($B$7*$B$6*$B$4)+($B$9*$B$8*$B$5))</f>
        <v>6.2166657443252383E-3</v>
      </c>
      <c r="AW119" t="s">
        <v>336</v>
      </c>
      <c r="BA119" s="15" t="s">
        <v>385</v>
      </c>
      <c r="BB119" s="52">
        <f>BB$104*(0.33*AV$110)/(AV$109+AV$110+AV$111+($B$7*$B$6*$B$4)+($B$9*$B$8*$B$5))</f>
        <v>6.2166657443252383E-3</v>
      </c>
      <c r="BC119" t="s">
        <v>336</v>
      </c>
      <c r="BD119" s="49"/>
      <c r="BE119" s="49"/>
      <c r="BF119" s="49"/>
      <c r="BR119" s="32">
        <f t="shared" ref="BR119:BR121" si="50">BR118+2</f>
        <v>6</v>
      </c>
      <c r="BS119" s="52">
        <f t="shared" si="35"/>
        <v>1.3239786925983778E-4</v>
      </c>
      <c r="BT119" s="52">
        <f t="shared" si="35"/>
        <v>1.3239786925983778E-4</v>
      </c>
      <c r="BU119" s="52">
        <f t="shared" si="36"/>
        <v>6.5857380936163081E-3</v>
      </c>
      <c r="BV119" s="52">
        <f t="shared" si="37"/>
        <v>1.3239786925983778E-4</v>
      </c>
      <c r="BW119" s="52">
        <f t="shared" si="37"/>
        <v>1.3239786925983778E-4</v>
      </c>
      <c r="BX119" s="52">
        <f t="shared" si="38"/>
        <v>6.5857380936163081E-3</v>
      </c>
      <c r="BY119" s="52">
        <f t="shared" si="39"/>
        <v>1.4179887963617124E-2</v>
      </c>
      <c r="BZ119" s="52">
        <f t="shared" si="40"/>
        <v>5.1402847534270729E-4</v>
      </c>
      <c r="CA119" s="52">
        <f t="shared" si="40"/>
        <v>5.1402847534270729E-4</v>
      </c>
      <c r="CB119" s="52">
        <f t="shared" si="41"/>
        <v>8.8476774496050733E-5</v>
      </c>
      <c r="CC119" s="52">
        <f t="shared" si="42"/>
        <v>3.3838569966263969E-4</v>
      </c>
      <c r="CD119" s="52">
        <f t="shared" si="42"/>
        <v>3.3838569966263969E-4</v>
      </c>
      <c r="CE119" s="52">
        <f t="shared" si="43"/>
        <v>5.8244390491750378E-5</v>
      </c>
      <c r="CF119" s="52">
        <f t="shared" si="44"/>
        <v>5.1402847534270729E-4</v>
      </c>
      <c r="CG119" s="52">
        <f t="shared" si="44"/>
        <v>5.1402847534270729E-4</v>
      </c>
      <c r="CH119" s="52">
        <f t="shared" si="45"/>
        <v>8.8476774496050733E-5</v>
      </c>
      <c r="CI119" s="72">
        <f t="shared" si="46"/>
        <v>6.1698077736138099E-2</v>
      </c>
      <c r="CJ119" s="46"/>
      <c r="CK119" s="52"/>
      <c r="CL119" s="52"/>
    </row>
    <row r="120" spans="1:91" ht="21" customHeight="1">
      <c r="A120" s="15" t="s">
        <v>377</v>
      </c>
      <c r="B120" s="52">
        <f>B$104*(0.33*$B$110)/($B$109+$B$110+$B$111+($B$7*$B$6*$B$4)+($B$9*$B$8*$B$5))</f>
        <v>5.1845369368621668E-3</v>
      </c>
      <c r="G120" s="15" t="s">
        <v>386</v>
      </c>
      <c r="H120" s="52">
        <f>H$104*(0.33*$B$110)/($B$109+$B$110+$B$111+($B$7*$B$6*$B$4)+($B$9*$B$8*$B$5))</f>
        <v>5.1845369368621668E-3</v>
      </c>
      <c r="J120" s="49"/>
      <c r="K120" s="49"/>
      <c r="L120" s="49"/>
      <c r="T120" s="11"/>
      <c r="U120" s="11"/>
      <c r="V120" s="11"/>
      <c r="W120" s="11"/>
      <c r="X120" s="15" t="s">
        <v>377</v>
      </c>
      <c r="Y120" s="52">
        <f>Y$104*(0.33*Y$110)/(Y$109+Y$110+Y$111+($B$7*$B$6*$B$4)+($B$9*$B$8*$B$5))</f>
        <v>2.4275980630577886E-3</v>
      </c>
      <c r="AD120" s="15" t="s">
        <v>386</v>
      </c>
      <c r="AE120" s="52">
        <f>AE$104*(0.33*Y$110)/(Y$109+Y$110+Y$111+($B$7*$B$6*$B$4)+($B$9*$B$8*$B$5))</f>
        <v>2.4275980630577886E-3</v>
      </c>
      <c r="AG120" s="49"/>
      <c r="AH120" s="49"/>
      <c r="AI120" s="49"/>
      <c r="AN120" s="11"/>
      <c r="AO120" s="11"/>
      <c r="AP120" s="11"/>
      <c r="AQ120" s="11"/>
      <c r="AR120" s="11"/>
      <c r="AS120" s="11"/>
      <c r="AT120" s="11"/>
      <c r="AU120" s="15" t="s">
        <v>377</v>
      </c>
      <c r="AV120" s="52">
        <f>AV$104*(0.33*AV$110)/(AV$109+AV$110+AV$111+($B$7*$B$6*$B$4)+($B$9*$B$8*$B$5))</f>
        <v>6.2166657443252383E-3</v>
      </c>
      <c r="BA120" s="15" t="s">
        <v>386</v>
      </c>
      <c r="BB120" s="52">
        <f>BB$104*(0.33*AV$110)/(AV$109+AV$110+AV$111+($B$7*$B$6*$B$4)+($B$9*$B$8*$B$5))</f>
        <v>6.2166657443252383E-3</v>
      </c>
      <c r="BD120" s="49"/>
      <c r="BE120" s="49"/>
      <c r="BF120" s="49"/>
      <c r="BR120" s="32">
        <f t="shared" si="50"/>
        <v>8</v>
      </c>
      <c r="BS120" s="52">
        <f t="shared" si="35"/>
        <v>1.3004132590382675E-4</v>
      </c>
      <c r="BT120" s="52">
        <f t="shared" si="35"/>
        <v>1.3004132590382675E-4</v>
      </c>
      <c r="BU120" s="52">
        <f t="shared" si="36"/>
        <v>6.4685188556051426E-3</v>
      </c>
      <c r="BV120" s="52">
        <f t="shared" si="37"/>
        <v>1.3004132590382675E-4</v>
      </c>
      <c r="BW120" s="52">
        <f t="shared" si="37"/>
        <v>1.3004132590382675E-4</v>
      </c>
      <c r="BX120" s="52">
        <f t="shared" si="38"/>
        <v>6.4685188556051426E-3</v>
      </c>
      <c r="BY120" s="52">
        <f t="shared" si="39"/>
        <v>1.3532715285137581E-2</v>
      </c>
      <c r="BZ120" s="52">
        <f t="shared" si="40"/>
        <v>4.0852736144850318E-4</v>
      </c>
      <c r="CA120" s="52">
        <f t="shared" si="40"/>
        <v>4.0852736144850318E-4</v>
      </c>
      <c r="CB120" s="52">
        <f t="shared" si="41"/>
        <v>7.0317472607422216E-5</v>
      </c>
      <c r="CC120" s="52">
        <f t="shared" si="42"/>
        <v>2.8921740513099394E-4</v>
      </c>
      <c r="CD120" s="52">
        <f t="shared" si="42"/>
        <v>2.8921740513099394E-4</v>
      </c>
      <c r="CE120" s="52">
        <f t="shared" si="43"/>
        <v>4.9781333839623328E-5</v>
      </c>
      <c r="CF120" s="52">
        <f t="shared" si="44"/>
        <v>4.0852736144850318E-4</v>
      </c>
      <c r="CG120" s="52">
        <f t="shared" si="44"/>
        <v>4.0852736144850318E-4</v>
      </c>
      <c r="CH120" s="52">
        <f t="shared" si="45"/>
        <v>7.0317472607422216E-5</v>
      </c>
      <c r="CI120" s="72">
        <f t="shared" si="46"/>
        <v>5.8785757670147272E-2</v>
      </c>
      <c r="CJ120" s="46"/>
      <c r="CK120" s="52"/>
      <c r="CL120" s="52"/>
    </row>
    <row r="121" spans="1:91" ht="21" customHeight="1">
      <c r="A121" s="44" t="s">
        <v>283</v>
      </c>
      <c r="B121" s="75"/>
      <c r="G121" s="44" t="s">
        <v>283</v>
      </c>
      <c r="H121" s="75"/>
      <c r="J121" s="49"/>
      <c r="K121" s="49"/>
      <c r="L121" s="49"/>
      <c r="T121" s="11"/>
      <c r="U121" s="58"/>
      <c r="V121" s="10"/>
      <c r="W121" s="11"/>
      <c r="X121" s="44" t="s">
        <v>283</v>
      </c>
      <c r="Y121" s="75"/>
      <c r="AD121" s="44" t="s">
        <v>283</v>
      </c>
      <c r="AE121" s="75"/>
      <c r="AG121" s="49"/>
      <c r="AH121" s="49"/>
      <c r="AI121" s="49"/>
      <c r="AN121" s="10"/>
      <c r="AO121" s="11"/>
      <c r="AP121" s="11"/>
      <c r="AQ121" s="11"/>
      <c r="AR121" s="58"/>
      <c r="AS121" s="11"/>
      <c r="AT121" s="11"/>
      <c r="AU121" s="44" t="s">
        <v>283</v>
      </c>
      <c r="AV121" s="75"/>
      <c r="BA121" s="44" t="s">
        <v>283</v>
      </c>
      <c r="BB121" s="75"/>
      <c r="BD121" s="49"/>
      <c r="BE121" s="49"/>
      <c r="BF121" s="49"/>
      <c r="BR121" s="32">
        <f t="shared" si="50"/>
        <v>10</v>
      </c>
      <c r="BS121" s="52">
        <f t="shared" si="35"/>
        <v>1.2776720354585152E-4</v>
      </c>
      <c r="BT121" s="52">
        <f t="shared" si="35"/>
        <v>1.2776720354585152E-4</v>
      </c>
      <c r="BU121" s="52">
        <f t="shared" si="36"/>
        <v>6.3553994049207101E-3</v>
      </c>
      <c r="BV121" s="52">
        <f t="shared" si="37"/>
        <v>1.2776720354585152E-4</v>
      </c>
      <c r="BW121" s="52">
        <f t="shared" si="37"/>
        <v>1.2776720354585152E-4</v>
      </c>
      <c r="BX121" s="52">
        <f t="shared" si="38"/>
        <v>6.3553994049207101E-3</v>
      </c>
      <c r="BY121" s="52">
        <f t="shared" si="39"/>
        <v>1.2942038291929771E-2</v>
      </c>
      <c r="BZ121" s="52">
        <f t="shared" si="40"/>
        <v>3.3895830060321798E-4</v>
      </c>
      <c r="CA121" s="52">
        <f t="shared" si="40"/>
        <v>3.3895830060321798E-4</v>
      </c>
      <c r="CB121" s="52">
        <f t="shared" si="41"/>
        <v>5.8342949008886996E-5</v>
      </c>
      <c r="CC121" s="52">
        <f t="shared" si="42"/>
        <v>2.5252490093239136E-4</v>
      </c>
      <c r="CD121" s="52">
        <f t="shared" si="42"/>
        <v>2.5252490093239136E-4</v>
      </c>
      <c r="CE121" s="52">
        <f t="shared" si="43"/>
        <v>4.3465663452859774E-5</v>
      </c>
      <c r="CF121" s="52">
        <f t="shared" si="44"/>
        <v>3.3895830060321798E-4</v>
      </c>
      <c r="CG121" s="52">
        <f t="shared" si="44"/>
        <v>3.3895830060321798E-4</v>
      </c>
      <c r="CH121" s="52">
        <f t="shared" si="45"/>
        <v>5.8342949008886996E-5</v>
      </c>
      <c r="CI121" s="72">
        <f t="shared" si="46"/>
        <v>5.6369880963405769E-2</v>
      </c>
      <c r="CJ121" s="46"/>
      <c r="CK121" s="52"/>
      <c r="CL121" s="52"/>
    </row>
    <row r="122" spans="1:91" ht="21" customHeight="1">
      <c r="A122" s="1" t="s">
        <v>378</v>
      </c>
      <c r="B122" s="72">
        <f>B$104*(0.5*$B$111)/($B$109+$B$110+$B$111+($B$7*$B$6*$B$4)+($B$9*$B$8*$B$5))</f>
        <v>2.8046235547401686E-2</v>
      </c>
      <c r="C122" t="s">
        <v>287</v>
      </c>
      <c r="G122" s="1" t="s">
        <v>378</v>
      </c>
      <c r="H122" s="72">
        <f>H$104*(0.5*$B$111)/($B$109+$B$110+$B$111+($B$7*$B$6*$B$4)+($B$9*$B$8*$B$5))</f>
        <v>2.8046235547401686E-2</v>
      </c>
      <c r="I122" t="s">
        <v>287</v>
      </c>
      <c r="J122" s="49"/>
      <c r="K122" s="49"/>
      <c r="L122" s="49"/>
      <c r="T122" s="11"/>
      <c r="U122" s="58"/>
      <c r="V122" s="11"/>
      <c r="W122" s="11"/>
      <c r="X122" s="1" t="s">
        <v>378</v>
      </c>
      <c r="Y122" s="72">
        <f>Y$104*(0.5*Y$111)/(Y$109+Y$110+Y$111+($B$7*$B$6*$B$4)+($B$9*$B$8*$B$5))</f>
        <v>1.3132317875266569E-2</v>
      </c>
      <c r="Z122" t="s">
        <v>287</v>
      </c>
      <c r="AD122" s="1" t="s">
        <v>378</v>
      </c>
      <c r="AE122" s="72">
        <f>AE$104*(0.5*Y$111)/(Y$109+Y$110+Y$111+($B$7*$B$6*$B$4)+($B$9*$B$8*$B$5))</f>
        <v>1.3132317875266569E-2</v>
      </c>
      <c r="AF122" t="s">
        <v>287</v>
      </c>
      <c r="AG122" s="49"/>
      <c r="AH122" s="49"/>
      <c r="AI122" s="49"/>
      <c r="AN122" s="11"/>
      <c r="AO122" s="11"/>
      <c r="AP122" s="11"/>
      <c r="AQ122" s="11"/>
      <c r="AR122" s="83"/>
      <c r="AS122" s="11"/>
      <c r="AT122" s="58"/>
      <c r="AU122" s="1" t="s">
        <v>378</v>
      </c>
      <c r="AV122" s="72">
        <f>AV$104*(0.5*AV$111)/(AV$109+AV$110+AV$111+($B$7*$B$6*$B$4)+($B$9*$B$8*$B$5))</f>
        <v>3.3629632483693522E-2</v>
      </c>
      <c r="AW122" t="s">
        <v>287</v>
      </c>
      <c r="BA122" s="1" t="s">
        <v>378</v>
      </c>
      <c r="BB122" s="72">
        <f>BB$104*(0.5*AV$111)/(AV$109+AV$110+AV$111+($B$7*$B$6*$B$4)+($B$9*$B$8*$B$5))</f>
        <v>3.3629632483693522E-2</v>
      </c>
      <c r="BC122" t="s">
        <v>287</v>
      </c>
      <c r="BD122" s="49"/>
      <c r="BE122" s="49"/>
      <c r="BF122" s="49"/>
      <c r="BR122" s="32">
        <v>20</v>
      </c>
      <c r="BS122" s="52">
        <f t="shared" si="35"/>
        <v>1.1749373374767425E-4</v>
      </c>
      <c r="BT122" s="52">
        <f t="shared" si="35"/>
        <v>1.1749373374767425E-4</v>
      </c>
      <c r="BU122" s="52">
        <f t="shared" si="36"/>
        <v>5.8443762156374333E-3</v>
      </c>
      <c r="BV122" s="52">
        <f t="shared" si="37"/>
        <v>1.1749373374767425E-4</v>
      </c>
      <c r="BW122" s="52">
        <f t="shared" si="37"/>
        <v>1.1749373374767425E-4</v>
      </c>
      <c r="BX122" s="52">
        <f t="shared" si="38"/>
        <v>5.8443762156374333E-3</v>
      </c>
      <c r="BY122" s="52">
        <f t="shared" si="39"/>
        <v>1.0623550551412777E-2</v>
      </c>
      <c r="BZ122" s="52">
        <f t="shared" si="40"/>
        <v>1.8307607674179741E-4</v>
      </c>
      <c r="CA122" s="52">
        <f t="shared" si="40"/>
        <v>1.8307607674179741E-4</v>
      </c>
      <c r="CB122" s="52">
        <f t="shared" si="41"/>
        <v>3.1511835500370586E-5</v>
      </c>
      <c r="CC122" s="52">
        <f t="shared" si="42"/>
        <v>1.5451173731347975E-4</v>
      </c>
      <c r="CD122" s="52">
        <f t="shared" si="42"/>
        <v>1.5451173731347975E-4</v>
      </c>
      <c r="CE122" s="52">
        <f t="shared" si="43"/>
        <v>2.6595219516123888E-5</v>
      </c>
      <c r="CF122" s="52">
        <f t="shared" si="44"/>
        <v>1.8307607674179741E-4</v>
      </c>
      <c r="CG122" s="52">
        <f t="shared" si="44"/>
        <v>1.8307607674179741E-4</v>
      </c>
      <c r="CH122" s="52">
        <f t="shared" si="45"/>
        <v>3.1511835500370586E-5</v>
      </c>
      <c r="CI122" s="72">
        <f t="shared" si="46"/>
        <v>4.782644917957872E-2</v>
      </c>
      <c r="CJ122" s="46"/>
      <c r="CK122" s="52"/>
      <c r="CL122" s="52"/>
    </row>
    <row r="123" spans="1:91" ht="21" customHeight="1">
      <c r="A123" s="1" t="s">
        <v>379</v>
      </c>
      <c r="B123" s="72">
        <f>B$104*(0.5*$B$111)/($B$109+$B$110+$B$111+($B$7*$B$6*$B$4)+($B$9*$B$8*$B$5))</f>
        <v>2.8046235547401686E-2</v>
      </c>
      <c r="G123" s="1" t="s">
        <v>379</v>
      </c>
      <c r="H123" s="72">
        <f>H$104*(0.5*$B$111)/($B$109+$B$110+$B$111+($B$7*$B$6*$B$4)+($B$9*$B$8*$B$5))</f>
        <v>2.8046235547401686E-2</v>
      </c>
      <c r="J123" s="49"/>
      <c r="K123" s="49"/>
      <c r="L123" s="49"/>
      <c r="T123" s="11"/>
      <c r="U123" s="58"/>
      <c r="V123" s="11"/>
      <c r="W123" s="11"/>
      <c r="X123" s="1" t="s">
        <v>379</v>
      </c>
      <c r="Y123" s="72">
        <f>Y$104*(0.5*Y$111)/(Y$109+Y$110+Y$111+($B$7*$B$6*$B$4)+($B$9*$B$8*$B$5))</f>
        <v>1.3132317875266569E-2</v>
      </c>
      <c r="AD123" s="1" t="s">
        <v>379</v>
      </c>
      <c r="AE123" s="72">
        <f>AE$104*(0.5*Y$111)/(Y$109+Y$110+Y$111+($B$7*$B$6*$B$4)+($B$9*$B$8*$B$5))</f>
        <v>1.3132317875266569E-2</v>
      </c>
      <c r="AG123" s="49"/>
      <c r="AH123" s="49"/>
      <c r="AI123" s="49"/>
      <c r="AN123" s="11"/>
      <c r="AO123" s="11"/>
      <c r="AP123" s="11"/>
      <c r="AQ123" s="11"/>
      <c r="AR123" s="58"/>
      <c r="AS123" s="11"/>
      <c r="AT123" s="58"/>
      <c r="AU123" s="1" t="s">
        <v>379</v>
      </c>
      <c r="AV123" s="72">
        <f>AV$104*(0.5*AV$111)/(AV$109+AV$110+AV$111+($B$7*$B$6*$B$4)+($B$9*$B$8*$B$5))</f>
        <v>3.3629632483693522E-2</v>
      </c>
      <c r="BA123" s="1" t="s">
        <v>379</v>
      </c>
      <c r="BB123" s="72">
        <f>BB$104*(0.5*AV$111)/(AV$109+AV$110+AV$111+($B$7*$B$6*$B$4)+($B$9*$B$8*$B$5))</f>
        <v>3.3629632483693522E-2</v>
      </c>
      <c r="BD123" s="49"/>
      <c r="BE123" s="49"/>
      <c r="BF123" s="49"/>
      <c r="BR123" s="32">
        <f>BR122+20</f>
        <v>40</v>
      </c>
      <c r="BS123" s="52">
        <f t="shared" si="35"/>
        <v>1.0121654939345589E-4</v>
      </c>
      <c r="BT123" s="52">
        <f t="shared" si="35"/>
        <v>1.0121654939345589E-4</v>
      </c>
      <c r="BU123" s="52">
        <f t="shared" si="36"/>
        <v>5.0347161081321454E-3</v>
      </c>
      <c r="BV123" s="52">
        <f t="shared" si="37"/>
        <v>1.0121654939345589E-4</v>
      </c>
      <c r="BW123" s="52">
        <f t="shared" si="37"/>
        <v>1.0121654939345589E-4</v>
      </c>
      <c r="BX123" s="52">
        <f t="shared" si="38"/>
        <v>5.0347161081321454E-3</v>
      </c>
      <c r="BY123" s="52">
        <f t="shared" si="39"/>
        <v>7.821280522806907E-3</v>
      </c>
      <c r="BZ123" s="52">
        <f t="shared" si="40"/>
        <v>9.5363433986496928E-5</v>
      </c>
      <c r="CA123" s="52">
        <f t="shared" si="40"/>
        <v>9.5363433986496928E-5</v>
      </c>
      <c r="CB123" s="52">
        <f t="shared" si="41"/>
        <v>1.6414361166211635E-5</v>
      </c>
      <c r="CC123" s="52">
        <f t="shared" si="42"/>
        <v>8.6986856143824262E-5</v>
      </c>
      <c r="CD123" s="52">
        <f t="shared" si="42"/>
        <v>8.6986856143824262E-5</v>
      </c>
      <c r="CE123" s="52">
        <f t="shared" si="43"/>
        <v>1.4972548845715878E-5</v>
      </c>
      <c r="CF123" s="52">
        <f t="shared" si="44"/>
        <v>9.5363433986496928E-5</v>
      </c>
      <c r="CG123" s="52">
        <f t="shared" si="44"/>
        <v>9.5363433986496928E-5</v>
      </c>
      <c r="CH123" s="52">
        <f t="shared" si="45"/>
        <v>1.6414361166211635E-5</v>
      </c>
      <c r="CI123" s="72">
        <f t="shared" si="46"/>
        <v>3.7797615312113585E-2</v>
      </c>
      <c r="CJ123" s="46"/>
      <c r="CK123" s="52"/>
      <c r="CL123" s="52"/>
    </row>
    <row r="124" spans="1:91" ht="21" customHeight="1">
      <c r="A124" s="68" t="s">
        <v>299</v>
      </c>
      <c r="B124" s="67">
        <f>B114+B115+B116+B118+B119+B120+H114+H115+H116+H118+H119+H120</f>
        <v>0.1306503308089266</v>
      </c>
      <c r="G124" s="24"/>
      <c r="H124" s="75"/>
      <c r="I124" s="49"/>
      <c r="J124" s="49"/>
      <c r="K124" s="49"/>
      <c r="L124" s="49"/>
      <c r="T124" s="11"/>
      <c r="U124" s="58"/>
      <c r="V124" s="11"/>
      <c r="W124" s="11"/>
      <c r="X124" s="68" t="s">
        <v>299</v>
      </c>
      <c r="Y124" s="67">
        <f>Y114+Y115+Y116+Y118+Y119+Y120+AE114+AE115+AE116+AE118+AE119+AE120</f>
        <v>0.24761500243189441</v>
      </c>
      <c r="AD124" s="24"/>
      <c r="AE124" s="75"/>
      <c r="AF124" s="49"/>
      <c r="AG124" s="49"/>
      <c r="AH124" s="49"/>
      <c r="AI124" s="49"/>
      <c r="AN124" s="11"/>
      <c r="AO124" s="11"/>
      <c r="AP124" s="11"/>
      <c r="AQ124" s="11"/>
      <c r="AR124" s="11"/>
      <c r="AS124" s="11"/>
      <c r="AT124" s="11"/>
      <c r="AU124" s="68" t="s">
        <v>299</v>
      </c>
      <c r="AV124" s="67">
        <f>AV114+AV115+AV116+AV118+AV119+AV120+BB114+BB115+BB116+BB118+BB119+BB120</f>
        <v>6.1171990924160341E-2</v>
      </c>
      <c r="BA124" s="24"/>
      <c r="BB124" s="75"/>
      <c r="BC124" s="49"/>
      <c r="BD124" s="49"/>
      <c r="BE124" s="49"/>
      <c r="BF124" s="49"/>
      <c r="BR124" s="32">
        <f t="shared" ref="BR124:BR125" si="51">BR123+20</f>
        <v>60</v>
      </c>
      <c r="BS124" s="52">
        <f t="shared" si="35"/>
        <v>8.8900565788407871E-5</v>
      </c>
      <c r="BT124" s="52">
        <f t="shared" si="35"/>
        <v>8.8900565788407871E-5</v>
      </c>
      <c r="BU124" s="52">
        <f t="shared" si="36"/>
        <v>4.422094146452866E-3</v>
      </c>
      <c r="BV124" s="52">
        <f t="shared" si="37"/>
        <v>8.8900565788407871E-5</v>
      </c>
      <c r="BW124" s="52">
        <f t="shared" si="37"/>
        <v>8.8900565788407871E-5</v>
      </c>
      <c r="BX124" s="52">
        <f t="shared" si="38"/>
        <v>4.422094146452866E-3</v>
      </c>
      <c r="BY124" s="52">
        <f t="shared" si="39"/>
        <v>6.1888037692444655E-3</v>
      </c>
      <c r="BZ124" s="52">
        <f t="shared" si="40"/>
        <v>6.4473746880214296E-5</v>
      </c>
      <c r="CA124" s="52">
        <f t="shared" si="40"/>
        <v>6.4473746880214296E-5</v>
      </c>
      <c r="CB124" s="52">
        <f t="shared" si="41"/>
        <v>1.1097496417553488E-5</v>
      </c>
      <c r="CC124" s="52">
        <f t="shared" si="42"/>
        <v>6.0532764181151927E-5</v>
      </c>
      <c r="CD124" s="52">
        <f t="shared" si="42"/>
        <v>6.0532764181151927E-5</v>
      </c>
      <c r="CE124" s="52">
        <f t="shared" si="43"/>
        <v>1.0419157659520079E-5</v>
      </c>
      <c r="CF124" s="52">
        <f t="shared" si="44"/>
        <v>6.4473746880214296E-5</v>
      </c>
      <c r="CG124" s="52">
        <f t="shared" si="44"/>
        <v>6.4473746880214296E-5</v>
      </c>
      <c r="CH124" s="52">
        <f t="shared" si="45"/>
        <v>1.1097496417553488E-5</v>
      </c>
      <c r="CI124" s="72">
        <f t="shared" si="46"/>
        <v>3.1600337983363223E-2</v>
      </c>
      <c r="CJ124" s="46"/>
      <c r="CK124" s="52"/>
      <c r="CL124" s="52"/>
    </row>
    <row r="125" spans="1:91" ht="21" customHeight="1">
      <c r="A125" s="24"/>
      <c r="B125" s="75"/>
      <c r="G125" s="48"/>
      <c r="H125" s="49"/>
      <c r="I125" s="49"/>
      <c r="J125" s="49"/>
      <c r="K125" s="49"/>
      <c r="L125" s="49"/>
      <c r="T125" s="77"/>
      <c r="U125" s="11"/>
      <c r="V125" s="11"/>
      <c r="W125" s="11"/>
      <c r="X125" s="24"/>
      <c r="Y125" s="75"/>
      <c r="AD125" s="48"/>
      <c r="AE125" s="49"/>
      <c r="AF125" s="49"/>
      <c r="AG125" s="49"/>
      <c r="AH125" s="49"/>
      <c r="AI125" s="49"/>
      <c r="AN125" s="11"/>
      <c r="AO125" s="11"/>
      <c r="AP125" s="11"/>
      <c r="AQ125" s="77"/>
      <c r="AR125" s="11"/>
      <c r="AS125" s="78"/>
      <c r="AT125" s="11"/>
      <c r="AU125" s="24"/>
      <c r="AV125" s="75"/>
      <c r="BA125" s="48"/>
      <c r="BB125" s="49"/>
      <c r="BC125" s="49"/>
      <c r="BD125" s="49"/>
      <c r="BE125" s="49"/>
      <c r="BF125" s="49"/>
      <c r="BR125" s="32">
        <f t="shared" si="51"/>
        <v>80</v>
      </c>
      <c r="BS125" s="52">
        <f t="shared" si="35"/>
        <v>7.9256652437650945E-5</v>
      </c>
      <c r="BT125" s="52">
        <f t="shared" si="35"/>
        <v>7.9256652437650945E-5</v>
      </c>
      <c r="BU125" s="52">
        <f t="shared" si="36"/>
        <v>3.9423863695779333E-3</v>
      </c>
      <c r="BV125" s="52">
        <f t="shared" si="37"/>
        <v>7.9256652437650945E-5</v>
      </c>
      <c r="BW125" s="52">
        <f t="shared" si="37"/>
        <v>7.9256652437650945E-5</v>
      </c>
      <c r="BX125" s="52">
        <f t="shared" si="38"/>
        <v>3.9423863695779333E-3</v>
      </c>
      <c r="BY125" s="52">
        <f t="shared" si="39"/>
        <v>5.1201198597363483E-3</v>
      </c>
      <c r="BZ125" s="52">
        <f t="shared" si="40"/>
        <v>4.8699294332336785E-5</v>
      </c>
      <c r="CA125" s="52">
        <f t="shared" si="40"/>
        <v>4.8699294332336785E-5</v>
      </c>
      <c r="CB125" s="52">
        <f t="shared" si="41"/>
        <v>8.3823303366341288E-6</v>
      </c>
      <c r="CC125" s="52">
        <f t="shared" si="42"/>
        <v>4.641670347175414E-5</v>
      </c>
      <c r="CD125" s="52">
        <f t="shared" si="42"/>
        <v>4.641670347175414E-5</v>
      </c>
      <c r="CE125" s="52">
        <f t="shared" si="43"/>
        <v>7.9894410580705805E-6</v>
      </c>
      <c r="CF125" s="52">
        <f t="shared" si="44"/>
        <v>4.8699294332336785E-5</v>
      </c>
      <c r="CG125" s="52">
        <f t="shared" si="44"/>
        <v>4.8699294332336785E-5</v>
      </c>
      <c r="CH125" s="52">
        <f t="shared" si="45"/>
        <v>8.3823303366341288E-6</v>
      </c>
      <c r="CI125" s="72">
        <f t="shared" si="46"/>
        <v>2.7268607789294023E-2</v>
      </c>
      <c r="CJ125" s="46"/>
      <c r="CK125" s="52"/>
      <c r="CL125" s="52"/>
    </row>
    <row r="126" spans="1:91" ht="21" customHeight="1">
      <c r="A126" s="40" t="s">
        <v>300</v>
      </c>
      <c r="G126" s="48"/>
      <c r="H126" s="49"/>
      <c r="I126" s="49"/>
      <c r="J126" s="49"/>
      <c r="K126" s="49"/>
      <c r="L126" s="49"/>
      <c r="T126" s="25"/>
      <c r="U126" s="59"/>
      <c r="V126" s="11"/>
      <c r="W126" s="11"/>
      <c r="X126" s="40" t="s">
        <v>300</v>
      </c>
      <c r="AD126" s="48"/>
      <c r="AE126" s="49"/>
      <c r="AF126" s="49"/>
      <c r="AG126" s="49"/>
      <c r="AH126" s="49"/>
      <c r="AI126" s="49"/>
      <c r="AN126" s="11"/>
      <c r="AO126" s="11"/>
      <c r="AP126" s="11"/>
      <c r="AQ126" s="79"/>
      <c r="AR126" s="60"/>
      <c r="AS126" s="25"/>
      <c r="AT126" s="59"/>
      <c r="AU126" s="40" t="s">
        <v>300</v>
      </c>
      <c r="BA126" s="48"/>
      <c r="BB126" s="49"/>
      <c r="BC126" s="49"/>
      <c r="BD126" s="49"/>
      <c r="BE126" s="49"/>
      <c r="BF126" s="49"/>
      <c r="BR126" s="32">
        <f>BR125+20</f>
        <v>100</v>
      </c>
      <c r="BS126" s="52">
        <f t="shared" si="35"/>
        <v>7.1500314434175816E-5</v>
      </c>
      <c r="BT126" s="52">
        <f t="shared" si="35"/>
        <v>7.1500314434175816E-5</v>
      </c>
      <c r="BU126" s="52">
        <f t="shared" si="36"/>
        <v>3.5565704124026678E-3</v>
      </c>
      <c r="BV126" s="52">
        <f t="shared" si="37"/>
        <v>7.1500314434175816E-5</v>
      </c>
      <c r="BW126" s="52">
        <f t="shared" si="37"/>
        <v>7.1500314434175816E-5</v>
      </c>
      <c r="BX126" s="52">
        <f t="shared" si="38"/>
        <v>3.5565704124026678E-3</v>
      </c>
      <c r="BY126" s="52">
        <f t="shared" si="39"/>
        <v>4.3661689126513531E-3</v>
      </c>
      <c r="BZ126" s="52">
        <f t="shared" si="40"/>
        <v>3.9126435214806872E-5</v>
      </c>
      <c r="CA126" s="52">
        <f t="shared" si="40"/>
        <v>3.9126435214806872E-5</v>
      </c>
      <c r="CB126" s="52">
        <f t="shared" si="41"/>
        <v>6.7346089786695313E-6</v>
      </c>
      <c r="CC126" s="52">
        <f t="shared" si="42"/>
        <v>3.7639324791003523E-5</v>
      </c>
      <c r="CD126" s="52">
        <f t="shared" si="42"/>
        <v>3.7639324791003523E-5</v>
      </c>
      <c r="CE126" s="52">
        <f t="shared" si="43"/>
        <v>6.4786411871384235E-6</v>
      </c>
      <c r="CF126" s="52">
        <f t="shared" si="44"/>
        <v>3.9126435214806872E-5</v>
      </c>
      <c r="CG126" s="52">
        <f t="shared" si="44"/>
        <v>3.9126435214806872E-5</v>
      </c>
      <c r="CH126" s="52">
        <f t="shared" si="45"/>
        <v>6.7346089786695313E-6</v>
      </c>
      <c r="CI126" s="72">
        <f t="shared" si="46"/>
        <v>2.403408648955821E-2</v>
      </c>
    </row>
    <row r="127" spans="1:91" ht="21" customHeight="1">
      <c r="A127" s="32" t="s">
        <v>228</v>
      </c>
      <c r="B127" s="69">
        <f>'2nd Gen Rxns'!$N$162</f>
        <v>13</v>
      </c>
      <c r="G127" s="48"/>
      <c r="H127" s="49"/>
      <c r="I127" s="49"/>
      <c r="J127" s="32" t="s">
        <v>228</v>
      </c>
      <c r="K127" s="69">
        <f>'2nd Gen Rxns'!$N$187</f>
        <v>0.34</v>
      </c>
      <c r="L127" s="49"/>
      <c r="O127" s="32"/>
      <c r="P127" s="69"/>
      <c r="T127" s="25"/>
      <c r="U127" s="59"/>
      <c r="V127" s="11"/>
      <c r="W127" s="11"/>
      <c r="X127" s="32" t="s">
        <v>228</v>
      </c>
      <c r="Y127" s="69">
        <f>'2nd Gen Rxns'!$N$162</f>
        <v>13</v>
      </c>
      <c r="AD127" s="48"/>
      <c r="AE127" s="49"/>
      <c r="AF127" s="49"/>
      <c r="AG127" s="32" t="s">
        <v>228</v>
      </c>
      <c r="AH127" s="96">
        <f>'2nd Gen Rxns'!$N$187</f>
        <v>0.34</v>
      </c>
      <c r="AI127" s="49"/>
      <c r="AL127" s="32"/>
      <c r="AM127" s="69"/>
      <c r="AN127" s="11"/>
      <c r="AO127" s="11"/>
      <c r="AP127" s="11"/>
      <c r="AQ127" s="80"/>
      <c r="AR127" s="11"/>
      <c r="AS127" s="11"/>
      <c r="AT127" s="11"/>
      <c r="AU127" s="32" t="s">
        <v>228</v>
      </c>
      <c r="AV127" s="69">
        <f>'2nd Gen Rxns'!$N$162</f>
        <v>13</v>
      </c>
      <c r="BA127" s="48"/>
      <c r="BB127" s="49"/>
      <c r="BC127" s="49"/>
      <c r="BD127" s="32" t="s">
        <v>228</v>
      </c>
      <c r="BE127" s="100">
        <f>'2nd Gen Rxns'!$N$187</f>
        <v>0.34</v>
      </c>
      <c r="BF127" s="49"/>
      <c r="BI127" s="32"/>
      <c r="BJ127" s="69"/>
      <c r="BR127" s="32">
        <v>200</v>
      </c>
      <c r="BS127" s="52">
        <f t="shared" si="35"/>
        <v>4.8008769459392834E-5</v>
      </c>
      <c r="BT127" s="52">
        <f t="shared" si="35"/>
        <v>4.8008769459392834E-5</v>
      </c>
      <c r="BU127" s="52">
        <f t="shared" si="36"/>
        <v>2.388053400133352E-3</v>
      </c>
      <c r="BV127" s="52">
        <f t="shared" si="37"/>
        <v>4.8008769459392834E-5</v>
      </c>
      <c r="BW127" s="52">
        <f t="shared" si="37"/>
        <v>4.8008769459392834E-5</v>
      </c>
      <c r="BX127" s="52">
        <f t="shared" si="38"/>
        <v>2.388053400133352E-3</v>
      </c>
      <c r="BY127" s="52">
        <f t="shared" si="39"/>
        <v>2.5146933088119649E-3</v>
      </c>
      <c r="BZ127" s="52">
        <f t="shared" si="40"/>
        <v>1.9732383461300965E-5</v>
      </c>
      <c r="CA127" s="52">
        <f t="shared" si="40"/>
        <v>1.9732383461300965E-5</v>
      </c>
      <c r="CB127" s="52">
        <f t="shared" si="41"/>
        <v>3.3964220379253267E-6</v>
      </c>
      <c r="CC127" s="52">
        <f t="shared" si="42"/>
        <v>1.9346885817954772E-5</v>
      </c>
      <c r="CD127" s="52">
        <f t="shared" si="42"/>
        <v>1.9346885817954772E-5</v>
      </c>
      <c r="CE127" s="52">
        <f t="shared" si="43"/>
        <v>3.3300685386637144E-6</v>
      </c>
      <c r="CF127" s="52">
        <f t="shared" si="44"/>
        <v>1.9732383461300965E-5</v>
      </c>
      <c r="CG127" s="52">
        <f t="shared" si="44"/>
        <v>1.9732383461300965E-5</v>
      </c>
      <c r="CH127" s="52">
        <f t="shared" si="45"/>
        <v>3.3964220379253267E-6</v>
      </c>
      <c r="CI127" s="72">
        <f t="shared" ref="CI127:CI128" si="52">2*SUM(BS127:CH127)</f>
        <v>1.5221162810023734E-2</v>
      </c>
    </row>
    <row r="128" spans="1:91" ht="21" customHeight="1">
      <c r="A128" s="32" t="s">
        <v>229</v>
      </c>
      <c r="B128" s="69">
        <f>'2nd Gen Rxns'!$I$171</f>
        <v>0.39</v>
      </c>
      <c r="G128" s="32"/>
      <c r="H128" s="49"/>
      <c r="I128" s="49"/>
      <c r="J128" s="32" t="s">
        <v>229</v>
      </c>
      <c r="K128" s="69">
        <f>'2nd Gen Rxns'!$S$189</f>
        <v>0.89</v>
      </c>
      <c r="L128" s="49"/>
      <c r="O128" s="32"/>
      <c r="P128" s="69"/>
      <c r="T128" s="80"/>
      <c r="U128" s="11"/>
      <c r="V128" s="11"/>
      <c r="W128" s="11"/>
      <c r="X128" s="32" t="s">
        <v>229</v>
      </c>
      <c r="Y128" s="69">
        <f>'2nd Gen Rxns'!$I$171</f>
        <v>0.39</v>
      </c>
      <c r="AD128" s="32"/>
      <c r="AE128" s="49"/>
      <c r="AF128" s="49"/>
      <c r="AG128" s="32" t="s">
        <v>229</v>
      </c>
      <c r="AH128" s="69">
        <f>'2nd Gen Rxns'!$S$189</f>
        <v>0.89</v>
      </c>
      <c r="AI128" s="49"/>
      <c r="AL128" s="32"/>
      <c r="AM128" s="69"/>
      <c r="AN128" s="11"/>
      <c r="AO128" s="11"/>
      <c r="AP128" s="11"/>
      <c r="AQ128" s="25"/>
      <c r="AR128" s="59"/>
      <c r="AS128" s="11"/>
      <c r="AT128" s="11"/>
      <c r="AU128" s="32" t="s">
        <v>229</v>
      </c>
      <c r="AV128" s="69">
        <f>'2nd Gen Rxns'!$I$171</f>
        <v>0.39</v>
      </c>
      <c r="BA128" s="32"/>
      <c r="BB128" s="49"/>
      <c r="BC128" s="49"/>
      <c r="BD128" s="32" t="s">
        <v>229</v>
      </c>
      <c r="BE128" s="69">
        <f>'2nd Gen Rxns'!$S$189</f>
        <v>0.89</v>
      </c>
      <c r="BF128" s="49"/>
      <c r="BI128" s="32"/>
      <c r="BJ128" s="69"/>
      <c r="BR128" s="32">
        <v>400</v>
      </c>
      <c r="BS128" s="52">
        <f t="shared" si="35"/>
        <v>2.8971501365937035E-5</v>
      </c>
      <c r="BT128" s="52">
        <f t="shared" si="35"/>
        <v>2.8971501365937035E-5</v>
      </c>
      <c r="BU128" s="52">
        <f t="shared" si="36"/>
        <v>1.441101138874493E-3</v>
      </c>
      <c r="BV128" s="52">
        <f t="shared" si="37"/>
        <v>2.8971501365937035E-5</v>
      </c>
      <c r="BW128" s="52">
        <f t="shared" si="37"/>
        <v>2.8971501365937035E-5</v>
      </c>
      <c r="BX128" s="52">
        <f t="shared" si="38"/>
        <v>1.441101138874493E-3</v>
      </c>
      <c r="BY128" s="52">
        <f t="shared" si="39"/>
        <v>1.3606905816315898E-3</v>
      </c>
      <c r="BZ128" s="52">
        <f t="shared" si="40"/>
        <v>9.9090341263371503E-6</v>
      </c>
      <c r="CA128" s="52">
        <f t="shared" si="40"/>
        <v>9.9090341263371503E-6</v>
      </c>
      <c r="CB128" s="52">
        <f t="shared" si="41"/>
        <v>1.7055852349134681E-6</v>
      </c>
      <c r="CC128" s="52">
        <f t="shared" si="42"/>
        <v>9.8108661614827452E-6</v>
      </c>
      <c r="CD128" s="52">
        <f t="shared" si="42"/>
        <v>9.8108661614827452E-6</v>
      </c>
      <c r="CE128" s="52">
        <f t="shared" si="43"/>
        <v>1.6886881459275541E-6</v>
      </c>
      <c r="CF128" s="52">
        <f t="shared" si="44"/>
        <v>9.9090341263371503E-6</v>
      </c>
      <c r="CG128" s="52">
        <f t="shared" si="44"/>
        <v>9.9090341263371503E-6</v>
      </c>
      <c r="CH128" s="52">
        <f t="shared" si="45"/>
        <v>1.7055852349134681E-6</v>
      </c>
      <c r="CI128" s="72">
        <f t="shared" si="52"/>
        <v>8.8462731845767861E-3</v>
      </c>
      <c r="CM128" s="11"/>
    </row>
    <row r="129" spans="1:91" ht="21" customHeight="1">
      <c r="A129" s="73" t="s">
        <v>267</v>
      </c>
      <c r="B129" s="22">
        <f>'2nd Gen Rxns'!$S$160</f>
        <v>9.699694832209369</v>
      </c>
      <c r="C129" s="11"/>
      <c r="D129" s="11"/>
      <c r="E129" s="11"/>
      <c r="F129" s="11"/>
      <c r="G129" s="73" t="s">
        <v>267</v>
      </c>
      <c r="H129" s="22">
        <f>'2nd Gen Rxns'!$N$144</f>
        <v>7.9138029206591147</v>
      </c>
      <c r="I129" s="49"/>
      <c r="J129" s="73" t="s">
        <v>267</v>
      </c>
      <c r="K129" s="22">
        <f>'2nd Gen Rxns'!$I$187</f>
        <v>2.9261125376956257E-2</v>
      </c>
      <c r="L129" s="49"/>
      <c r="M129" s="11"/>
      <c r="N129" s="11"/>
      <c r="O129" s="73"/>
      <c r="P129" s="22"/>
      <c r="T129" s="25"/>
      <c r="U129" s="59"/>
      <c r="V129" s="11"/>
      <c r="W129" s="11"/>
      <c r="X129" s="73" t="s">
        <v>267</v>
      </c>
      <c r="Y129" s="96">
        <f>'2nd Gen Rxns'!$S$160*Z$106</f>
        <v>48.498474161046843</v>
      </c>
      <c r="Z129" s="11"/>
      <c r="AA129" s="11"/>
      <c r="AB129" s="11"/>
      <c r="AC129" s="11"/>
      <c r="AD129" s="73" t="s">
        <v>267</v>
      </c>
      <c r="AE129" s="96">
        <f>'2nd Gen Rxns'!$N$144*Z$106</f>
        <v>39.569014603295571</v>
      </c>
      <c r="AF129" s="49"/>
      <c r="AG129" s="73" t="s">
        <v>267</v>
      </c>
      <c r="AH129" s="22">
        <f>'2nd Gen Rxns'!$I$187</f>
        <v>2.9261125376956257E-2</v>
      </c>
      <c r="AI129" s="49"/>
      <c r="AJ129" s="11"/>
      <c r="AK129" s="11"/>
      <c r="AL129" s="73"/>
      <c r="AM129" s="22"/>
      <c r="AN129" s="11"/>
      <c r="AO129" s="11"/>
      <c r="AP129" s="11"/>
      <c r="AQ129" s="25"/>
      <c r="AR129" s="59"/>
      <c r="AS129" s="11"/>
      <c r="AT129" s="11"/>
      <c r="AU129" s="73" t="s">
        <v>267</v>
      </c>
      <c r="AV129" s="100">
        <f>'2nd Gen Rxns'!$S$160*AW$106</f>
        <v>1.9399389664418738</v>
      </c>
      <c r="AW129" s="11"/>
      <c r="AX129" s="11"/>
      <c r="AY129" s="11"/>
      <c r="AZ129" s="11"/>
      <c r="BA129" s="73" t="s">
        <v>267</v>
      </c>
      <c r="BB129" s="100">
        <f>'2nd Gen Rxns'!$N$144*AW$106</f>
        <v>1.5827605841318231</v>
      </c>
      <c r="BC129" s="49"/>
      <c r="BD129" s="73" t="s">
        <v>267</v>
      </c>
      <c r="BE129" s="22">
        <f>'2nd Gen Rxns'!$I$187</f>
        <v>2.9261125376956257E-2</v>
      </c>
      <c r="BF129" s="49"/>
      <c r="BG129" s="11"/>
      <c r="BH129" s="11"/>
      <c r="BI129" s="73"/>
      <c r="BJ129" s="22"/>
      <c r="BR129" s="32">
        <v>600</v>
      </c>
      <c r="BS129" s="52">
        <f t="shared" si="35"/>
        <v>2.0745239849161828E-5</v>
      </c>
      <c r="BT129" s="52">
        <f t="shared" si="35"/>
        <v>2.0745239849161828E-5</v>
      </c>
      <c r="BU129" s="52">
        <f t="shared" si="36"/>
        <v>1.0319102346556866E-3</v>
      </c>
      <c r="BV129" s="52">
        <f t="shared" si="37"/>
        <v>2.0745239849161828E-5</v>
      </c>
      <c r="BW129" s="52">
        <f t="shared" si="37"/>
        <v>2.0745239849161828E-5</v>
      </c>
      <c r="BX129" s="52">
        <f t="shared" si="38"/>
        <v>1.0319102346556866E-3</v>
      </c>
      <c r="BY129" s="52">
        <f t="shared" si="39"/>
        <v>9.3268002239026713E-4</v>
      </c>
      <c r="BZ129" s="52">
        <f t="shared" si="40"/>
        <v>6.6155984850665854E-6</v>
      </c>
      <c r="CA129" s="52">
        <f t="shared" si="40"/>
        <v>6.6155984850665854E-6</v>
      </c>
      <c r="CB129" s="52">
        <f t="shared" si="41"/>
        <v>1.1387050395007955E-6</v>
      </c>
      <c r="CC129" s="52">
        <f t="shared" si="42"/>
        <v>6.5716971434713268E-6</v>
      </c>
      <c r="CD129" s="52">
        <f t="shared" si="42"/>
        <v>6.5716971434713268E-6</v>
      </c>
      <c r="CE129" s="52">
        <f t="shared" si="43"/>
        <v>1.1311485532617636E-6</v>
      </c>
      <c r="CF129" s="52">
        <f t="shared" si="44"/>
        <v>6.6155984850665854E-6</v>
      </c>
      <c r="CG129" s="52">
        <f t="shared" si="44"/>
        <v>6.6155984850665854E-6</v>
      </c>
      <c r="CH129" s="52">
        <f t="shared" si="45"/>
        <v>1.1387050395007955E-6</v>
      </c>
      <c r="CI129" s="72">
        <f t="shared" ref="CI129" si="53">2*SUM(BS129:CH129)</f>
        <v>6.2449915959155184E-3</v>
      </c>
      <c r="CM129" s="11"/>
    </row>
    <row r="130" spans="1:91" ht="21" customHeight="1">
      <c r="A130" s="71" t="s">
        <v>387</v>
      </c>
      <c r="D130" s="71" t="s">
        <v>392</v>
      </c>
      <c r="G130" s="71" t="s">
        <v>396</v>
      </c>
      <c r="H130" s="49"/>
      <c r="I130" s="49"/>
      <c r="J130" s="71" t="s">
        <v>398</v>
      </c>
      <c r="K130" s="49"/>
      <c r="L130" s="49"/>
      <c r="M130" s="71" t="s">
        <v>399</v>
      </c>
      <c r="N130" s="49"/>
      <c r="O130" s="71" t="s">
        <v>400</v>
      </c>
      <c r="T130" s="25"/>
      <c r="U130" s="59"/>
      <c r="V130" s="11"/>
      <c r="W130" s="11"/>
      <c r="X130" s="71" t="s">
        <v>387</v>
      </c>
      <c r="AA130" s="71" t="s">
        <v>392</v>
      </c>
      <c r="AD130" s="71" t="s">
        <v>396</v>
      </c>
      <c r="AE130" s="49"/>
      <c r="AF130" s="49"/>
      <c r="AG130" s="71" t="s">
        <v>398</v>
      </c>
      <c r="AH130" s="49"/>
      <c r="AI130" s="49"/>
      <c r="AJ130" s="71" t="s">
        <v>399</v>
      </c>
      <c r="AK130" s="49"/>
      <c r="AL130" s="71" t="s">
        <v>400</v>
      </c>
      <c r="AN130" s="11"/>
      <c r="AO130" s="11"/>
      <c r="AP130" s="11"/>
      <c r="AQ130" s="78"/>
      <c r="AR130" s="11"/>
      <c r="AS130" s="11"/>
      <c r="AT130" s="11"/>
      <c r="AU130" s="71" t="s">
        <v>387</v>
      </c>
      <c r="AX130" s="71" t="s">
        <v>392</v>
      </c>
      <c r="BA130" s="71" t="s">
        <v>396</v>
      </c>
      <c r="BB130" s="49"/>
      <c r="BC130" s="49"/>
      <c r="BD130" s="71" t="s">
        <v>398</v>
      </c>
      <c r="BE130" s="49"/>
      <c r="BF130" s="49"/>
      <c r="BG130" s="71" t="s">
        <v>399</v>
      </c>
      <c r="BH130" s="49"/>
      <c r="BI130" s="71" t="s">
        <v>400</v>
      </c>
      <c r="CM130" s="11"/>
    </row>
    <row r="131" spans="1:91" ht="21" customHeight="1">
      <c r="A131" s="77" t="s">
        <v>230</v>
      </c>
      <c r="B131" s="11"/>
      <c r="C131" s="11"/>
      <c r="D131" s="77" t="s">
        <v>230</v>
      </c>
      <c r="E131" s="11"/>
      <c r="F131" s="11"/>
      <c r="G131" s="78" t="s">
        <v>283</v>
      </c>
      <c r="H131" s="11"/>
      <c r="I131" s="49"/>
      <c r="J131" s="77" t="s">
        <v>230</v>
      </c>
      <c r="K131" s="49"/>
      <c r="L131" s="49"/>
      <c r="M131" s="77" t="s">
        <v>230</v>
      </c>
      <c r="N131" s="49"/>
      <c r="O131" s="77" t="s">
        <v>230</v>
      </c>
      <c r="P131" s="49"/>
      <c r="T131" s="78"/>
      <c r="U131" s="11"/>
      <c r="V131" s="11"/>
      <c r="W131" s="11"/>
      <c r="X131" s="77" t="s">
        <v>230</v>
      </c>
      <c r="Y131" s="11"/>
      <c r="Z131" s="11"/>
      <c r="AA131" s="77" t="s">
        <v>230</v>
      </c>
      <c r="AB131" s="11"/>
      <c r="AC131" s="11"/>
      <c r="AD131" s="78" t="s">
        <v>283</v>
      </c>
      <c r="AE131" s="11"/>
      <c r="AF131" s="49"/>
      <c r="AG131" s="77" t="s">
        <v>230</v>
      </c>
      <c r="AH131" s="49"/>
      <c r="AI131" s="49"/>
      <c r="AJ131" s="77" t="s">
        <v>230</v>
      </c>
      <c r="AK131" s="49"/>
      <c r="AL131" s="77" t="s">
        <v>230</v>
      </c>
      <c r="AM131" s="49"/>
      <c r="AN131" s="11"/>
      <c r="AO131" s="11"/>
      <c r="AP131" s="11"/>
      <c r="AQ131" s="25"/>
      <c r="AR131" s="59"/>
      <c r="AS131" s="11"/>
      <c r="AT131" s="11"/>
      <c r="AU131" s="77" t="s">
        <v>230</v>
      </c>
      <c r="AV131" s="11"/>
      <c r="AW131" s="11"/>
      <c r="AX131" s="77" t="s">
        <v>230</v>
      </c>
      <c r="AY131" s="11"/>
      <c r="AZ131" s="11"/>
      <c r="BA131" s="78" t="s">
        <v>283</v>
      </c>
      <c r="BB131" s="11"/>
      <c r="BC131" s="49"/>
      <c r="BD131" s="77" t="s">
        <v>230</v>
      </c>
      <c r="BE131" s="49"/>
      <c r="BF131" s="49"/>
      <c r="BG131" s="77" t="s">
        <v>230</v>
      </c>
      <c r="BH131" s="49"/>
      <c r="BI131" s="77" t="s">
        <v>230</v>
      </c>
      <c r="BJ131" s="49"/>
    </row>
    <row r="132" spans="1:91" ht="21" customHeight="1">
      <c r="A132" s="1" t="s">
        <v>388</v>
      </c>
      <c r="B132" s="72">
        <f>B$114*($B$127)/($B$127+$B$128+$B$129+($B$7*$B$6*$B$4)+($B$9*$B$8*$B$5))</f>
        <v>9.2453746653764369E-3</v>
      </c>
      <c r="D132" s="1" t="s">
        <v>388</v>
      </c>
      <c r="E132" s="72">
        <f>B$115*($B$127)/($B$127+$B$128+$B$129+($B$7*$B$6*$B$4)+($B$9*$B$8*$B$5))</f>
        <v>9.2453746653764369E-3</v>
      </c>
      <c r="G132" s="15" t="s">
        <v>397</v>
      </c>
      <c r="H132" s="52">
        <f>B$116*($H$129)/($H$129+($B$7*$B$6*$B$4)+($B$9*$B$8*$B$5))</f>
        <v>1.6105402599584446E-2</v>
      </c>
      <c r="I132" s="49"/>
      <c r="J132" s="15" t="s">
        <v>412</v>
      </c>
      <c r="K132" s="52">
        <f>B$118*(0.5*$K$127)/($K$127+$K$129+($B$7*$B$6*$B$4)+($B$9*$B$8*$B$5))</f>
        <v>1.4504942891834891E-3</v>
      </c>
      <c r="L132" s="49"/>
      <c r="M132" s="15" t="s">
        <v>405</v>
      </c>
      <c r="N132" s="52">
        <f>B$119*(0.5*$K$127)/($K$127+$K$128+$K$129+($B$7*$B$6*$B$4)+($B$9*$B$8*$B$5))</f>
        <v>5.8850868568185218E-4</v>
      </c>
      <c r="O132" s="15" t="s">
        <v>409</v>
      </c>
      <c r="P132" s="52">
        <f>B$120*(0.5*$K$127)/($K$127+$K$129+($B$7*$B$6*$B$4)+($B$9*$B$8*$B$5))</f>
        <v>1.4504942891834891E-3</v>
      </c>
      <c r="T132" s="11"/>
      <c r="U132" s="74"/>
      <c r="V132" s="11"/>
      <c r="W132" s="11"/>
      <c r="X132" s="1" t="s">
        <v>388</v>
      </c>
      <c r="Y132" s="72">
        <f>Y$114*(Y$127)/(Y$127+Y$128+Y$129+($B$7*$B$6*$B$4)+($B$9*$B$8*$B$5))</f>
        <v>8.1275714455544285E-3</v>
      </c>
      <c r="AA132" s="1" t="s">
        <v>388</v>
      </c>
      <c r="AB132" s="72">
        <f>Y$115*(Y$127)/(Y$127+Y$128+Y$129+($B$7*$B$6*$B$4)+($B$9*$B$8*$B$5))</f>
        <v>8.1275714455544285E-3</v>
      </c>
      <c r="AD132" s="15" t="s">
        <v>397</v>
      </c>
      <c r="AE132" s="95">
        <f>Y$116*(AE$129)/(AE$129+($B$7*$B$6*$B$4)+($B$9*$B$8*$B$5))</f>
        <v>3.860897851515465E-2</v>
      </c>
      <c r="AF132" s="49"/>
      <c r="AG132" s="15" t="s">
        <v>412</v>
      </c>
      <c r="AH132" s="95">
        <f>Y$118*(0.5*AH$127)/(AH$127+AH$129+($B$7*$B$6*$B$4)+($B$9*$B$8*$B$5))</f>
        <v>6.7917678469262975E-4</v>
      </c>
      <c r="AI132" s="49"/>
      <c r="AJ132" s="15" t="s">
        <v>405</v>
      </c>
      <c r="AK132" s="95">
        <f>Y$119*(0.5*AH$127)/(AH$127+AH$128+AH$129+($B$7*$B$6*$B$4)+($B$9*$B$8*$B$5))</f>
        <v>2.755622272253725E-4</v>
      </c>
      <c r="AL132" s="15" t="s">
        <v>409</v>
      </c>
      <c r="AM132" s="95">
        <f>Y$120*(0.5*AH$127)/(AH$127+AH$129+($B$7*$B$6*$B$4)+($B$9*$B$8*$B$5))</f>
        <v>6.7917678469262975E-4</v>
      </c>
      <c r="AN132" s="11"/>
      <c r="AO132" s="11"/>
      <c r="AP132" s="11"/>
      <c r="AQ132" s="11"/>
      <c r="AR132" s="11"/>
      <c r="AS132" s="11"/>
      <c r="AT132" s="11"/>
      <c r="AU132" s="1" t="s">
        <v>388</v>
      </c>
      <c r="AV132" s="72">
        <f>AV$114*(AV$127)/(AV$127+AV$128+AV$129+($B$7*$B$6*$B$4)+($B$9*$B$8*$B$5))</f>
        <v>3.3223033930700314E-3</v>
      </c>
      <c r="AX132" s="1" t="s">
        <v>388</v>
      </c>
      <c r="AY132" s="72">
        <f>AV$115*(AV$127)/(AV$127+AV$128+AV$129+($B$7*$B$6*$B$4)+($B$9*$B$8*$B$5))</f>
        <v>3.3223033930700314E-3</v>
      </c>
      <c r="BA132" s="15" t="s">
        <v>397</v>
      </c>
      <c r="BB132" s="101">
        <f>AV$116*(BB$129)/(BB$129+($B$7*$B$6*$B$4)+($B$9*$B$8*$B$5))</f>
        <v>3.4578860332280074E-3</v>
      </c>
      <c r="BC132" s="49"/>
      <c r="BD132" s="15" t="s">
        <v>412</v>
      </c>
      <c r="BE132" s="101">
        <f>AV$118*(0.5*BE$127)/(BE$127+BE$129+($B$7*$B$6*$B$4)+($B$9*$B$8*$B$5))</f>
        <v>1.7392562286119766E-3</v>
      </c>
      <c r="BF132" s="49"/>
      <c r="BG132" s="15" t="s">
        <v>405</v>
      </c>
      <c r="BH132" s="101">
        <f>AV$119*(0.5*BE$127)/(BE$127+BE$128+BE$129+($B$7*$B$6*$B$4)+($B$9*$B$8*$B$5))</f>
        <v>7.0566799524636188E-4</v>
      </c>
      <c r="BI132" s="15" t="s">
        <v>409</v>
      </c>
      <c r="BJ132" s="101">
        <f>AV$120*(0.5*BE$127)/(BE$127+BE$129+($B$7*$B$6*$B$4)+($B$9*$B$8*$B$5))</f>
        <v>1.7392562286119766E-3</v>
      </c>
    </row>
    <row r="133" spans="1:91" ht="21" customHeight="1">
      <c r="A133" s="42" t="s">
        <v>205</v>
      </c>
      <c r="D133" s="42" t="s">
        <v>205</v>
      </c>
      <c r="G133" s="48"/>
      <c r="H133" s="49"/>
      <c r="I133" s="49"/>
      <c r="J133" s="15" t="s">
        <v>413</v>
      </c>
      <c r="K133" s="52">
        <f>B$118*(0.5*$K$127)/($K$127+$K$129+($B$7*$B$6*$B$4)+($B$9*$B$8*$B$5))</f>
        <v>1.4504942891834891E-3</v>
      </c>
      <c r="L133" s="49"/>
      <c r="M133" s="15" t="s">
        <v>406</v>
      </c>
      <c r="N133" s="52">
        <f>B$119*(0.5*$K$127)/($K$127+$K$128+$K$129+($B$7*$B$6*$B$4)+($B$9*$B$8*$B$5))</f>
        <v>5.8850868568185218E-4</v>
      </c>
      <c r="O133" s="15" t="s">
        <v>410</v>
      </c>
      <c r="P133" s="52">
        <f>B$120*(0.5*$K$127)/($K$127+$K$129+($B$7*$B$6*$B$4)+($B$9*$B$8*$B$5))</f>
        <v>1.4504942891834891E-3</v>
      </c>
      <c r="T133" s="11"/>
      <c r="U133" s="60"/>
      <c r="V133" s="11"/>
      <c r="W133" s="11"/>
      <c r="X133" s="42" t="s">
        <v>205</v>
      </c>
      <c r="AA133" s="42" t="s">
        <v>205</v>
      </c>
      <c r="AD133" s="48"/>
      <c r="AE133" s="49"/>
      <c r="AF133" s="49"/>
      <c r="AG133" s="15" t="s">
        <v>413</v>
      </c>
      <c r="AH133" s="95">
        <f>Y$118*(0.5*AH$127)/(AH$127+AH$129+($B$7*$B$6*$B$4)+($B$9*$B$8*$B$5))</f>
        <v>6.7917678469262975E-4</v>
      </c>
      <c r="AI133" s="49"/>
      <c r="AJ133" s="15" t="s">
        <v>406</v>
      </c>
      <c r="AK133" s="95">
        <f>Y$119*(0.5*AH$127)/(AH$127+AH$128+AH$129+($B$7*$B$6*$B$4)+($B$9*$B$8*$B$5))</f>
        <v>2.755622272253725E-4</v>
      </c>
      <c r="AL133" s="15" t="s">
        <v>410</v>
      </c>
      <c r="AM133" s="95">
        <f>Y$120*(0.5*AH$127)/(AH$127+AH$129+($B$7*$B$6*$B$4)+($B$9*$B$8*$B$5))</f>
        <v>6.7917678469262975E-4</v>
      </c>
      <c r="AN133" s="11"/>
      <c r="AO133" s="11"/>
      <c r="AP133" s="11"/>
      <c r="AQ133" s="11"/>
      <c r="AR133" s="11"/>
      <c r="AS133" s="48"/>
      <c r="AT133" s="81"/>
      <c r="AU133" s="42" t="s">
        <v>205</v>
      </c>
      <c r="AX133" s="42" t="s">
        <v>205</v>
      </c>
      <c r="BA133" s="48"/>
      <c r="BB133" s="49"/>
      <c r="BC133" s="49"/>
      <c r="BD133" s="15" t="s">
        <v>413</v>
      </c>
      <c r="BE133" s="101">
        <f>AV$118*(0.5*BE$127)/(BE$127+BE$129+($B$7*$B$6*$B$4)+($B$9*$B$8*$B$5))</f>
        <v>1.7392562286119766E-3</v>
      </c>
      <c r="BF133" s="49"/>
      <c r="BG133" s="15" t="s">
        <v>406</v>
      </c>
      <c r="BH133" s="101">
        <f>AV$119*(0.5*BE$127)/(BE$127+BE$128+BE$129+($B$7*$B$6*$B$4)+($B$9*$B$8*$B$5))</f>
        <v>7.0566799524636188E-4</v>
      </c>
      <c r="BI133" s="15" t="s">
        <v>410</v>
      </c>
      <c r="BJ133" s="101">
        <f>AV$120*(0.5*BE$127)/(BE$127+BE$129+($B$7*$B$6*$B$4)+($B$9*$B$8*$B$5))</f>
        <v>1.7392562286119766E-3</v>
      </c>
    </row>
    <row r="134" spans="1:91" ht="21" customHeight="1">
      <c r="A134" s="15" t="s">
        <v>389</v>
      </c>
      <c r="B134" s="52">
        <f>B$114*(0.5*$B$128)/($B$127+$B$128+$B$129+($B$7*$B$6*$B$4)+($B$9*$B$8*$B$5))</f>
        <v>1.3868061998064654E-4</v>
      </c>
      <c r="D134" s="15" t="s">
        <v>393</v>
      </c>
      <c r="E134" s="52">
        <f>B$115*(0.5*$B$128)/($B$127+$B$128+$B$129+($B$7*$B$6*$B$4)+($B$9*$B$8*$B$5))</f>
        <v>1.3868061998064654E-4</v>
      </c>
      <c r="G134" s="48"/>
      <c r="H134" s="49"/>
      <c r="I134" s="49"/>
      <c r="J134" s="44" t="s">
        <v>283</v>
      </c>
      <c r="K134" s="49"/>
      <c r="L134" s="49"/>
      <c r="M134" s="42" t="s">
        <v>205</v>
      </c>
      <c r="N134" s="52"/>
      <c r="O134" s="44" t="s">
        <v>283</v>
      </c>
      <c r="P134" s="49"/>
      <c r="T134" s="11"/>
      <c r="U134" s="60"/>
      <c r="V134" s="11"/>
      <c r="W134" s="11"/>
      <c r="X134" s="15" t="s">
        <v>389</v>
      </c>
      <c r="Y134" s="52">
        <f>Y$114*(0.5*Y$128)/(Y$127+Y$128+Y$129+($B$7*$B$6*$B$4)+($B$9*$B$8*$B$5))</f>
        <v>1.2191357168331645E-4</v>
      </c>
      <c r="AA134" s="15" t="s">
        <v>393</v>
      </c>
      <c r="AB134" s="52">
        <f>Y$115*(0.5*Y$128)/(Y$127+Y$128+Y$129+($B$7*$B$6*$B$4)+($B$9*$B$8*$B$5))</f>
        <v>1.2191357168331645E-4</v>
      </c>
      <c r="AD134" s="48"/>
      <c r="AE134" s="49"/>
      <c r="AF134" s="49"/>
      <c r="AG134" s="44" t="s">
        <v>283</v>
      </c>
      <c r="AH134" s="49"/>
      <c r="AI134" s="49"/>
      <c r="AJ134" s="42" t="s">
        <v>205</v>
      </c>
      <c r="AK134" s="52"/>
      <c r="AL134" s="44" t="s">
        <v>283</v>
      </c>
      <c r="AM134" s="49"/>
      <c r="AN134" s="11"/>
      <c r="AO134" s="11"/>
      <c r="AP134" s="11"/>
      <c r="AQ134" s="11"/>
      <c r="AR134" s="11"/>
      <c r="AS134" s="48"/>
      <c r="AT134" s="49"/>
      <c r="AU134" s="15" t="s">
        <v>389</v>
      </c>
      <c r="AV134" s="52">
        <f>AV$114*(0.5*AV$128)/(AV$127+AV$128+AV$129+($B$7*$B$6*$B$4)+($B$9*$B$8*$B$5))</f>
        <v>4.9834550896050468E-5</v>
      </c>
      <c r="AX134" s="15" t="s">
        <v>393</v>
      </c>
      <c r="AY134" s="52">
        <f>AV$115*(0.5*AV$128)/(AV$127+AV$128+AV$129+($B$7*$B$6*$B$4)+($B$9*$B$8*$B$5))</f>
        <v>4.9834550896050468E-5</v>
      </c>
      <c r="BA134" s="48"/>
      <c r="BB134" s="49"/>
      <c r="BC134" s="49"/>
      <c r="BD134" s="44" t="s">
        <v>283</v>
      </c>
      <c r="BE134" s="49"/>
      <c r="BF134" s="49"/>
      <c r="BG134" s="42" t="s">
        <v>205</v>
      </c>
      <c r="BH134" s="52"/>
      <c r="BI134" s="44" t="s">
        <v>283</v>
      </c>
      <c r="BJ134" s="49"/>
    </row>
    <row r="135" spans="1:91" ht="21" customHeight="1">
      <c r="A135" s="15" t="s">
        <v>390</v>
      </c>
      <c r="B135" s="52">
        <f>B$114*(0.5*$B$128)/($B$127+$B$128+$B$129+($B$7*$B$6*$B$4)+($B$9*$B$8*$B$5))</f>
        <v>1.3868061998064654E-4</v>
      </c>
      <c r="D135" s="15" t="s">
        <v>394</v>
      </c>
      <c r="E135" s="52">
        <f>B$115*(0.5*$B$128)/($B$127+$B$128+$B$129+($B$7*$B$6*$B$4)+($B$9*$B$8*$B$5))</f>
        <v>1.3868061998064654E-4</v>
      </c>
      <c r="G135" s="48"/>
      <c r="H135" s="49"/>
      <c r="I135" s="49"/>
      <c r="J135" s="15" t="s">
        <v>414</v>
      </c>
      <c r="K135" s="52">
        <f>B$118*($K$129)/($K$127+$K$129+($B$7*$B$6*$B$4)+($B$9*$B$8*$B$5))</f>
        <v>2.4966526620210066E-4</v>
      </c>
      <c r="L135" s="49"/>
      <c r="M135" s="1" t="s">
        <v>407</v>
      </c>
      <c r="N135" s="70">
        <f>B$119*($K$128)/($K$127+$K$128+$K$129+($B$7*$B$6*$B$4)+($B$9*$B$8*$B$5))</f>
        <v>3.0810160603344022E-3</v>
      </c>
      <c r="O135" s="15" t="s">
        <v>411</v>
      </c>
      <c r="P135" s="52">
        <f>B$120*($K$129)/($K$127+$K$129+($B$7*$B$6*$B$4)+($B$9*$B$8*$B$5))</f>
        <v>2.4966526620210066E-4</v>
      </c>
      <c r="T135" s="11"/>
      <c r="U135" s="11"/>
      <c r="V135" s="11"/>
      <c r="W135" s="11"/>
      <c r="X135" s="15" t="s">
        <v>390</v>
      </c>
      <c r="Y135" s="52">
        <f>Y$114*(0.5*Y$128)/(Y$127+Y$128+Y$129+($B$7*$B$6*$B$4)+($B$9*$B$8*$B$5))</f>
        <v>1.2191357168331645E-4</v>
      </c>
      <c r="AA135" s="15" t="s">
        <v>394</v>
      </c>
      <c r="AB135" s="52">
        <f>Y$115*(0.5*Y$128)/(Y$127+Y$128+Y$129+($B$7*$B$6*$B$4)+($B$9*$B$8*$B$5))</f>
        <v>1.2191357168331645E-4</v>
      </c>
      <c r="AD135" s="48"/>
      <c r="AE135" s="49"/>
      <c r="AF135" s="49"/>
      <c r="AG135" s="15" t="s">
        <v>414</v>
      </c>
      <c r="AH135" s="52">
        <f>Y$118*(AH$129)/(AH$127+AH$129+($B$7*$B$6*$B$4)+($B$9*$B$8*$B$5))</f>
        <v>1.1690280617652389E-4</v>
      </c>
      <c r="AI135" s="49"/>
      <c r="AJ135" s="1" t="s">
        <v>407</v>
      </c>
      <c r="AK135" s="70">
        <f>Y$119*(AH$128)/(AH$127+AH$128+AH$129+($B$7*$B$6*$B$4)+($B$9*$B$8*$B$5))</f>
        <v>1.4426493072387146E-3</v>
      </c>
      <c r="AL135" s="15" t="s">
        <v>411</v>
      </c>
      <c r="AM135" s="52">
        <f>Y$120*(AH$129)/(AH$127+AH$129+($B$7*$B$6*$B$4)+($B$9*$B$8*$B$5))</f>
        <v>1.1690280617652389E-4</v>
      </c>
      <c r="AN135" s="11"/>
      <c r="AO135" s="11"/>
      <c r="AP135" s="11"/>
      <c r="AQ135" s="11"/>
      <c r="AR135" s="11"/>
      <c r="AS135" s="48"/>
      <c r="AT135" s="49"/>
      <c r="AU135" s="15" t="s">
        <v>390</v>
      </c>
      <c r="AV135" s="52">
        <f>AV$114*(0.5*AV$128)/(AV$127+AV$128+AV$129+($B$7*$B$6*$B$4)+($B$9*$B$8*$B$5))</f>
        <v>4.9834550896050468E-5</v>
      </c>
      <c r="AX135" s="15" t="s">
        <v>394</v>
      </c>
      <c r="AY135" s="52">
        <f>AV$115*(0.5*AV$128)/(AV$127+AV$128+AV$129+($B$7*$B$6*$B$4)+($B$9*$B$8*$B$5))</f>
        <v>4.9834550896050468E-5</v>
      </c>
      <c r="BA135" s="48"/>
      <c r="BB135" s="49"/>
      <c r="BC135" s="49"/>
      <c r="BD135" s="15" t="s">
        <v>414</v>
      </c>
      <c r="BE135" s="52">
        <f>AV$118*(BE$129)/(BE$127+BE$129+($B$7*$B$6*$B$4)+($B$9*$B$8*$B$5))</f>
        <v>2.9936820334157139E-4</v>
      </c>
      <c r="BF135" s="49"/>
      <c r="BG135" s="1" t="s">
        <v>407</v>
      </c>
      <c r="BH135" s="70">
        <f>AV$119*(BE$128)/(BE$127+BE$128+BE$129+($B$7*$B$6*$B$4)+($B$9*$B$8*$B$5))</f>
        <v>3.6943795045250704E-3</v>
      </c>
      <c r="BI135" s="15" t="s">
        <v>411</v>
      </c>
      <c r="BJ135" s="52">
        <f>AV$120*(BE$129)/(BE$127+BE$129+($B$7*$B$6*$B$4)+($B$9*$B$8*$B$5))</f>
        <v>2.9936820334157139E-4</v>
      </c>
    </row>
    <row r="136" spans="1:91" ht="21" customHeight="1">
      <c r="A136" s="44" t="s">
        <v>283</v>
      </c>
      <c r="D136" s="44" t="s">
        <v>283</v>
      </c>
      <c r="G136" s="48"/>
      <c r="H136" s="49"/>
      <c r="I136" s="49"/>
      <c r="J136" s="49"/>
      <c r="K136" s="49"/>
      <c r="L136" s="49"/>
      <c r="M136" s="44" t="s">
        <v>283</v>
      </c>
      <c r="N136" s="49"/>
      <c r="Q136" s="41"/>
      <c r="R136" s="41"/>
      <c r="T136" s="11"/>
      <c r="U136" s="11"/>
      <c r="V136" s="11"/>
      <c r="W136" s="11"/>
      <c r="X136" s="44" t="s">
        <v>283</v>
      </c>
      <c r="AA136" s="44" t="s">
        <v>283</v>
      </c>
      <c r="AD136" s="48"/>
      <c r="AE136" s="49"/>
      <c r="AF136" s="49"/>
      <c r="AG136" s="49"/>
      <c r="AH136" s="49"/>
      <c r="AI136" s="49"/>
      <c r="AJ136" s="44" t="s">
        <v>283</v>
      </c>
      <c r="AK136" s="49"/>
      <c r="AN136" s="11"/>
      <c r="AO136" s="11"/>
      <c r="AP136" s="11"/>
      <c r="AQ136" s="11"/>
      <c r="AR136" s="11"/>
      <c r="AS136" s="11"/>
      <c r="AT136" s="11"/>
      <c r="AU136" s="44" t="s">
        <v>283</v>
      </c>
      <c r="AX136" s="44" t="s">
        <v>283</v>
      </c>
      <c r="BA136" s="48"/>
      <c r="BB136" s="49"/>
      <c r="BC136" s="49"/>
      <c r="BD136" s="49"/>
      <c r="BE136" s="49"/>
      <c r="BF136" s="49"/>
      <c r="BG136" s="44" t="s">
        <v>283</v>
      </c>
      <c r="BH136" s="49"/>
    </row>
    <row r="137" spans="1:91" ht="21" customHeight="1">
      <c r="A137" s="15" t="s">
        <v>391</v>
      </c>
      <c r="B137" s="52">
        <f>B$114*($B$129)/($B$127+$B$128+$B$129+($B$7*$B$6*$B$4)+($B$9*$B$8*$B$5))</f>
        <v>6.8982548356608655E-3</v>
      </c>
      <c r="D137" s="15" t="s">
        <v>395</v>
      </c>
      <c r="E137" s="52">
        <f>B$115*($B$129)/($B$127+$B$128+$B$129+($B$7*$B$6*$B$4)+($B$9*$B$8*$B$5))</f>
        <v>6.8982548356608655E-3</v>
      </c>
      <c r="G137" s="48"/>
      <c r="H137" s="49"/>
      <c r="I137" s="49"/>
      <c r="J137" s="49"/>
      <c r="K137" s="49"/>
      <c r="L137" s="49"/>
      <c r="M137" s="15" t="s">
        <v>408</v>
      </c>
      <c r="N137" s="52">
        <f>B$119*($K$129)/($K$127+$K$128+$K$129+($B$7*$B$6*$B$4)+($B$9*$B$8*$B$5))</f>
        <v>1.0129662610096716E-4</v>
      </c>
      <c r="Q137" s="41"/>
      <c r="R137" s="41"/>
      <c r="T137" s="11"/>
      <c r="U137" s="11"/>
      <c r="V137" s="11"/>
      <c r="W137" s="11"/>
      <c r="X137" s="15" t="s">
        <v>391</v>
      </c>
      <c r="Y137" s="95">
        <f>Y$114*(Y$129)/(Y$127+Y$128+Y$129+($B$7*$B$6*$B$4)+($B$9*$B$8*$B$5))</f>
        <v>3.0321139518791049E-2</v>
      </c>
      <c r="AA137" s="15" t="s">
        <v>395</v>
      </c>
      <c r="AB137" s="95">
        <f>Y$115*(Y$129)/(Y$127+Y$128+Y$129+($B$7*$B$6*$B$4)+($B$9*$B$8*$B$5))</f>
        <v>3.0321139518791049E-2</v>
      </c>
      <c r="AD137" s="48"/>
      <c r="AE137" s="49"/>
      <c r="AF137" s="49"/>
      <c r="AG137" s="49"/>
      <c r="AH137" s="49"/>
      <c r="AI137" s="49"/>
      <c r="AJ137" s="15" t="s">
        <v>408</v>
      </c>
      <c r="AK137" s="52">
        <f>Y$119*(AH$129)/(AH$127+AH$128+AH$129+($B$7*$B$6*$B$4)+($B$9*$B$8*$B$5))</f>
        <v>4.7430946352911371E-5</v>
      </c>
      <c r="AN137" s="11"/>
      <c r="AO137" s="11"/>
      <c r="AP137" s="11"/>
      <c r="AQ137" s="11"/>
      <c r="AR137" s="11"/>
      <c r="AS137" s="11"/>
      <c r="AT137" s="11"/>
      <c r="AU137" s="15" t="s">
        <v>391</v>
      </c>
      <c r="AV137" s="101">
        <f>AV$114*(AV$129)/(AV$127+AV$128+AV$129+($B$7*$B$6*$B$4)+($B$9*$B$8*$B$5))</f>
        <v>4.9577429311989277E-4</v>
      </c>
      <c r="AX137" s="15" t="s">
        <v>395</v>
      </c>
      <c r="AY137" s="101">
        <f>AV$115*(AV$129)/(AV$127+AV$128+AV$129+($B$7*$B$6*$B$4)+($B$9*$B$8*$B$5))</f>
        <v>4.9577429311989277E-4</v>
      </c>
      <c r="BA137" s="48"/>
      <c r="BB137" s="49"/>
      <c r="BC137" s="49"/>
      <c r="BD137" s="49"/>
      <c r="BE137" s="49"/>
      <c r="BF137" s="49"/>
      <c r="BG137" s="15" t="s">
        <v>408</v>
      </c>
      <c r="BH137" s="52">
        <f>AV$119*(BE$129)/(BE$127+BE$128+BE$129+($B$7*$B$6*$B$4)+($B$9*$B$8*$B$5))</f>
        <v>1.2146258637299508E-4</v>
      </c>
    </row>
    <row r="138" spans="1:91" ht="21" customHeight="1">
      <c r="A138" s="68" t="s">
        <v>326</v>
      </c>
      <c r="B138" s="67">
        <f>(B134+B135+B137+E134+E135+E137+H132+K132+K133+K135+N132+N133+N137+P132+P133+P135)*2</f>
        <v>7.6072512874863163E-2</v>
      </c>
      <c r="C138" s="104">
        <f>Y138-B138</f>
        <v>0.13050344710793135</v>
      </c>
      <c r="D138" t="s">
        <v>415</v>
      </c>
      <c r="G138" s="48"/>
      <c r="H138" s="49"/>
      <c r="I138" s="49"/>
      <c r="J138" s="49"/>
      <c r="K138" s="49"/>
      <c r="L138" s="49"/>
      <c r="Q138" s="41"/>
      <c r="R138" s="41"/>
      <c r="T138" s="11"/>
      <c r="U138" s="11"/>
      <c r="V138" s="11"/>
      <c r="W138" s="11"/>
      <c r="X138" s="102" t="s">
        <v>326</v>
      </c>
      <c r="Y138" s="95">
        <f>(Y134+Y135+Y137+AB134+AB135+AB137+AE132+AH132+AH133+AH135+AK132+AK133+AK137+AM132+AM133+AM135)*2</f>
        <v>0.20657595998279452</v>
      </c>
      <c r="Z138" t="s">
        <v>415</v>
      </c>
      <c r="AD138" s="48"/>
      <c r="AE138" s="49"/>
      <c r="AF138" s="49"/>
      <c r="AG138" s="49"/>
      <c r="AH138" s="49"/>
      <c r="AI138" s="49"/>
      <c r="AN138" s="11"/>
      <c r="AO138" s="11"/>
      <c r="AP138" s="11"/>
      <c r="AQ138" s="11"/>
      <c r="AR138" s="11"/>
      <c r="AS138" s="11"/>
      <c r="AT138" s="11"/>
      <c r="AU138" s="103" t="s">
        <v>326</v>
      </c>
      <c r="AV138" s="101">
        <f>(AV134+AV135+AV137+AY134+AY135+AY137+BB132+BE132+BE133+BE135+BH132+BH133+BH137+BJ132+BJ133+BJ135)*2</f>
        <v>2.7474665442097521E-2</v>
      </c>
      <c r="AW138" t="s">
        <v>415</v>
      </c>
      <c r="BA138" s="48"/>
      <c r="BB138" s="49"/>
      <c r="BC138" s="49"/>
      <c r="BD138" s="49"/>
      <c r="BE138" s="49"/>
      <c r="BF138" s="49"/>
    </row>
    <row r="139" spans="1:91" ht="21" customHeight="1">
      <c r="A139" s="77"/>
      <c r="B139" s="11"/>
      <c r="C139" s="104">
        <f>AV138-B138</f>
        <v>-4.8597847432765642E-2</v>
      </c>
      <c r="D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91" ht="21" customHeight="1">
      <c r="A140" s="25"/>
      <c r="B140" s="59"/>
      <c r="C140" s="105"/>
      <c r="D140" s="11"/>
      <c r="F140" s="77"/>
      <c r="G140" s="11"/>
      <c r="H140" s="78"/>
      <c r="I140" s="11"/>
      <c r="J140" s="77"/>
      <c r="K140" s="11"/>
      <c r="L140" s="77"/>
      <c r="M140" s="11"/>
      <c r="N140" s="46"/>
      <c r="O140" s="46"/>
      <c r="P140" s="46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1:91" ht="21" customHeight="1">
      <c r="A141" s="25"/>
      <c r="B141" s="59"/>
      <c r="C141" s="11"/>
      <c r="D141" s="11"/>
      <c r="F141" s="79"/>
      <c r="G141" s="60"/>
      <c r="H141" s="25"/>
      <c r="I141" s="59"/>
      <c r="J141" s="25"/>
      <c r="K141" s="59"/>
      <c r="L141" s="25"/>
      <c r="M141" s="59"/>
      <c r="N141" s="46"/>
      <c r="O141" s="46"/>
      <c r="P141" s="46"/>
      <c r="Q141" s="46"/>
      <c r="R141" s="46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91" ht="21" customHeight="1">
      <c r="A142" s="80"/>
      <c r="B142" s="11"/>
      <c r="C142" s="11"/>
      <c r="D142" s="11"/>
      <c r="F142" s="80"/>
      <c r="G142" s="11"/>
      <c r="H142" s="11"/>
      <c r="I142" s="11"/>
      <c r="J142" s="25"/>
      <c r="K142" s="59"/>
      <c r="L142" s="25"/>
      <c r="M142" s="59"/>
      <c r="Q142" s="46"/>
      <c r="R142" s="46"/>
    </row>
    <row r="143" spans="1:91" ht="21" customHeight="1">
      <c r="A143" s="25"/>
      <c r="B143" s="59"/>
      <c r="C143" s="11"/>
      <c r="D143" s="11"/>
      <c r="F143" s="25"/>
      <c r="G143" s="59"/>
      <c r="H143" s="11"/>
      <c r="I143" s="11"/>
      <c r="J143" s="80"/>
      <c r="K143" s="11"/>
      <c r="L143" s="80"/>
      <c r="M143" s="11"/>
      <c r="N143" s="47"/>
      <c r="O143" s="47"/>
      <c r="P143" s="47"/>
    </row>
    <row r="144" spans="1:91" ht="21" customHeight="1">
      <c r="A144" s="25"/>
      <c r="B144" s="59"/>
      <c r="C144" s="11"/>
      <c r="D144" s="11"/>
      <c r="F144" s="25"/>
      <c r="G144" s="59"/>
      <c r="H144" s="11"/>
      <c r="I144" s="11"/>
      <c r="J144" s="11"/>
      <c r="K144" s="74"/>
      <c r="L144" s="11"/>
      <c r="M144" s="74"/>
      <c r="Q144" s="47"/>
      <c r="R144" s="47"/>
    </row>
    <row r="145" spans="1:91" ht="21" customHeight="1">
      <c r="A145" s="78"/>
      <c r="B145" s="11"/>
      <c r="C145" s="11"/>
      <c r="D145" s="11"/>
      <c r="F145" s="78"/>
      <c r="G145" s="11"/>
      <c r="H145" s="11"/>
      <c r="I145" s="11"/>
      <c r="J145" s="78"/>
      <c r="K145" s="11"/>
      <c r="L145" s="78"/>
      <c r="M145" s="11"/>
      <c r="N145" s="46"/>
      <c r="O145" s="46"/>
      <c r="P145" s="46"/>
    </row>
    <row r="146" spans="1:91" s="11" customFormat="1" ht="21" customHeight="1">
      <c r="B146" s="74"/>
      <c r="E146"/>
      <c r="F146" s="25"/>
      <c r="G146" s="59"/>
      <c r="J146" s="25"/>
      <c r="K146" s="59"/>
      <c r="L146" s="25"/>
      <c r="M146" s="59"/>
      <c r="N146" s="46"/>
      <c r="O146" s="46"/>
      <c r="P146" s="46"/>
      <c r="Q146" s="46"/>
      <c r="R146" s="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1" s="11" customFormat="1" ht="21" customHeight="1">
      <c r="B147" s="74"/>
      <c r="E147"/>
      <c r="F147" s="25"/>
      <c r="G147" s="59"/>
      <c r="J147" s="25"/>
      <c r="K147" s="59"/>
      <c r="L147" s="25"/>
      <c r="M147" s="59"/>
      <c r="N147" s="46"/>
      <c r="O147" s="46"/>
      <c r="P147" s="46"/>
      <c r="Q147" s="46"/>
      <c r="R147" s="46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</row>
    <row r="148" spans="1:91" s="11" customFormat="1" ht="21" customHeight="1">
      <c r="A148" s="10"/>
      <c r="B148" s="74"/>
      <c r="E148"/>
      <c r="F148" s="25"/>
      <c r="G148" s="59"/>
      <c r="J148" s="25"/>
      <c r="K148" s="59"/>
      <c r="L148" s="25"/>
      <c r="M148" s="59"/>
      <c r="N148" s="46"/>
      <c r="O148" s="46"/>
      <c r="P148" s="46"/>
      <c r="Q148" s="46"/>
      <c r="R148" s="46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</row>
    <row r="149" spans="1:91" ht="21" customHeight="1">
      <c r="A149" s="11"/>
      <c r="B149" s="58"/>
      <c r="C149" s="11"/>
      <c r="D149" s="11"/>
      <c r="F149" s="10"/>
      <c r="G149" s="59"/>
      <c r="H149" s="10"/>
      <c r="I149" s="11"/>
      <c r="J149" s="10"/>
      <c r="K149" s="59"/>
      <c r="L149" s="10"/>
      <c r="M149" s="59"/>
      <c r="N149" s="41"/>
      <c r="O149" s="41"/>
      <c r="P149" s="41"/>
      <c r="Q149" s="46"/>
      <c r="R149" s="46"/>
    </row>
    <row r="150" spans="1:91" ht="21" customHeight="1">
      <c r="A150" s="11"/>
      <c r="B150" s="74"/>
      <c r="C150" s="11"/>
      <c r="D150" s="11"/>
      <c r="F150" s="11"/>
      <c r="G150" s="58"/>
      <c r="H150" s="11"/>
      <c r="I150" s="58"/>
      <c r="J150" s="11"/>
      <c r="K150" s="58"/>
      <c r="L150" s="11"/>
      <c r="M150" s="58"/>
      <c r="N150" s="46"/>
      <c r="O150" s="46"/>
      <c r="P150" s="46"/>
      <c r="Q150" s="41"/>
      <c r="R150" s="41"/>
    </row>
    <row r="151" spans="1:91" ht="21" customHeight="1">
      <c r="A151" s="77"/>
      <c r="B151" s="74"/>
      <c r="C151" s="11"/>
      <c r="D151" s="11"/>
      <c r="F151" s="25"/>
      <c r="G151" s="59"/>
      <c r="H151" s="11"/>
      <c r="I151" s="11"/>
      <c r="J151" s="25"/>
      <c r="K151" s="59"/>
      <c r="L151" s="25"/>
      <c r="M151" s="59"/>
      <c r="N151" s="46"/>
      <c r="O151" s="46"/>
      <c r="P151" s="46"/>
      <c r="Q151" s="46"/>
      <c r="R151" s="46"/>
    </row>
    <row r="152" spans="1:91" ht="21" customHeight="1">
      <c r="A152" s="25"/>
      <c r="B152" s="59"/>
      <c r="C152" s="11"/>
      <c r="D152" s="11"/>
      <c r="F152" s="78"/>
      <c r="G152" s="59"/>
      <c r="H152" s="78"/>
      <c r="I152" s="11"/>
      <c r="J152" s="78"/>
      <c r="K152" s="59"/>
      <c r="L152" s="78"/>
      <c r="M152" s="59"/>
      <c r="N152" s="46"/>
      <c r="O152" s="46"/>
      <c r="P152" s="46"/>
      <c r="Q152" s="46"/>
      <c r="R152" s="46"/>
    </row>
    <row r="153" spans="1:91" ht="21" customHeight="1">
      <c r="A153" s="25"/>
      <c r="B153" s="59"/>
      <c r="C153" s="11"/>
      <c r="D153" s="11"/>
      <c r="F153" s="25"/>
      <c r="G153" s="59"/>
      <c r="H153" s="25"/>
      <c r="I153" s="59"/>
      <c r="J153" s="25"/>
      <c r="K153" s="59"/>
      <c r="L153" s="25"/>
      <c r="M153" s="59"/>
      <c r="N153" s="46"/>
      <c r="O153" s="46"/>
      <c r="P153" s="46"/>
      <c r="Q153" s="46"/>
      <c r="R153" s="46"/>
    </row>
    <row r="154" spans="1:91" ht="21" customHeight="1">
      <c r="A154" s="11"/>
      <c r="B154" s="74"/>
      <c r="C154" s="11"/>
      <c r="D154" s="11"/>
      <c r="F154" s="25"/>
      <c r="G154" s="59"/>
      <c r="H154" s="11"/>
      <c r="I154" s="11"/>
      <c r="J154" s="25"/>
      <c r="K154" s="59"/>
      <c r="L154" s="25"/>
      <c r="M154" s="59"/>
      <c r="Q154" s="46"/>
      <c r="R154" s="46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</row>
    <row r="155" spans="1:91" ht="21" customHeight="1">
      <c r="A155" s="10"/>
      <c r="B155" s="74"/>
      <c r="C155" s="11"/>
      <c r="D155" s="11"/>
      <c r="F155" s="25"/>
      <c r="G155" s="59"/>
      <c r="H155" s="48"/>
      <c r="I155" s="81"/>
      <c r="J155" s="80"/>
      <c r="K155" s="11"/>
      <c r="L155" s="11"/>
      <c r="M155" s="11"/>
      <c r="BR155" s="11"/>
    </row>
    <row r="156" spans="1:91" ht="21" customHeight="1">
      <c r="A156" s="11"/>
      <c r="B156" s="58"/>
      <c r="C156" s="11"/>
      <c r="D156" s="11"/>
      <c r="F156" s="25"/>
      <c r="G156" s="59"/>
      <c r="H156" s="48"/>
      <c r="I156" s="49"/>
      <c r="J156" s="11"/>
      <c r="K156" s="11"/>
      <c r="L156" s="11"/>
      <c r="M156" s="11"/>
    </row>
    <row r="157" spans="1:91" ht="21" customHeight="1">
      <c r="A157" s="11"/>
      <c r="B157" s="74"/>
      <c r="C157" s="11"/>
      <c r="D157" s="11"/>
      <c r="F157" s="25"/>
      <c r="G157" s="59"/>
      <c r="H157" s="48"/>
      <c r="I157" s="49"/>
      <c r="J157" s="11"/>
      <c r="K157" s="11"/>
      <c r="L157" s="11"/>
      <c r="M157" s="11"/>
      <c r="N157" s="46"/>
      <c r="O157" s="46"/>
      <c r="P157" s="46"/>
    </row>
    <row r="158" spans="1:91" ht="21" customHeight="1">
      <c r="A158" s="77"/>
      <c r="B158" s="74"/>
      <c r="C158" s="11"/>
      <c r="D158" s="11"/>
      <c r="F158" s="25"/>
      <c r="G158" s="59"/>
      <c r="H158" s="11"/>
      <c r="I158" s="11"/>
      <c r="J158" s="25"/>
      <c r="K158" s="59"/>
      <c r="L158" s="25"/>
      <c r="M158" s="59"/>
      <c r="N158" s="46"/>
      <c r="O158" s="46"/>
      <c r="P158" s="46"/>
      <c r="Q158" s="46"/>
      <c r="R158" s="46"/>
    </row>
    <row r="159" spans="1:91" ht="21" customHeight="1">
      <c r="A159" s="25"/>
      <c r="B159" s="59"/>
      <c r="C159" s="11"/>
      <c r="D159" s="11"/>
      <c r="F159" s="16"/>
      <c r="G159" s="46"/>
      <c r="J159" s="16"/>
      <c r="K159" s="46"/>
      <c r="L159" s="16"/>
      <c r="M159" s="46"/>
      <c r="N159" s="46"/>
      <c r="O159" s="46"/>
      <c r="P159" s="46"/>
      <c r="Q159" s="46"/>
      <c r="R159" s="46"/>
    </row>
    <row r="160" spans="1:91" ht="21" customHeight="1">
      <c r="A160" s="25"/>
      <c r="B160" s="59"/>
      <c r="C160" s="11"/>
      <c r="D160" s="11"/>
      <c r="F160" s="16"/>
      <c r="G160" s="46"/>
      <c r="J160" s="16"/>
      <c r="K160" s="46"/>
      <c r="L160" s="16"/>
      <c r="M160" s="46"/>
      <c r="Q160" s="46"/>
      <c r="R160" s="46"/>
    </row>
    <row r="161" spans="1:13" ht="21" customHeight="1">
      <c r="A161" s="11"/>
      <c r="B161" s="74"/>
      <c r="C161" s="11"/>
      <c r="D161" s="11"/>
      <c r="F161" s="16"/>
      <c r="G161" s="46"/>
      <c r="J161" s="16"/>
      <c r="K161" s="46"/>
      <c r="L161" s="16"/>
      <c r="M161" s="46"/>
    </row>
    <row r="162" spans="1:13" ht="21" customHeight="1">
      <c r="A162" s="11"/>
      <c r="B162" s="60"/>
      <c r="C162" s="11"/>
      <c r="D162" s="11"/>
      <c r="F162" s="16"/>
      <c r="G162" s="46"/>
      <c r="J162" s="16"/>
      <c r="K162" s="46"/>
      <c r="L162" s="16"/>
      <c r="M162" s="46"/>
    </row>
    <row r="163" spans="1:13" ht="21" customHeight="1">
      <c r="A163" s="11"/>
      <c r="B163" s="60"/>
      <c r="C163" s="11"/>
      <c r="D163" s="11"/>
    </row>
    <row r="164" spans="1:13" ht="21" customHeight="1">
      <c r="A164" s="11"/>
      <c r="B164" s="11"/>
      <c r="C164" s="11"/>
      <c r="D164" s="11"/>
    </row>
    <row r="165" spans="1:13" ht="21" customHeight="1">
      <c r="A165" s="11"/>
      <c r="B165" s="11"/>
      <c r="C165" s="11"/>
      <c r="D165" s="11"/>
    </row>
    <row r="166" spans="1:13" ht="21" customHeight="1"/>
    <row r="167" spans="1:13" ht="21" customHeight="1"/>
    <row r="168" spans="1:13" ht="21" customHeight="1"/>
    <row r="169" spans="1:13" ht="21" customHeight="1"/>
    <row r="170" spans="1:13" ht="21" customHeight="1"/>
    <row r="171" spans="1:13" ht="21" customHeight="1"/>
    <row r="172" spans="1:13" ht="21" customHeight="1"/>
    <row r="173" spans="1:13" ht="21" customHeight="1"/>
    <row r="174" spans="1:13" ht="21" customHeight="1"/>
    <row r="175" spans="1:13" ht="21" customHeight="1"/>
    <row r="176" spans="1:13" ht="21" customHeight="1"/>
    <row r="177" spans="1:18" ht="21" customHeight="1"/>
    <row r="178" spans="1:18" ht="21" customHeight="1">
      <c r="A178" s="11"/>
      <c r="B178" s="11"/>
      <c r="C178" s="11"/>
      <c r="D178" s="11"/>
      <c r="E178" s="11"/>
      <c r="F178" s="11"/>
      <c r="G178" s="11"/>
      <c r="H178" s="11"/>
      <c r="I178" s="11"/>
      <c r="N178" s="11"/>
      <c r="O178" s="11"/>
      <c r="P178" s="11"/>
      <c r="Q178" s="11"/>
      <c r="R178" s="11"/>
    </row>
    <row r="179" spans="1:18" ht="21" customHeight="1">
      <c r="J179" s="11"/>
      <c r="K179" s="11"/>
      <c r="L179" s="11"/>
      <c r="M179" s="11"/>
    </row>
    <row r="180" spans="1:18" ht="21" customHeight="1"/>
    <row r="181" spans="1:18" ht="21" customHeight="1"/>
    <row r="182" spans="1:18" ht="21" customHeight="1"/>
    <row r="183" spans="1:18" ht="21" customHeight="1"/>
    <row r="184" spans="1:18" ht="21" customHeight="1"/>
    <row r="185" spans="1:18" ht="21" customHeight="1"/>
    <row r="186" spans="1:18" ht="21" customHeight="1"/>
    <row r="187" spans="1:18" ht="21" customHeight="1"/>
    <row r="188" spans="1:18" ht="21" customHeight="1"/>
    <row r="189" spans="1:18" ht="21" customHeight="1"/>
    <row r="190" spans="1:18" ht="21" customHeight="1"/>
    <row r="191" spans="1:18" ht="21" customHeight="1"/>
    <row r="192" spans="1:18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hyperlinks>
    <hyperlink ref="C14" r:id="rId1" xr:uid="{7914409B-8FC9-4546-935F-3762344EB0B5}"/>
    <hyperlink ref="I14" r:id="rId2" xr:uid="{63FCE28F-1849-4EAB-876E-A42B02FD7634}"/>
    <hyperlink ref="C58" r:id="rId3" xr:uid="{C8C014EA-C99C-4339-9F9C-39C66DE4473F}"/>
    <hyperlink ref="Z14" r:id="rId4" xr:uid="{B5027C29-8D59-4A42-AFB0-6A618DADDE07}"/>
    <hyperlink ref="AF14" r:id="rId5" xr:uid="{4A252DA7-574A-4857-9DF2-B2942E8F0AD4}"/>
    <hyperlink ref="AW14" r:id="rId6" xr:uid="{0E1CEFD0-5E97-494C-9159-BF1D1112641C}"/>
    <hyperlink ref="BC14" r:id="rId7" xr:uid="{0CDD76E7-4D76-4502-B839-059F6C265471}"/>
    <hyperlink ref="Z58" r:id="rId8" xr:uid="{7B2AA797-EF18-425F-A6C1-9717059726A2}"/>
    <hyperlink ref="AW58" r:id="rId9" xr:uid="{AC006033-C223-4B41-8C13-0BAC8F1BA8AD}"/>
  </hyperlinks>
  <pageMargins left="0.7" right="0.7" top="0.75" bottom="0.75" header="0.3" footer="0.3"/>
  <pageSetup orientation="portrait" r:id="rId10"/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E6D7BB82EFA46AA29A7ED577BE597" ma:contentTypeVersion="32" ma:contentTypeDescription="Create a new document." ma:contentTypeScope="" ma:versionID="8fcd0d9d1c029a954e06b1cf90e71735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2dfb30c8-2307-42db-927a-69c9911b3bee" xmlns:ns7="38885d5b-fd1f-4819-8d40-cb9c4b50cc39" targetNamespace="http://schemas.microsoft.com/office/2006/metadata/properties" ma:root="true" ma:fieldsID="dbf11cc8c72c56e0eabb8a107e348b2c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2dfb30c8-2307-42db-927a-69c9911b3bee"/>
    <xsd:import namespace="38885d5b-fd1f-4819-8d40-cb9c4b50cc39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419b7115-3280-4d99-91ae-3246264b6e28}" ma:internalName="TaxCatchAllLabel" ma:readOnly="true" ma:showField="CatchAllDataLabel" ma:web="2dfb30c8-2307-42db-927a-69c9911b3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419b7115-3280-4d99-91ae-3246264b6e28}" ma:internalName="TaxCatchAll" ma:showField="CatchAllData" ma:web="2dfb30c8-2307-42db-927a-69c9911b3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b30c8-2307-42db-927a-69c9911b3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1" nillable="true" ma:displayName="Records Status" ma:default="Pending" ma:internalName="Records_x0020_Status">
      <xsd:simpleType>
        <xsd:restriction base="dms:Text"/>
      </xsd:simpleType>
    </xsd:element>
    <xsd:element name="Records_x0020_Date" ma:index="32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5d5b-fd1f-4819-8d40-cb9c4b50c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Date xmlns="2dfb30c8-2307-42db-927a-69c9911b3bee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Status xmlns="2dfb30c8-2307-42db-927a-69c9911b3bee">Pending</Records_x0020_Status>
    <Rights xmlns="4ffa91fb-a0ff-4ac5-b2db-65c790d184a4" xsi:nil="true"/>
    <Document_x0020_Creation_x0020_Date xmlns="4ffa91fb-a0ff-4ac5-b2db-65c790d184a4">2021-03-26T10:30:32+00:00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A4882D92-BD1A-43E0-85FD-FD8A2BE1E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2dfb30c8-2307-42db-927a-69c9911b3bee"/>
    <ds:schemaRef ds:uri="38885d5b-fd1f-4819-8d40-cb9c4b50cc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01F00-5501-4087-BC03-5B8F086A442D}">
  <ds:schemaRefs>
    <ds:schemaRef ds:uri="http://purl.org/dc/dcmitype/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8885d5b-fd1f-4819-8d40-cb9c4b50cc39"/>
    <ds:schemaRef ds:uri="http://purl.org/dc/terms/"/>
    <ds:schemaRef ds:uri="2dfb30c8-2307-42db-927a-69c9911b3bee"/>
    <ds:schemaRef ds:uri="http://schemas.microsoft.com/office/2006/documentManagement/types"/>
    <ds:schemaRef ds:uri="http://schemas.microsoft.com/sharepoint.v3"/>
    <ds:schemaRef ds:uri="http://schemas.microsoft.com/office/2006/metadata/properties"/>
    <ds:schemaRef ds:uri="4ffa91fb-a0ff-4ac5-b2db-65c790d184a4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30402F-1B39-496B-9E59-D0048FAD40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825670-FA9D-4926-B189-87C721A1A57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2nd Gen Rxns</vt:lpstr>
      <vt:lpstr>Calculated Yields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Piletic, Ivan</dc:creator>
  <cp:lastModifiedBy>Piletic, Ivan</cp:lastModifiedBy>
  <dcterms:created xsi:type="dcterms:W3CDTF">2021-03-23T14:15:30Z</dcterms:created>
  <dcterms:modified xsi:type="dcterms:W3CDTF">2021-12-02T14:05:34Z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0x01010091EE6D7BB82EFA46AA29A7ED577BE597</vt:lpwstr>
  </property>
</Properties>
</file>