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.AD.EPA.GOV\ORD\CIN\USERS\MAIN\F-K\JBEAULIE\Net MyDocuments\Documents\research\EPA\Lake Powell\"/>
    </mc:Choice>
  </mc:AlternateContent>
  <xr:revisionPtr revIDLastSave="0" documentId="13_ncr:1_{1645C654-8578-43AE-ADF7-B0FB21A70F06}" xr6:coauthVersionLast="45" xr6:coauthVersionMax="45" xr10:uidLastSave="{00000000-0000-0000-0000-000000000000}"/>
  <bookViews>
    <workbookView xWindow="19080" yWindow="-120" windowWidth="19440" windowHeight="15000" firstSheet="2" activeTab="7" xr2:uid="{00000000-000D-0000-FFFF-FFFF00000000}"/>
  </bookViews>
  <sheets>
    <sheet name="info" sheetId="1" r:id="rId1"/>
    <sheet name="Gres_Powell" sheetId="2" r:id="rId2"/>
    <sheet name="Gres_Mead" sheetId="3" r:id="rId3"/>
    <sheet name="SPM" sheetId="4" r:id="rId4"/>
    <sheet name="GLM" sheetId="5" r:id="rId5"/>
    <sheet name="MLR" sheetId="6" r:id="rId6"/>
    <sheet name="Funnel based ebullition" sheetId="7" r:id="rId7"/>
    <sheet name="Floating chamber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6" l="1"/>
  <c r="E18" i="6"/>
  <c r="G13" i="6"/>
  <c r="D13" i="6"/>
  <c r="G11" i="6"/>
  <c r="G14" i="6" s="1"/>
  <c r="D11" i="6"/>
  <c r="D14" i="6" s="1"/>
  <c r="B34" i="5"/>
  <c r="C33" i="5"/>
  <c r="C29" i="5" s="1"/>
  <c r="B29" i="5"/>
  <c r="B33" i="5" s="1"/>
  <c r="D26" i="5"/>
  <c r="D24" i="5"/>
  <c r="D23" i="5"/>
  <c r="D25" i="5" s="1"/>
  <c r="D27" i="5" s="1"/>
  <c r="D22" i="5"/>
  <c r="D21" i="5"/>
  <c r="B21" i="5"/>
  <c r="C10" i="5"/>
  <c r="E9" i="5"/>
  <c r="E34" i="5" s="1"/>
  <c r="E8" i="5"/>
  <c r="C8" i="5"/>
  <c r="C34" i="5" s="1"/>
  <c r="E5" i="5"/>
  <c r="E6" i="5" s="1"/>
  <c r="C5" i="5"/>
  <c r="C19" i="5" s="1"/>
  <c r="G19" i="4"/>
  <c r="E19" i="4"/>
  <c r="G14" i="4"/>
  <c r="E14" i="4"/>
  <c r="F12" i="4"/>
  <c r="F14" i="4" s="1"/>
  <c r="F15" i="4" s="1"/>
  <c r="D12" i="4"/>
  <c r="D14" i="4" s="1"/>
  <c r="D15" i="4" s="1"/>
  <c r="F7" i="4"/>
  <c r="D7" i="4"/>
  <c r="F5" i="4"/>
  <c r="D5" i="4"/>
  <c r="D8" i="4" s="1"/>
  <c r="G19" i="6" l="1"/>
  <c r="I18" i="6"/>
  <c r="H18" i="6"/>
  <c r="I19" i="6"/>
  <c r="G18" i="6"/>
  <c r="G15" i="6"/>
  <c r="H19" i="6"/>
  <c r="F19" i="6"/>
  <c r="D18" i="6"/>
  <c r="E19" i="6"/>
  <c r="D19" i="6"/>
  <c r="F18" i="6"/>
  <c r="D15" i="6"/>
  <c r="C23" i="5"/>
  <c r="C25" i="5" s="1"/>
  <c r="E36" i="5"/>
  <c r="E30" i="5"/>
  <c r="E31" i="5" s="1"/>
  <c r="F19" i="4"/>
  <c r="F20" i="4" s="1"/>
  <c r="F21" i="4" s="1"/>
  <c r="E15" i="4"/>
  <c r="D16" i="4"/>
  <c r="G15" i="4"/>
  <c r="F16" i="4"/>
  <c r="C36" i="5"/>
  <c r="C30" i="5"/>
  <c r="C31" i="5" s="1"/>
  <c r="C32" i="5" s="1"/>
  <c r="D19" i="4"/>
  <c r="D20" i="4" s="1"/>
  <c r="F8" i="4"/>
  <c r="C6" i="5"/>
  <c r="C20" i="5" s="1"/>
  <c r="E19" i="5"/>
  <c r="E33" i="5"/>
  <c r="C35" i="5"/>
  <c r="E10" i="5"/>
  <c r="E20" i="5" s="1"/>
  <c r="C24" i="5" l="1"/>
  <c r="C26" i="5" s="1"/>
  <c r="C21" i="5"/>
  <c r="C22" i="5"/>
  <c r="E29" i="5"/>
  <c r="E32" i="5" s="1"/>
  <c r="E35" i="5"/>
  <c r="E37" i="5" s="1"/>
  <c r="E23" i="6"/>
  <c r="E21" i="6"/>
  <c r="H23" i="6"/>
  <c r="H21" i="6"/>
  <c r="H22" i="6"/>
  <c r="H24" i="6" s="1"/>
  <c r="H20" i="6"/>
  <c r="E24" i="5"/>
  <c r="E26" i="5" s="1"/>
  <c r="E21" i="5"/>
  <c r="E20" i="4"/>
  <c r="D21" i="4"/>
  <c r="E22" i="5"/>
  <c r="E23" i="5"/>
  <c r="E25" i="5" s="1"/>
  <c r="D22" i="6"/>
  <c r="D24" i="6" s="1"/>
  <c r="D20" i="6"/>
  <c r="I22" i="6"/>
  <c r="I24" i="6" s="1"/>
  <c r="I20" i="6"/>
  <c r="F22" i="6"/>
  <c r="F24" i="6" s="1"/>
  <c r="F20" i="6"/>
  <c r="F23" i="6"/>
  <c r="F21" i="6"/>
  <c r="G22" i="6"/>
  <c r="G24" i="6" s="1"/>
  <c r="G20" i="6"/>
  <c r="G23" i="6"/>
  <c r="G21" i="6"/>
  <c r="D23" i="4"/>
  <c r="D17" i="4"/>
  <c r="E16" i="4"/>
  <c r="C37" i="5"/>
  <c r="F23" i="4"/>
  <c r="G16" i="4"/>
  <c r="C27" i="5"/>
  <c r="D23" i="6"/>
  <c r="D21" i="6"/>
  <c r="E22" i="6"/>
  <c r="E24" i="6" s="1"/>
  <c r="I23" i="6"/>
  <c r="I21" i="6"/>
  <c r="G20" i="4"/>
  <c r="G21" i="4" s="1"/>
  <c r="H26" i="6" l="1"/>
  <c r="H25" i="6"/>
  <c r="I26" i="6"/>
  <c r="I25" i="6"/>
  <c r="D26" i="6"/>
  <c r="D25" i="6"/>
  <c r="E21" i="4"/>
  <c r="E23" i="4" s="1"/>
  <c r="D22" i="4"/>
  <c r="E22" i="4" s="1"/>
  <c r="G23" i="4"/>
  <c r="G25" i="6"/>
  <c r="G26" i="6"/>
  <c r="F25" i="6"/>
  <c r="F26" i="6"/>
  <c r="E27" i="5"/>
  <c r="E26" i="6"/>
  <c r="E25" i="6"/>
  <c r="E17" i="4"/>
  <c r="D24" i="4" l="1"/>
  <c r="E2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000-000001000000}">
      <text>
        <r>
          <rPr>
            <sz val="11"/>
            <color rgb="FF000000"/>
            <rFont val="Calibri"/>
          </rPr>
          <t>original value: 3.6
July 2017 value: 4.0
	-Sarah W
----
original: 4.2
July 2017 value: 4.7
	-Sarah W
----
from http://lakepowell.water-data.com/
can search for specific dates
	-Sarah W</t>
        </r>
      </text>
    </comment>
  </commentList>
</comments>
</file>

<file path=xl/sharedStrings.xml><?xml version="1.0" encoding="utf-8"?>
<sst xmlns="http://schemas.openxmlformats.org/spreadsheetml/2006/main" count="506" uniqueCount="331">
  <si>
    <t>Supporting Information</t>
  </si>
  <si>
    <t>Greenhouse Gas Emissions from an Arid-zone Reservoir and their Significance in a Policy Decision Making Context: Results from existing global models and an exploratory dataset</t>
  </si>
  <si>
    <t>Bridget Deemer * • Sarah Waldo</t>
  </si>
  <si>
    <t>6 sheets</t>
  </si>
  <si>
    <t>Sheet number</t>
  </si>
  <si>
    <t>Sheet name</t>
  </si>
  <si>
    <t>G-res_Powell</t>
  </si>
  <si>
    <t>G_res_Mead</t>
  </si>
  <si>
    <t>SPM</t>
  </si>
  <si>
    <t>GLM</t>
  </si>
  <si>
    <t>MLR</t>
  </si>
  <si>
    <t>Prompt</t>
  </si>
  <si>
    <t>Input</t>
  </si>
  <si>
    <t>Source</t>
  </si>
  <si>
    <t>URL</t>
  </si>
  <si>
    <t>Reservoir Name</t>
  </si>
  <si>
    <t>Lake Powell</t>
  </si>
  <si>
    <t>Catchment area (km2)</t>
  </si>
  <si>
    <t>Wikipedia</t>
  </si>
  <si>
    <t>https://en.wikipedia.org/wiki/Lake_Powell</t>
  </si>
  <si>
    <t>Population (person)</t>
  </si>
  <si>
    <t>Miller 2012</t>
  </si>
  <si>
    <t>Catchment Annual Runoff (mm/yr)</t>
  </si>
  <si>
    <t>Community Wastewater Treatment</t>
  </si>
  <si>
    <t>Primary</t>
  </si>
  <si>
    <t>Guess from info availabel on Page Water Treatment Website</t>
  </si>
  <si>
    <t>http://www.pageutility.com/water-department.html</t>
  </si>
  <si>
    <t>Release of industrial sewage in the catchment (Pkg/yr)</t>
  </si>
  <si>
    <t>updated from epa ECHO tool</t>
  </si>
  <si>
    <t>https://echo.epa.gov/</t>
  </si>
  <si>
    <t>Industrial Wastewater Treatment</t>
  </si>
  <si>
    <t>Land Cover in the Catchment Area - Croplands (%)</t>
  </si>
  <si>
    <t>From Nation Land Cover Database 2011, downloaded from https://www.mrlc.gov/viewer/</t>
  </si>
  <si>
    <t>https://www.mrlc.gov/viewerjs/</t>
  </si>
  <si>
    <t>Land Cover in the Catchment Area - Bares Area (%)</t>
  </si>
  <si>
    <t>https://www.sciencebase.gov/catalog/item/4f4e4a38e4b07f02db61cebb</t>
  </si>
  <si>
    <t>Land Cover in the Catchment Area - Wetlands (%)</t>
  </si>
  <si>
    <t>Land Cover in the Catchment Area - Forest (%)</t>
  </si>
  <si>
    <t>Land Cover in the Catchment Area - Grassland/Shrubland (%)</t>
  </si>
  <si>
    <t>Land Cover in the Catchment Area - Permanent Snow/Ice (%)</t>
  </si>
  <si>
    <t>Land Cover in the Catchment Area - Settlements (%)</t>
  </si>
  <si>
    <t>Land Cover in the Catchment Area - Water Bodies (%)</t>
  </si>
  <si>
    <t>Land Cover in the Catchment Area - Drained Peatlands (%)</t>
  </si>
  <si>
    <t>Land Cover in the Catchment Area - No Data (%)</t>
  </si>
  <si>
    <t>Land Use Intensity in the Catchment Area - Croplands - Past</t>
  </si>
  <si>
    <t>Low</t>
  </si>
  <si>
    <t>Land Use Intensity in the Catchment Area - Croplands - Current</t>
  </si>
  <si>
    <t>Land Use Intensity in the Catchment Area - Forests - Past</t>
  </si>
  <si>
    <t>Land Use Intensity in the Catchment Area - Forest - Current</t>
  </si>
  <si>
    <t>Land Use Intensity in the Catchment Area - Grassland/Shrubland - Past</t>
  </si>
  <si>
    <t>Land Use Intensity in the Catchment Area - Grassland/Shrubland - Current</t>
  </si>
  <si>
    <t>Land Use Intensity in the Catchment Area - Settlements - Past</t>
  </si>
  <si>
    <t>Land Use Intensity in the Catchment Area - Settlements - Current</t>
  </si>
  <si>
    <t>Pre-Impoundment Land Cover in the Reservoir Area - Croplands - Mineral Soil (%)</t>
  </si>
  <si>
    <t>Pre-Impoundment Land Cover in the Reservoir Area - Croplands - Organic Soil (%)</t>
  </si>
  <si>
    <t>Pre-Impoundment Land Cover in the Reservoir Area - Bare Areas - Mineral Soil (%)</t>
  </si>
  <si>
    <t>estimate from NLCD</t>
  </si>
  <si>
    <t>Pre-Impoundment Land Cover in the Reservoir Area - Bare Areas - Organic Soil (%)</t>
  </si>
  <si>
    <t>Pre-Impoundment Land Cover in the Reservoir Area - Wetlands - Mineral Soil (%)</t>
  </si>
  <si>
    <t>Pre-Impoundment Land Cover in the Reservoir Area - Wetlands - Organic Soil (%)</t>
  </si>
  <si>
    <t>Pre-Impoundment Land Cover in the Reservoir Area - Forest - Mineral Soil (%)</t>
  </si>
  <si>
    <t>Pre-Impoundment Land Cover in the Reservoir Area - Forest - Organic Soil (%)</t>
  </si>
  <si>
    <t>Pre-Impoundment Land Cover in the Reservoir Area - Grassland/Shrubland - Mineral Soil (%)</t>
  </si>
  <si>
    <t>Pre-Impoundment Land Cover in the Reservoir Area - Grassland/Shrubland - Organic Soil (%)</t>
  </si>
  <si>
    <t>Pre-Impoundment Land Cover in the Reservoir Area - Permanent Snow/Ice - Mineral Soil (%)</t>
  </si>
  <si>
    <t>Pre-Impoundment Land Cover in the Reservoir Area - Permanent Snow/Ice - Organic Soil (%)</t>
  </si>
  <si>
    <t>Pre-Impoundment Land Cover in the Reservoir Area - Settlements - Mineral Soil (%)</t>
  </si>
  <si>
    <t>Pre-Impoundment Land Cover in the Reservoir Area - Settlements - Organic Soil (%)</t>
  </si>
  <si>
    <t>Pre-Impoundment Land Cover in the Reservoir Area - Water Bodies (%)</t>
  </si>
  <si>
    <t>Gres calculated this number from the pre-impoundment river length</t>
  </si>
  <si>
    <t>Pre-Impoundment Land Cover in the Reservoir Area - Drained Peatland - Organic Soil (%)</t>
  </si>
  <si>
    <t>Pre-Impoundment Land Cover in the Reservoir Area - No data (%)</t>
  </si>
  <si>
    <t>Country</t>
  </si>
  <si>
    <t>United States</t>
  </si>
  <si>
    <t>Longitude of Dam (DD)</t>
  </si>
  <si>
    <t>Latitude of Dam (DD)</t>
  </si>
  <si>
    <t>Climate Zone (Reservoir Area)</t>
  </si>
  <si>
    <t>Temperate</t>
  </si>
  <si>
    <t>Impoudment Year</t>
  </si>
  <si>
    <t>Reservoir Area (km2)</t>
  </si>
  <si>
    <t xml:space="preserve"> values from July 2017</t>
  </si>
  <si>
    <t>Reservoir Volume (km3)</t>
  </si>
  <si>
    <t>Mean/Normal Operating Level (m above sea level)</t>
  </si>
  <si>
    <t>Maximum Depth (m)</t>
  </si>
  <si>
    <t>Hueftle and Stevens 2001</t>
  </si>
  <si>
    <t>Mean Depth (m)</t>
  </si>
  <si>
    <t>Calculated by Gres</t>
  </si>
  <si>
    <t>Littoral Area (%)</t>
  </si>
  <si>
    <t>Thermocline Depth (m)</t>
  </si>
  <si>
    <t>Inferred from FMF figure 2</t>
  </si>
  <si>
    <t>Water Intake Depth (m)</t>
  </si>
  <si>
    <t>Penstock</t>
  </si>
  <si>
    <t>Water Intake Elevation (m above sea level)</t>
  </si>
  <si>
    <t>Soil Carbon Content Under Impounded Area (kgC/m2)</t>
  </si>
  <si>
    <t>https://www.esd.ornl.gov/projects/gen/Zinke.html</t>
  </si>
  <si>
    <t>Annual Wind Speed at 10m (m/s)</t>
  </si>
  <si>
    <t>Water Residence Time (WRT; yrs)</t>
  </si>
  <si>
    <t>CE-QUAL-W2 document should have this info… it is 2-3 years, but recently closer to 2</t>
  </si>
  <si>
    <t>Annual Discharge from the Reservoir (m3/s)</t>
  </si>
  <si>
    <t>From FMF report: minimum average discharge rate to meet legal requirements for discharge to the lower basin</t>
  </si>
  <si>
    <t>Another source: lakepowell.water-data.com</t>
  </si>
  <si>
    <t>Phosphorus Concentration (ug/L)</t>
  </si>
  <si>
    <t>Average from July measurements in mg/L… not sure if you are working off an old file… I used half detection limit for samples that were below detection limit here. Larger question: do we want average July conditions or an overall Lake Powell estimate? For SPM, we ended up using a SA weighted TP average from Table 1, 113 ug/L</t>
  </si>
  <si>
    <t>Trophic Level</t>
  </si>
  <si>
    <t>Oligotrophic</t>
  </si>
  <si>
    <t>Reservoir Mean Global Horizontal Radiance (kWh/m2/d)</t>
  </si>
  <si>
    <t>Estimated from a map for North America</t>
  </si>
  <si>
    <t>https://en.wikipedia.org/wiki/Solar_irradiance#/media/File:SolarGIS-Solar-map-North-America-en.png</t>
  </si>
  <si>
    <t>Mean Air Temperature per Month (Â°C) - January</t>
  </si>
  <si>
    <t>http://lakepowell.water-data.com/index2.php</t>
  </si>
  <si>
    <t>Mean Air Temperature per Month (Â°C) - February</t>
  </si>
  <si>
    <t>Mean Air Temperature per Month (Â°C) - March</t>
  </si>
  <si>
    <t>Mean Air Temperature per Month (Â°C) - April</t>
  </si>
  <si>
    <t>Mean Air Temperature per Month (Â°C) - May</t>
  </si>
  <si>
    <t>Mean Air Temperature per Month (Â°C) - June</t>
  </si>
  <si>
    <t>Mean Air Temperature per Month (Â°C) - July</t>
  </si>
  <si>
    <t>Mean Air Temperature per Month (Â°C) - August</t>
  </si>
  <si>
    <t>Mean Air Temperature per Month (Â°C) - September</t>
  </si>
  <si>
    <t>Mean Air Temperature per Month (Â°C) - October</t>
  </si>
  <si>
    <t>Mean Air Temperature per Month (Â°C) - November</t>
  </si>
  <si>
    <t>Mean Air Temperature per Month (Â°C) - December</t>
  </si>
  <si>
    <t>Annual Mean Air Temperature (Â°C)</t>
  </si>
  <si>
    <t>Lake Mead</t>
  </si>
  <si>
    <t>https://en.wikipedia.org/wiki/Lake_Mead</t>
  </si>
  <si>
    <t>Tertiary</t>
  </si>
  <si>
    <t>filtration and disinfection after secondary treatment, see https://lasvegassun.com/news/2014/aug/24/how-our-water-goes-toilet-tap/</t>
  </si>
  <si>
    <t>Release of industrial sewage in the catchment (kg P/yr)</t>
  </si>
  <si>
    <t>https://echo.epa.gov/resources/general-info/loading-tool-modernization</t>
  </si>
  <si>
    <t>Year Lake Mead Filled; year dam construction started: 1931</t>
  </si>
  <si>
    <t>July 2017 Lake Height (1079.34 feet) from http://mead.uslakes.info/level.asp, converted to surface area using area:elevation curves in Lake Mead Area and Capacity Tables</t>
  </si>
  <si>
    <t>July 2017 Lake Height (1079.34 feet) from http://mead.uslakes.info/level.asp, converted to m</t>
  </si>
  <si>
    <t>wikipedia: max depth = 162 m, surface elevation = 375 at full pool</t>
  </si>
  <si>
    <t>calculated</t>
  </si>
  <si>
    <t>http://lakemead.water-data.com/index2.php</t>
  </si>
  <si>
    <t>Mean Air Temperature per Month (°C) - January</t>
  </si>
  <si>
    <t>http://lakemead.water-data.com/</t>
  </si>
  <si>
    <t>Mean Air Temperature per Month (°C) - February</t>
  </si>
  <si>
    <t>Mean Air Temperature per Month (°C) - March</t>
  </si>
  <si>
    <t>Mean Air Temperature per Month (°C) - April</t>
  </si>
  <si>
    <t>Mean Air Temperature per Month (°C) - May</t>
  </si>
  <si>
    <t>Mean Air Temperature per Month (°C) - June</t>
  </si>
  <si>
    <t>Mean Air Temperature per Month (°C) - July</t>
  </si>
  <si>
    <t>Mean Air Temperature per Month (°C) - August</t>
  </si>
  <si>
    <t>Mean Air Temperature per Month (°C) - September</t>
  </si>
  <si>
    <t>Mean Air Temperature per Month (°C) - October</t>
  </si>
  <si>
    <t>Mean Air Temperature per Month (°C) - November</t>
  </si>
  <si>
    <t>Mean Air Temperature per Month (°C) - December</t>
  </si>
  <si>
    <t>Annual Mean Air Temperature (°C)</t>
  </si>
  <si>
    <t>Term</t>
  </si>
  <si>
    <t>Coefficient</t>
  </si>
  <si>
    <t>SE</t>
  </si>
  <si>
    <t>Powell_Value</t>
  </si>
  <si>
    <t>Mead_Value</t>
  </si>
  <si>
    <t>MODEL COEFFICIENTS AND INPUTS</t>
  </si>
  <si>
    <t>co2_intercept</t>
  </si>
  <si>
    <t>NA</t>
  </si>
  <si>
    <t>surface area (SA)</t>
  </si>
  <si>
    <t>log10(SA)</t>
  </si>
  <si>
    <t>TP (ug/L)</t>
  </si>
  <si>
    <t>log10(TP)</t>
  </si>
  <si>
    <t>log10(SA):log10(TP)</t>
  </si>
  <si>
    <t>ch4_intercept</t>
  </si>
  <si>
    <t>chla (ug/L)</t>
  </si>
  <si>
    <t>log10(chla)</t>
  </si>
  <si>
    <t>MODEL OUTPUTS</t>
  </si>
  <si>
    <t>UNITS</t>
  </si>
  <si>
    <t>log10(total CH4 +1)</t>
  </si>
  <si>
    <t>total CH4</t>
  </si>
  <si>
    <t>mg C m-2 d-1</t>
  </si>
  <si>
    <t>total CH4, CO2e</t>
  </si>
  <si>
    <t>g CO2e m-2 y-1</t>
  </si>
  <si>
    <t>total CH4, EF</t>
  </si>
  <si>
    <t>kg CO2e MWh-1</t>
  </si>
  <si>
    <t>log10(CO2+43)</t>
  </si>
  <si>
    <t>Total CO2 Emission</t>
  </si>
  <si>
    <t>total CO2 Emission</t>
  </si>
  <si>
    <t>total CO2, EF</t>
  </si>
  <si>
    <t>sum(CH4, CO2), areal</t>
  </si>
  <si>
    <t>sum(CH4, CO2), EF</t>
  </si>
  <si>
    <t>Code</t>
  </si>
  <si>
    <t>S&amp;P Powell</t>
  </si>
  <si>
    <t>D&amp;W Powell</t>
  </si>
  <si>
    <t>S&amp;P Mead</t>
  </si>
  <si>
    <t>D&amp;W Mead</t>
  </si>
  <si>
    <t>Units</t>
  </si>
  <si>
    <t>id</t>
  </si>
  <si>
    <t>name</t>
  </si>
  <si>
    <t>Glen Canyon</t>
  </si>
  <si>
    <t>Hoover</t>
  </si>
  <si>
    <t>en_2009</t>
  </si>
  <si>
    <t>TWh</t>
  </si>
  <si>
    <t>area_elec</t>
  </si>
  <si>
    <t>km2/GWh</t>
  </si>
  <si>
    <t>area_elec_log</t>
  </si>
  <si>
    <t>area</t>
  </si>
  <si>
    <t>km2</t>
  </si>
  <si>
    <t>area_log</t>
  </si>
  <si>
    <t>age</t>
  </si>
  <si>
    <t>years</t>
  </si>
  <si>
    <t>age_log</t>
  </si>
  <si>
    <t>vol</t>
  </si>
  <si>
    <t>tmax_log</t>
  </si>
  <si>
    <t>erosion</t>
  </si>
  <si>
    <t>t ha-1 a-1</t>
  </si>
  <si>
    <t>purpose</t>
  </si>
  <si>
    <t>ELEC</t>
  </si>
  <si>
    <t>SUPP</t>
  </si>
  <si>
    <t>multi</t>
  </si>
  <si>
    <t>allocation</t>
  </si>
  <si>
    <t>per energy</t>
  </si>
  <si>
    <t>S&amp;P Value</t>
  </si>
  <si>
    <t>D&amp;W Val</t>
  </si>
  <si>
    <t>co2_elec</t>
  </si>
  <si>
    <t>kg CO2/MWh</t>
  </si>
  <si>
    <t>ch4_elec</t>
  </si>
  <si>
    <t>kg CH4/MWh</t>
  </si>
  <si>
    <t>kg CO2e/MWh</t>
  </si>
  <si>
    <t>SUM co2e_elec</t>
  </si>
  <si>
    <t>co2_elec_mgCm2d</t>
  </si>
  <si>
    <t>ch4_elec_mgCm2d</t>
  </si>
  <si>
    <t>co2_elec_gCO2e</t>
  </si>
  <si>
    <t>gCO2-e m-2y-1</t>
  </si>
  <si>
    <t>ch4_elec_gCO2e</t>
  </si>
  <si>
    <t>co2e_elec_gCO2e</t>
  </si>
  <si>
    <t>areal fluxes</t>
  </si>
  <si>
    <t>co2_area</t>
  </si>
  <si>
    <t>ch4_area</t>
  </si>
  <si>
    <t>ch4_area_kgCO2eMWh</t>
  </si>
  <si>
    <t>co2e_area_kgCO2eMWh</t>
  </si>
  <si>
    <t>co2_area_mgCm2d</t>
  </si>
  <si>
    <t>ch4_area_mgCm2d</t>
  </si>
  <si>
    <t>co2_area_gCO2e</t>
  </si>
  <si>
    <t>ch4_area_gCO2e</t>
  </si>
  <si>
    <t>co2e_area_gCO2e</t>
  </si>
  <si>
    <t>CO2 emissions per kWh (gCO2/kWh)</t>
  </si>
  <si>
    <t>min</t>
  </si>
  <si>
    <t>max</t>
  </si>
  <si>
    <t>CH4 emissions per kWh (gCH4/kWh)</t>
  </si>
  <si>
    <t>const</t>
  </si>
  <si>
    <t>B_landuse</t>
  </si>
  <si>
    <t>B_age</t>
  </si>
  <si>
    <t>B_NPP</t>
  </si>
  <si>
    <t xml:space="preserve">Lake Powell </t>
  </si>
  <si>
    <t>description</t>
  </si>
  <si>
    <t>units</t>
  </si>
  <si>
    <t>Lake Powell value</t>
  </si>
  <si>
    <t>Lake Mead value</t>
  </si>
  <si>
    <t>surface area</t>
  </si>
  <si>
    <t>m2</t>
  </si>
  <si>
    <t>elec</t>
  </si>
  <si>
    <t>power generation</t>
  </si>
  <si>
    <t>kWh</t>
  </si>
  <si>
    <t>land use</t>
  </si>
  <si>
    <t>amount of land used in power prod.</t>
  </si>
  <si>
    <t>m2y/kWh</t>
  </si>
  <si>
    <t>log(land use)</t>
  </si>
  <si>
    <t>base 10 log of land use for eqn</t>
  </si>
  <si>
    <t>na</t>
  </si>
  <si>
    <t>age of reservoir</t>
  </si>
  <si>
    <t>y</t>
  </si>
  <si>
    <t>NPP</t>
  </si>
  <si>
    <t>potential net primary productivity of the area</t>
  </si>
  <si>
    <t>gC/m2/y</t>
  </si>
  <si>
    <t>CO2 emission</t>
  </si>
  <si>
    <t>emissions per kWh</t>
  </si>
  <si>
    <t>gCO2/kWh</t>
  </si>
  <si>
    <t>CH4 emission</t>
  </si>
  <si>
    <t>gCH4/kWh</t>
  </si>
  <si>
    <t>converted to table 3 units</t>
  </si>
  <si>
    <t>kg CO2-e/MWh</t>
  </si>
  <si>
    <t>CO2 areal</t>
  </si>
  <si>
    <t>areal flux</t>
  </si>
  <si>
    <t>g CO2-e/m2/y</t>
  </si>
  <si>
    <t>CH4 areal</t>
  </si>
  <si>
    <t>g CH4/m2/y</t>
  </si>
  <si>
    <t>mg CO2-e/m2/d</t>
  </si>
  <si>
    <t>mg CH4/m2/d</t>
  </si>
  <si>
    <t>in CO2-e</t>
  </si>
  <si>
    <t>Funnel-based ebullition estimates for sites where a funnel was deployed.</t>
  </si>
  <si>
    <t xml:space="preserve">Site ID </t>
  </si>
  <si>
    <t xml:space="preserve">Latitude and Longitude </t>
  </si>
  <si>
    <t>mg CH4-C m-2 h-1 (ebullition via funnel)</t>
  </si>
  <si>
    <t>LPCR1*</t>
  </si>
  <si>
    <t xml:space="preserve"> 36.96315 N 111.482 W </t>
  </si>
  <si>
    <t xml:space="preserve">LPCR3* </t>
  </si>
  <si>
    <t xml:space="preserve">37.87518 N 110.418 W </t>
  </si>
  <si>
    <t>LPCR2*</t>
  </si>
  <si>
    <t xml:space="preserve"> 37.20038 N 110.650W </t>
  </si>
  <si>
    <t>LPCR4*</t>
  </si>
  <si>
    <t xml:space="preserve"> 37.36613 N 110.733 W </t>
  </si>
  <si>
    <t xml:space="preserve">LPCRWah01 </t>
  </si>
  <si>
    <t>36.99065 N 111.487 W</t>
  </si>
  <si>
    <t xml:space="preserve">LPCRWah02 </t>
  </si>
  <si>
    <t>36.98752 N 111.484 W</t>
  </si>
  <si>
    <t>Main</t>
  </si>
  <si>
    <t>LPCR2085</t>
  </si>
  <si>
    <t>LPCR2255</t>
  </si>
  <si>
    <t>LPCR2387</t>
  </si>
  <si>
    <t>Littoral</t>
  </si>
  <si>
    <t>LPCR3*</t>
  </si>
  <si>
    <t>LPCRINF</t>
  </si>
  <si>
    <t>LPCRsheep*</t>
  </si>
  <si>
    <t>LPESC030</t>
  </si>
  <si>
    <t>LPESC119</t>
  </si>
  <si>
    <t>LPESC273</t>
  </si>
  <si>
    <t>LPESCINF</t>
  </si>
  <si>
    <t>LPSJR070</t>
  </si>
  <si>
    <t>LPSJR193</t>
  </si>
  <si>
    <t>LPSJR431</t>
  </si>
  <si>
    <t>LPSJR530</t>
  </si>
  <si>
    <t>LPSJRINF</t>
  </si>
  <si>
    <t>Site</t>
  </si>
  <si>
    <t>LPCR0024</t>
  </si>
  <si>
    <t>LPCR0155</t>
  </si>
  <si>
    <t>LPCR0453</t>
  </si>
  <si>
    <t>LPCR0905</t>
  </si>
  <si>
    <t>LPCR1001</t>
  </si>
  <si>
    <t>LPCR1169</t>
  </si>
  <si>
    <t>LPCR1587</t>
  </si>
  <si>
    <t>LPCR1679</t>
  </si>
  <si>
    <t>LPCR1799</t>
  </si>
  <si>
    <t>LPCR1933</t>
  </si>
  <si>
    <t>Upscaling Region</t>
  </si>
  <si>
    <t>mg CO2-C m-2 h-1 (total)</t>
  </si>
  <si>
    <t>mg CH4-C m-2 h-1 (diffusive)</t>
  </si>
  <si>
    <t>mg CH4-C m-2 h-1 (ebullitive)</t>
  </si>
  <si>
    <t>mg CH4-C m-2 h-1 (total)</t>
  </si>
  <si>
    <t>Floating chamber CH4 and CO2 emission estimates at individual sites. Site IDs match</t>
  </si>
  <si>
    <t>those from the long term monitoring program reported in Vernieu (2015) except site IDs marked</t>
  </si>
  <si>
    <t>by an asterisk (which were camp site locations). The “INF” code in the site ID indicates an</t>
  </si>
  <si>
    <t>inflow to the reservoir.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</si>
</sst>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1">
    <font>
      <sz val="11"/>
      <color rgb="FF000000"/>
      <name val="Calibri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i/>
      <sz val="11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color rgb="FF0563C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Inconsolata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8064A2"/>
        <bgColor rgb="FF8064A2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3" fontId="0" fillId="0" borderId="0" xfId="0" applyNumberFormat="1" applyFont="1" applyAlignment="1">
      <alignment horizontal="right"/>
    </xf>
    <xf numFmtId="0" fontId="7" fillId="0" borderId="0" xfId="0" applyFont="1" applyAlignment="1"/>
    <xf numFmtId="9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3" fillId="2" borderId="0" xfId="0" applyFont="1" applyFill="1" applyAlignment="1"/>
    <xf numFmtId="0" fontId="3" fillId="2" borderId="0" xfId="0" applyFont="1" applyFill="1"/>
    <xf numFmtId="164" fontId="3" fillId="0" borderId="0" xfId="0" applyNumberFormat="1" applyFont="1"/>
    <xf numFmtId="0" fontId="8" fillId="0" borderId="0" xfId="0" applyFont="1"/>
    <xf numFmtId="0" fontId="8" fillId="0" borderId="0" xfId="0" applyFont="1" applyAlignment="1"/>
    <xf numFmtId="0" fontId="0" fillId="0" borderId="0" xfId="0" applyFont="1"/>
    <xf numFmtId="0" fontId="0" fillId="0" borderId="1" xfId="0" applyFont="1" applyBorder="1"/>
    <xf numFmtId="0" fontId="0" fillId="0" borderId="0" xfId="0" applyFont="1" applyAlignment="1">
      <alignment wrapText="1"/>
    </xf>
    <xf numFmtId="0" fontId="3" fillId="0" borderId="0" xfId="0" applyFont="1"/>
    <xf numFmtId="0" fontId="0" fillId="3" borderId="2" xfId="0" applyFont="1" applyFill="1" applyBorder="1"/>
    <xf numFmtId="0" fontId="9" fillId="0" borderId="0" xfId="0" applyFont="1"/>
    <xf numFmtId="0" fontId="0" fillId="4" borderId="0" xfId="0" applyFont="1" applyFill="1"/>
    <xf numFmtId="2" fontId="3" fillId="4" borderId="0" xfId="0" applyNumberFormat="1" applyFont="1" applyFill="1"/>
    <xf numFmtId="0" fontId="3" fillId="4" borderId="0" xfId="0" applyFont="1" applyFill="1"/>
    <xf numFmtId="2" fontId="3" fillId="0" borderId="0" xfId="0" applyNumberFormat="1" applyFont="1"/>
    <xf numFmtId="0" fontId="0" fillId="4" borderId="0" xfId="0" applyFont="1" applyFill="1" applyAlignment="1"/>
    <xf numFmtId="2" fontId="3" fillId="4" borderId="0" xfId="0" applyNumberFormat="1" applyFont="1" applyFill="1" applyAlignment="1"/>
    <xf numFmtId="0" fontId="0" fillId="0" borderId="0" xfId="0" applyFont="1" applyAlignment="1"/>
    <xf numFmtId="2" fontId="3" fillId="0" borderId="0" xfId="0" applyNumberFormat="1" applyFont="1" applyAlignment="1"/>
    <xf numFmtId="2" fontId="0" fillId="0" borderId="0" xfId="0" applyNumberFormat="1" applyFont="1"/>
    <xf numFmtId="2" fontId="0" fillId="4" borderId="0" xfId="0" applyNumberFormat="1" applyFont="1" applyFill="1"/>
    <xf numFmtId="0" fontId="8" fillId="0" borderId="0" xfId="0" applyFont="1" applyAlignment="1">
      <alignment wrapText="1"/>
    </xf>
    <xf numFmtId="165" fontId="3" fillId="0" borderId="0" xfId="0" applyNumberFormat="1" applyFont="1"/>
    <xf numFmtId="165" fontId="10" fillId="5" borderId="0" xfId="0" applyNumberFormat="1" applyFont="1" applyFill="1"/>
    <xf numFmtId="0" fontId="0" fillId="0" borderId="0" xfId="0" applyFont="1" applyAlignment="1"/>
    <xf numFmtId="165" fontId="3" fillId="0" borderId="0" xfId="0" applyNumberFormat="1" applyFont="1" applyFill="1"/>
    <xf numFmtId="0" fontId="0" fillId="0" borderId="0" xfId="0" applyFont="1" applyAlignme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7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Solar_irradiance" TargetMode="External"/><Relationship Id="rId3" Type="http://schemas.openxmlformats.org/officeDocument/2006/relationships/hyperlink" Target="https://echo.epa.gov/" TargetMode="External"/><Relationship Id="rId7" Type="http://schemas.openxmlformats.org/officeDocument/2006/relationships/hyperlink" Target="https://www.esd.ornl.gov/projects/gen/Zinke.html" TargetMode="External"/><Relationship Id="rId2" Type="http://schemas.openxmlformats.org/officeDocument/2006/relationships/hyperlink" Target="http://www.pageutility.com/water-department.html" TargetMode="External"/><Relationship Id="rId1" Type="http://schemas.openxmlformats.org/officeDocument/2006/relationships/hyperlink" Target="https://en.wikipedia.org/wiki/Lake_Powell" TargetMode="External"/><Relationship Id="rId6" Type="http://schemas.openxmlformats.org/officeDocument/2006/relationships/hyperlink" Target="https://www.sciencebase.gov/catalog/item/4f4e4a38e4b07f02db61cebb" TargetMode="External"/><Relationship Id="rId5" Type="http://schemas.openxmlformats.org/officeDocument/2006/relationships/hyperlink" Target="https://www.mrlc.gov/viewerjs/" TargetMode="External"/><Relationship Id="rId4" Type="http://schemas.openxmlformats.org/officeDocument/2006/relationships/hyperlink" Target="http://www.pageutility.com/water-department.html" TargetMode="External"/><Relationship Id="rId9" Type="http://schemas.openxmlformats.org/officeDocument/2006/relationships/hyperlink" Target="http://lakepowell.water-data.com/index2.ph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lakemead.water-data.com/index2.php" TargetMode="External"/><Relationship Id="rId2" Type="http://schemas.openxmlformats.org/officeDocument/2006/relationships/hyperlink" Target="https://echo.epa.gov/resources/general-info/loading-tool-modernization" TargetMode="External"/><Relationship Id="rId1" Type="http://schemas.openxmlformats.org/officeDocument/2006/relationships/hyperlink" Target="https://en.wikipedia.org/wiki/Lake_Mead" TargetMode="External"/><Relationship Id="rId5" Type="http://schemas.openxmlformats.org/officeDocument/2006/relationships/hyperlink" Target="http://lakemead.water-data.com/" TargetMode="External"/><Relationship Id="rId4" Type="http://schemas.openxmlformats.org/officeDocument/2006/relationships/hyperlink" Target="https://en.wikipedia.org/wiki/Solar_irradian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97"/>
  <sheetViews>
    <sheetView workbookViewId="0">
      <selection activeCell="P10" sqref="P10"/>
    </sheetView>
  </sheetViews>
  <sheetFormatPr defaultColWidth="14.42578125" defaultRowHeight="15" customHeight="1"/>
  <cols>
    <col min="1" max="1" width="13.42578125" customWidth="1"/>
    <col min="2" max="2" width="21.28515625" customWidth="1"/>
    <col min="3" max="26" width="8.7109375" customWidth="1"/>
  </cols>
  <sheetData>
    <row r="1" spans="1:3">
      <c r="A1" s="1" t="s">
        <v>0</v>
      </c>
    </row>
    <row r="2" spans="1:3" ht="18">
      <c r="A2" s="2" t="s">
        <v>1</v>
      </c>
    </row>
    <row r="3" spans="1:3">
      <c r="A3" s="3" t="s">
        <v>2</v>
      </c>
    </row>
    <row r="4" spans="1:3">
      <c r="A4" s="4"/>
    </row>
    <row r="5" spans="1:3">
      <c r="A5" s="4"/>
      <c r="B5" s="4"/>
    </row>
    <row r="6" spans="1:3">
      <c r="A6" s="1"/>
      <c r="B6" s="1"/>
      <c r="C6" s="1"/>
    </row>
    <row r="7" spans="1:3">
      <c r="A7" s="3" t="s">
        <v>3</v>
      </c>
      <c r="B7" s="1"/>
      <c r="C7" s="1"/>
    </row>
    <row r="8" spans="1:3">
      <c r="A8" s="1"/>
      <c r="B8" s="1"/>
      <c r="C8" s="1"/>
    </row>
    <row r="9" spans="1:3">
      <c r="A9" s="1" t="s">
        <v>4</v>
      </c>
      <c r="B9" s="1" t="s">
        <v>5</v>
      </c>
      <c r="C9" s="1"/>
    </row>
    <row r="10" spans="1:3">
      <c r="A10" s="3">
        <v>2</v>
      </c>
      <c r="B10" s="3" t="s">
        <v>6</v>
      </c>
      <c r="C10" s="1"/>
    </row>
    <row r="11" spans="1:3">
      <c r="A11" s="3">
        <v>3</v>
      </c>
      <c r="B11" s="3" t="s">
        <v>7</v>
      </c>
      <c r="C11" s="1"/>
    </row>
    <row r="12" spans="1:3">
      <c r="A12" s="3">
        <v>4</v>
      </c>
      <c r="B12" s="3" t="s">
        <v>8</v>
      </c>
      <c r="C12" s="1"/>
    </row>
    <row r="13" spans="1:3">
      <c r="A13" s="3">
        <v>5</v>
      </c>
      <c r="B13" s="3" t="s">
        <v>9</v>
      </c>
      <c r="C13" s="1"/>
    </row>
    <row r="14" spans="1:3">
      <c r="A14" s="5">
        <v>6</v>
      </c>
      <c r="B14" s="6" t="s">
        <v>10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ageMargins left="0.7" right="0.7" top="0.75" bottom="0.75" header="0" footer="0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77"/>
  <sheetViews>
    <sheetView topLeftCell="A16" workbookViewId="0"/>
  </sheetViews>
  <sheetFormatPr defaultColWidth="14.42578125" defaultRowHeight="15" customHeight="1"/>
  <sheetData>
    <row r="1" spans="1:4">
      <c r="A1" s="7" t="s">
        <v>11</v>
      </c>
      <c r="B1" s="7" t="s">
        <v>12</v>
      </c>
      <c r="C1" s="7" t="s">
        <v>13</v>
      </c>
      <c r="D1" s="7" t="s">
        <v>14</v>
      </c>
    </row>
    <row r="2" spans="1:4">
      <c r="A2" s="8" t="s">
        <v>15</v>
      </c>
      <c r="B2" s="8" t="s">
        <v>16</v>
      </c>
      <c r="C2" s="9"/>
      <c r="D2" s="9"/>
    </row>
    <row r="3" spans="1:4">
      <c r="A3" s="8" t="s">
        <v>17</v>
      </c>
      <c r="B3" s="10">
        <v>280586</v>
      </c>
      <c r="C3" s="8" t="s">
        <v>18</v>
      </c>
      <c r="D3" s="11" t="s">
        <v>19</v>
      </c>
    </row>
    <row r="4" spans="1:4">
      <c r="A4" s="8" t="s">
        <v>20</v>
      </c>
      <c r="B4" s="12">
        <v>739576</v>
      </c>
      <c r="C4" s="8" t="s">
        <v>21</v>
      </c>
      <c r="D4" s="9"/>
    </row>
    <row r="5" spans="1:4">
      <c r="A5" s="8" t="s">
        <v>22</v>
      </c>
      <c r="B5" s="10">
        <v>167</v>
      </c>
      <c r="C5" s="8" t="s">
        <v>21</v>
      </c>
      <c r="D5" s="9"/>
    </row>
    <row r="6" spans="1:4">
      <c r="A6" s="8" t="s">
        <v>23</v>
      </c>
      <c r="B6" s="8" t="s">
        <v>24</v>
      </c>
      <c r="C6" s="8" t="s">
        <v>25</v>
      </c>
      <c r="D6" s="13" t="s">
        <v>26</v>
      </c>
    </row>
    <row r="7" spans="1:4">
      <c r="A7" s="8" t="s">
        <v>27</v>
      </c>
      <c r="B7" s="12">
        <v>28028</v>
      </c>
      <c r="C7" s="8" t="s">
        <v>28</v>
      </c>
      <c r="D7" s="11" t="s">
        <v>29</v>
      </c>
    </row>
    <row r="8" spans="1:4">
      <c r="A8" s="8" t="s">
        <v>30</v>
      </c>
      <c r="B8" s="8" t="s">
        <v>24</v>
      </c>
      <c r="C8" s="8" t="s">
        <v>25</v>
      </c>
      <c r="D8" s="11" t="s">
        <v>26</v>
      </c>
    </row>
    <row r="9" spans="1:4">
      <c r="A9" s="8" t="s">
        <v>31</v>
      </c>
      <c r="B9" s="10">
        <v>2.6</v>
      </c>
      <c r="C9" s="43" t="s">
        <v>32</v>
      </c>
      <c r="D9" s="13" t="s">
        <v>33</v>
      </c>
    </row>
    <row r="10" spans="1:4">
      <c r="A10" s="8" t="s">
        <v>34</v>
      </c>
      <c r="B10" s="10">
        <v>5.2</v>
      </c>
      <c r="C10" s="42"/>
      <c r="D10" s="13" t="s">
        <v>35</v>
      </c>
    </row>
    <row r="11" spans="1:4">
      <c r="A11" s="8" t="s">
        <v>36</v>
      </c>
      <c r="B11" s="10">
        <v>1.1000000000000001</v>
      </c>
      <c r="C11" s="42"/>
      <c r="D11" s="9"/>
    </row>
    <row r="12" spans="1:4">
      <c r="A12" s="8" t="s">
        <v>37</v>
      </c>
      <c r="B12" s="10">
        <v>28.2</v>
      </c>
      <c r="C12" s="42"/>
      <c r="D12" s="9"/>
    </row>
    <row r="13" spans="1:4">
      <c r="A13" s="8" t="s">
        <v>38</v>
      </c>
      <c r="B13" s="10">
        <v>61.4</v>
      </c>
      <c r="C13" s="42"/>
      <c r="D13" s="9"/>
    </row>
    <row r="14" spans="1:4">
      <c r="A14" s="8" t="s">
        <v>39</v>
      </c>
      <c r="B14" s="10">
        <v>0.1</v>
      </c>
      <c r="C14" s="42"/>
      <c r="D14" s="9"/>
    </row>
    <row r="15" spans="1:4">
      <c r="A15" s="8" t="s">
        <v>40</v>
      </c>
      <c r="B15" s="10">
        <v>0.9</v>
      </c>
      <c r="C15" s="42"/>
      <c r="D15" s="9"/>
    </row>
    <row r="16" spans="1:4">
      <c r="A16" s="8" t="s">
        <v>41</v>
      </c>
      <c r="B16" s="10">
        <v>0.5</v>
      </c>
      <c r="C16" s="42"/>
      <c r="D16" s="9"/>
    </row>
    <row r="17" spans="1:4">
      <c r="A17" s="8" t="s">
        <v>42</v>
      </c>
      <c r="B17" s="10">
        <v>0</v>
      </c>
      <c r="C17" s="42"/>
      <c r="D17" s="9"/>
    </row>
    <row r="18" spans="1:4">
      <c r="A18" s="8" t="s">
        <v>43</v>
      </c>
      <c r="B18" s="10">
        <v>0</v>
      </c>
      <c r="C18" s="42"/>
      <c r="D18" s="9"/>
    </row>
    <row r="19" spans="1:4">
      <c r="A19" s="8" t="s">
        <v>44</v>
      </c>
      <c r="B19" s="8" t="s">
        <v>45</v>
      </c>
      <c r="C19" s="42"/>
      <c r="D19" s="9"/>
    </row>
    <row r="20" spans="1:4">
      <c r="A20" s="8" t="s">
        <v>46</v>
      </c>
      <c r="B20" s="8" t="s">
        <v>45</v>
      </c>
      <c r="C20" s="42"/>
      <c r="D20" s="9"/>
    </row>
    <row r="21" spans="1:4">
      <c r="A21" s="8" t="s">
        <v>47</v>
      </c>
      <c r="B21" s="8" t="s">
        <v>45</v>
      </c>
      <c r="C21" s="42"/>
      <c r="D21" s="9"/>
    </row>
    <row r="22" spans="1:4">
      <c r="A22" s="8" t="s">
        <v>48</v>
      </c>
      <c r="B22" s="8" t="s">
        <v>45</v>
      </c>
      <c r="C22" s="42"/>
      <c r="D22" s="9"/>
    </row>
    <row r="23" spans="1:4">
      <c r="A23" s="8" t="s">
        <v>49</v>
      </c>
      <c r="B23" s="8" t="s">
        <v>45</v>
      </c>
      <c r="C23" s="42"/>
      <c r="D23" s="9"/>
    </row>
    <row r="24" spans="1:4">
      <c r="A24" s="8" t="s">
        <v>50</v>
      </c>
      <c r="B24" s="8" t="s">
        <v>45</v>
      </c>
      <c r="C24" s="42"/>
      <c r="D24" s="9"/>
    </row>
    <row r="25" spans="1:4">
      <c r="A25" s="8" t="s">
        <v>51</v>
      </c>
      <c r="B25" s="8" t="s">
        <v>45</v>
      </c>
      <c r="C25" s="42"/>
      <c r="D25" s="9"/>
    </row>
    <row r="26" spans="1:4">
      <c r="A26" s="8" t="s">
        <v>52</v>
      </c>
      <c r="B26" s="8" t="s">
        <v>45</v>
      </c>
      <c r="C26" s="42"/>
      <c r="D26" s="9"/>
    </row>
    <row r="27" spans="1:4">
      <c r="A27" s="8" t="s">
        <v>53</v>
      </c>
      <c r="B27" s="10">
        <v>0</v>
      </c>
      <c r="C27" s="9"/>
      <c r="D27" s="9"/>
    </row>
    <row r="28" spans="1:4">
      <c r="A28" s="8" t="s">
        <v>54</v>
      </c>
      <c r="B28" s="10">
        <v>0</v>
      </c>
      <c r="C28" s="9"/>
      <c r="D28" s="9"/>
    </row>
    <row r="29" spans="1:4">
      <c r="A29" s="8" t="s">
        <v>55</v>
      </c>
      <c r="B29" s="10">
        <v>31.2</v>
      </c>
      <c r="C29" s="42" t="s">
        <v>56</v>
      </c>
      <c r="D29" s="42"/>
    </row>
    <row r="30" spans="1:4">
      <c r="A30" s="8" t="s">
        <v>57</v>
      </c>
      <c r="B30" s="10">
        <v>0</v>
      </c>
      <c r="C30" s="9"/>
      <c r="D30" s="9"/>
    </row>
    <row r="31" spans="1:4">
      <c r="A31" s="8" t="s">
        <v>58</v>
      </c>
      <c r="B31" s="10">
        <v>0</v>
      </c>
      <c r="C31" s="9"/>
      <c r="D31" s="9"/>
    </row>
    <row r="32" spans="1:4">
      <c r="A32" s="8" t="s">
        <v>59</v>
      </c>
      <c r="B32" s="10">
        <v>0</v>
      </c>
      <c r="C32" s="9"/>
      <c r="D32" s="9"/>
    </row>
    <row r="33" spans="1:4">
      <c r="A33" s="8" t="s">
        <v>60</v>
      </c>
      <c r="B33" s="10">
        <v>12.5</v>
      </c>
      <c r="C33" s="42" t="s">
        <v>56</v>
      </c>
      <c r="D33" s="42"/>
    </row>
    <row r="34" spans="1:4">
      <c r="A34" s="8" t="s">
        <v>61</v>
      </c>
      <c r="B34" s="10">
        <v>12.5</v>
      </c>
      <c r="C34" s="42" t="s">
        <v>56</v>
      </c>
      <c r="D34" s="42"/>
    </row>
    <row r="35" spans="1:4">
      <c r="A35" s="8" t="s">
        <v>62</v>
      </c>
      <c r="B35" s="10">
        <v>12.5</v>
      </c>
      <c r="C35" s="42" t="s">
        <v>56</v>
      </c>
      <c r="D35" s="42"/>
    </row>
    <row r="36" spans="1:4">
      <c r="A36" s="8" t="s">
        <v>63</v>
      </c>
      <c r="B36" s="10">
        <v>12.5</v>
      </c>
      <c r="C36" s="42" t="s">
        <v>56</v>
      </c>
      <c r="D36" s="42"/>
    </row>
    <row r="37" spans="1:4">
      <c r="A37" s="8" t="s">
        <v>64</v>
      </c>
      <c r="B37" s="10">
        <v>0</v>
      </c>
      <c r="C37" s="9"/>
      <c r="D37" s="9"/>
    </row>
    <row r="38" spans="1:4">
      <c r="A38" s="8" t="s">
        <v>65</v>
      </c>
      <c r="B38" s="10">
        <v>0</v>
      </c>
      <c r="C38" s="9"/>
      <c r="D38" s="9"/>
    </row>
    <row r="39" spans="1:4">
      <c r="A39" s="8" t="s">
        <v>66</v>
      </c>
      <c r="B39" s="10">
        <v>0</v>
      </c>
      <c r="C39" s="9"/>
      <c r="D39" s="9"/>
    </row>
    <row r="40" spans="1:4">
      <c r="A40" s="8" t="s">
        <v>67</v>
      </c>
      <c r="B40" s="10">
        <v>0</v>
      </c>
      <c r="C40" s="9"/>
      <c r="D40" s="9"/>
    </row>
    <row r="41" spans="1:4">
      <c r="A41" s="8" t="s">
        <v>68</v>
      </c>
      <c r="B41" s="10">
        <v>18.8</v>
      </c>
      <c r="C41" s="42" t="s">
        <v>69</v>
      </c>
      <c r="D41" s="42"/>
    </row>
    <row r="42" spans="1:4">
      <c r="A42" s="8" t="s">
        <v>70</v>
      </c>
      <c r="B42" s="10">
        <v>0</v>
      </c>
      <c r="C42" s="9"/>
      <c r="D42" s="9"/>
    </row>
    <row r="43" spans="1:4">
      <c r="A43" s="8" t="s">
        <v>71</v>
      </c>
      <c r="B43" s="10">
        <v>0</v>
      </c>
      <c r="C43" s="9"/>
      <c r="D43" s="9"/>
    </row>
    <row r="44" spans="1:4">
      <c r="A44" s="8" t="s">
        <v>72</v>
      </c>
      <c r="B44" s="8" t="s">
        <v>73</v>
      </c>
      <c r="C44" s="9"/>
      <c r="D44" s="9"/>
    </row>
    <row r="45" spans="1:4">
      <c r="A45" s="8" t="s">
        <v>74</v>
      </c>
      <c r="B45" s="10">
        <v>36.936110999999997</v>
      </c>
      <c r="C45" s="9"/>
      <c r="D45" s="9"/>
    </row>
    <row r="46" spans="1:4">
      <c r="A46" s="8" t="s">
        <v>75</v>
      </c>
      <c r="B46" s="10">
        <v>-111.48</v>
      </c>
      <c r="C46" s="9"/>
      <c r="D46" s="9"/>
    </row>
    <row r="47" spans="1:4">
      <c r="A47" s="8" t="s">
        <v>76</v>
      </c>
      <c r="B47" s="8" t="s">
        <v>77</v>
      </c>
      <c r="C47" s="9"/>
      <c r="D47" s="9"/>
    </row>
    <row r="48" spans="1:4">
      <c r="A48" s="8" t="s">
        <v>78</v>
      </c>
      <c r="B48" s="10">
        <v>1963</v>
      </c>
      <c r="C48" s="9"/>
      <c r="D48" s="9"/>
    </row>
    <row r="49" spans="1:4">
      <c r="A49" s="8" t="s">
        <v>79</v>
      </c>
      <c r="B49" s="10">
        <v>467</v>
      </c>
      <c r="C49" s="44" t="s">
        <v>80</v>
      </c>
      <c r="D49" s="9"/>
    </row>
    <row r="50" spans="1:4">
      <c r="A50" s="8" t="s">
        <v>81</v>
      </c>
      <c r="B50" s="10">
        <v>19.100000000000001</v>
      </c>
      <c r="C50" s="42"/>
      <c r="D50" s="9"/>
    </row>
    <row r="51" spans="1:4">
      <c r="A51" s="8" t="s">
        <v>82</v>
      </c>
      <c r="B51" s="10">
        <v>1100</v>
      </c>
      <c r="C51" s="9"/>
      <c r="D51" s="9"/>
    </row>
    <row r="52" spans="1:4">
      <c r="A52" s="8" t="s">
        <v>83</v>
      </c>
      <c r="B52" s="10">
        <v>160</v>
      </c>
      <c r="C52" s="8" t="s">
        <v>84</v>
      </c>
      <c r="D52" s="9"/>
    </row>
    <row r="53" spans="1:4">
      <c r="A53" s="8" t="s">
        <v>85</v>
      </c>
      <c r="B53" s="10">
        <v>34.787999999999997</v>
      </c>
      <c r="C53" s="8" t="s">
        <v>86</v>
      </c>
      <c r="D53" s="9"/>
    </row>
    <row r="54" spans="1:4">
      <c r="A54" s="8" t="s">
        <v>87</v>
      </c>
      <c r="B54" s="10">
        <v>6.8</v>
      </c>
      <c r="C54" s="8" t="s">
        <v>86</v>
      </c>
      <c r="D54" s="9"/>
    </row>
    <row r="55" spans="1:4">
      <c r="A55" s="8" t="s">
        <v>88</v>
      </c>
      <c r="B55" s="10">
        <v>20</v>
      </c>
      <c r="C55" s="42" t="s">
        <v>89</v>
      </c>
      <c r="D55" s="42"/>
    </row>
    <row r="56" spans="1:4">
      <c r="A56" s="8" t="s">
        <v>90</v>
      </c>
      <c r="B56" s="10">
        <v>42</v>
      </c>
      <c r="C56" s="8" t="s">
        <v>91</v>
      </c>
      <c r="D56" s="9"/>
    </row>
    <row r="57" spans="1:4">
      <c r="A57" s="8" t="s">
        <v>92</v>
      </c>
      <c r="B57" s="10">
        <v>1058</v>
      </c>
      <c r="C57" s="9"/>
      <c r="D57" s="9"/>
    </row>
    <row r="58" spans="1:4">
      <c r="A58" s="8" t="s">
        <v>93</v>
      </c>
      <c r="B58" s="10">
        <v>6</v>
      </c>
      <c r="C58" s="45" t="s">
        <v>94</v>
      </c>
      <c r="D58" s="42"/>
    </row>
    <row r="59" spans="1:4">
      <c r="A59" s="8" t="s">
        <v>95</v>
      </c>
      <c r="B59" s="9"/>
      <c r="C59" s="9"/>
      <c r="D59" s="9"/>
    </row>
    <row r="60" spans="1:4">
      <c r="A60" s="8" t="s">
        <v>96</v>
      </c>
      <c r="B60" s="10">
        <v>2</v>
      </c>
      <c r="C60" s="42" t="s">
        <v>97</v>
      </c>
      <c r="D60" s="42"/>
    </row>
    <row r="61" spans="1:4">
      <c r="A61" s="8" t="s">
        <v>98</v>
      </c>
      <c r="B61" s="10">
        <v>323</v>
      </c>
      <c r="C61" s="8" t="s">
        <v>99</v>
      </c>
      <c r="D61" s="8" t="s">
        <v>100</v>
      </c>
    </row>
    <row r="62" spans="1:4">
      <c r="A62" s="8" t="s">
        <v>101</v>
      </c>
      <c r="B62" s="10">
        <v>113</v>
      </c>
      <c r="C62" s="42" t="s">
        <v>102</v>
      </c>
      <c r="D62" s="42"/>
    </row>
    <row r="63" spans="1:4">
      <c r="A63" s="8" t="s">
        <v>103</v>
      </c>
      <c r="B63" s="8" t="s">
        <v>104</v>
      </c>
      <c r="C63" s="8" t="s">
        <v>86</v>
      </c>
      <c r="D63" s="9"/>
    </row>
    <row r="64" spans="1:4">
      <c r="A64" s="8" t="s">
        <v>105</v>
      </c>
      <c r="B64" s="10">
        <v>5.2</v>
      </c>
      <c r="C64" s="8" t="s">
        <v>106</v>
      </c>
      <c r="D64" s="13" t="s">
        <v>107</v>
      </c>
    </row>
    <row r="65" spans="1:4">
      <c r="A65" s="8" t="s">
        <v>108</v>
      </c>
      <c r="B65" s="10">
        <v>8.99</v>
      </c>
      <c r="C65" s="9"/>
      <c r="D65" s="13" t="s">
        <v>109</v>
      </c>
    </row>
    <row r="66" spans="1:4">
      <c r="A66" s="8" t="s">
        <v>110</v>
      </c>
      <c r="B66" s="10">
        <v>8.8000000000000007</v>
      </c>
      <c r="C66" s="9"/>
      <c r="D66" s="9"/>
    </row>
    <row r="67" spans="1:4">
      <c r="A67" s="8" t="s">
        <v>111</v>
      </c>
      <c r="B67" s="10">
        <v>10.5</v>
      </c>
      <c r="C67" s="9"/>
      <c r="D67" s="9"/>
    </row>
    <row r="68" spans="1:4">
      <c r="A68" s="8" t="s">
        <v>112</v>
      </c>
      <c r="B68" s="10">
        <v>13</v>
      </c>
      <c r="C68" s="9"/>
      <c r="D68" s="9"/>
    </row>
    <row r="69" spans="1:4">
      <c r="A69" s="8" t="s">
        <v>113</v>
      </c>
      <c r="B69" s="10">
        <v>17.2</v>
      </c>
      <c r="C69" s="9"/>
      <c r="D69" s="9"/>
    </row>
    <row r="70" spans="1:4">
      <c r="A70" s="8" t="s">
        <v>114</v>
      </c>
      <c r="B70" s="10">
        <v>22.4</v>
      </c>
      <c r="C70" s="9"/>
      <c r="D70" s="9"/>
    </row>
    <row r="71" spans="1:4">
      <c r="A71" s="8" t="s">
        <v>115</v>
      </c>
      <c r="B71" s="10">
        <v>26</v>
      </c>
      <c r="C71" s="9"/>
      <c r="D71" s="9"/>
    </row>
    <row r="72" spans="1:4">
      <c r="A72" s="8" t="s">
        <v>116</v>
      </c>
      <c r="B72" s="10">
        <v>26.3</v>
      </c>
      <c r="C72" s="9"/>
      <c r="D72" s="9"/>
    </row>
    <row r="73" spans="1:4">
      <c r="A73" s="8" t="s">
        <v>117</v>
      </c>
      <c r="B73" s="10">
        <v>24.1</v>
      </c>
      <c r="C73" s="9"/>
      <c r="D73" s="9"/>
    </row>
    <row r="74" spans="1:4">
      <c r="A74" s="8" t="s">
        <v>118</v>
      </c>
      <c r="B74" s="10">
        <v>20</v>
      </c>
      <c r="C74" s="9"/>
      <c r="D74" s="9"/>
    </row>
    <row r="75" spans="1:4">
      <c r="A75" s="8" t="s">
        <v>119</v>
      </c>
      <c r="B75" s="10">
        <v>15.7</v>
      </c>
      <c r="C75" s="9"/>
      <c r="D75" s="9"/>
    </row>
    <row r="76" spans="1:4">
      <c r="A76" s="8" t="s">
        <v>120</v>
      </c>
      <c r="B76" s="10">
        <v>11.5</v>
      </c>
      <c r="C76" s="9"/>
      <c r="D76" s="9"/>
    </row>
    <row r="77" spans="1:4">
      <c r="A77" s="8" t="s">
        <v>121</v>
      </c>
      <c r="B77" s="10">
        <v>17</v>
      </c>
      <c r="C77" s="9"/>
      <c r="D77" s="9"/>
    </row>
  </sheetData>
  <mergeCells count="12">
    <mergeCell ref="C49:C50"/>
    <mergeCell ref="C55:D55"/>
    <mergeCell ref="C58:D58"/>
    <mergeCell ref="C60:D60"/>
    <mergeCell ref="C62:D62"/>
    <mergeCell ref="C36:D36"/>
    <mergeCell ref="C41:D41"/>
    <mergeCell ref="C9:C26"/>
    <mergeCell ref="C29:D29"/>
    <mergeCell ref="C33:D33"/>
    <mergeCell ref="C34:D34"/>
    <mergeCell ref="C35:D35"/>
  </mergeCells>
  <hyperlinks>
    <hyperlink ref="D3" r:id="rId1" xr:uid="{00000000-0004-0000-0100-000000000000}"/>
    <hyperlink ref="D6" r:id="rId2" xr:uid="{00000000-0004-0000-0100-000001000000}"/>
    <hyperlink ref="D7" r:id="rId3" xr:uid="{00000000-0004-0000-0100-000002000000}"/>
    <hyperlink ref="D8" r:id="rId4" xr:uid="{00000000-0004-0000-0100-000003000000}"/>
    <hyperlink ref="D9" r:id="rId5" xr:uid="{00000000-0004-0000-0100-000004000000}"/>
    <hyperlink ref="D10" r:id="rId6" xr:uid="{00000000-0004-0000-0100-000005000000}"/>
    <hyperlink ref="C58" r:id="rId7" xr:uid="{00000000-0004-0000-0100-000006000000}"/>
    <hyperlink ref="D64" r:id="rId8" location="/media/File:SolarGIS-Solar-map-North-America-en.png" xr:uid="{00000000-0004-0000-0100-000007000000}"/>
    <hyperlink ref="D65" r:id="rId9" xr:uid="{00000000-0004-0000-0100-000008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77"/>
  <sheetViews>
    <sheetView workbookViewId="0"/>
  </sheetViews>
  <sheetFormatPr defaultColWidth="14.42578125" defaultRowHeight="15" customHeight="1"/>
  <sheetData>
    <row r="1" spans="1:4">
      <c r="A1" s="7" t="s">
        <v>11</v>
      </c>
      <c r="B1" s="7" t="s">
        <v>12</v>
      </c>
      <c r="C1" s="7" t="s">
        <v>13</v>
      </c>
      <c r="D1" s="7" t="s">
        <v>14</v>
      </c>
    </row>
    <row r="2" spans="1:4">
      <c r="A2" s="8" t="s">
        <v>15</v>
      </c>
      <c r="B2" s="8" t="s">
        <v>122</v>
      </c>
      <c r="C2" s="8"/>
    </row>
    <row r="3" spans="1:4">
      <c r="A3" s="8" t="s">
        <v>17</v>
      </c>
      <c r="B3" s="12">
        <v>435000</v>
      </c>
      <c r="C3" s="11" t="s">
        <v>123</v>
      </c>
    </row>
    <row r="4" spans="1:4">
      <c r="A4" s="8" t="s">
        <v>20</v>
      </c>
      <c r="B4" s="12">
        <v>2448893</v>
      </c>
      <c r="C4" s="8" t="s">
        <v>21</v>
      </c>
    </row>
    <row r="5" spans="1:4">
      <c r="A5" s="8" t="s">
        <v>22</v>
      </c>
      <c r="B5" s="10">
        <v>142</v>
      </c>
      <c r="C5" s="8" t="s">
        <v>21</v>
      </c>
    </row>
    <row r="6" spans="1:4">
      <c r="A6" s="8" t="s">
        <v>23</v>
      </c>
      <c r="B6" s="8" t="s">
        <v>124</v>
      </c>
      <c r="C6" s="8" t="s">
        <v>125</v>
      </c>
    </row>
    <row r="7" spans="1:4">
      <c r="A7" s="8" t="s">
        <v>126</v>
      </c>
      <c r="B7" s="12">
        <v>132249</v>
      </c>
      <c r="C7" s="13" t="s">
        <v>127</v>
      </c>
    </row>
    <row r="8" spans="1:4">
      <c r="A8" s="8" t="s">
        <v>30</v>
      </c>
      <c r="B8" s="8" t="s">
        <v>124</v>
      </c>
      <c r="C8" s="9"/>
    </row>
    <row r="9" spans="1:4">
      <c r="A9" s="8" t="s">
        <v>31</v>
      </c>
      <c r="B9" s="10">
        <v>1.8</v>
      </c>
      <c r="C9" s="43" t="s">
        <v>32</v>
      </c>
    </row>
    <row r="10" spans="1:4">
      <c r="A10" s="8" t="s">
        <v>34</v>
      </c>
      <c r="B10" s="10">
        <v>4.3</v>
      </c>
      <c r="C10" s="42"/>
    </row>
    <row r="11" spans="1:4">
      <c r="A11" s="8" t="s">
        <v>36</v>
      </c>
      <c r="B11" s="10">
        <v>0.8</v>
      </c>
      <c r="C11" s="42"/>
    </row>
    <row r="12" spans="1:4">
      <c r="A12" s="8" t="s">
        <v>37</v>
      </c>
      <c r="B12" s="10">
        <v>25.8</v>
      </c>
      <c r="C12" s="42"/>
    </row>
    <row r="13" spans="1:4">
      <c r="A13" s="8" t="s">
        <v>38</v>
      </c>
      <c r="B13" s="10">
        <v>65.7</v>
      </c>
      <c r="C13" s="42"/>
    </row>
    <row r="14" spans="1:4">
      <c r="A14" s="8" t="s">
        <v>39</v>
      </c>
      <c r="B14" s="10">
        <v>0.1</v>
      </c>
      <c r="C14" s="42"/>
    </row>
    <row r="15" spans="1:4">
      <c r="A15" s="8" t="s">
        <v>40</v>
      </c>
      <c r="B15" s="10">
        <v>1.1000000000000001</v>
      </c>
      <c r="C15" s="42"/>
    </row>
    <row r="16" spans="1:4">
      <c r="A16" s="8" t="s">
        <v>41</v>
      </c>
      <c r="B16" s="10">
        <v>0.5</v>
      </c>
      <c r="C16" s="42"/>
    </row>
    <row r="17" spans="1:3">
      <c r="A17" s="8" t="s">
        <v>42</v>
      </c>
      <c r="B17" s="10">
        <v>0</v>
      </c>
      <c r="C17" s="42"/>
    </row>
    <row r="18" spans="1:3">
      <c r="A18" s="8" t="s">
        <v>43</v>
      </c>
      <c r="B18" s="10">
        <v>-0.1</v>
      </c>
      <c r="C18" s="42"/>
    </row>
    <row r="19" spans="1:3">
      <c r="A19" s="8" t="s">
        <v>44</v>
      </c>
      <c r="B19" s="14">
        <v>0</v>
      </c>
      <c r="C19" s="42"/>
    </row>
    <row r="20" spans="1:3">
      <c r="A20" s="8" t="s">
        <v>46</v>
      </c>
      <c r="B20" s="14">
        <v>0.25</v>
      </c>
      <c r="C20" s="42"/>
    </row>
    <row r="21" spans="1:3">
      <c r="A21" s="8" t="s">
        <v>47</v>
      </c>
      <c r="B21" s="14">
        <v>0</v>
      </c>
      <c r="C21" s="42"/>
    </row>
    <row r="22" spans="1:3">
      <c r="A22" s="8" t="s">
        <v>48</v>
      </c>
      <c r="B22" s="14">
        <v>0.25</v>
      </c>
      <c r="C22" s="42"/>
    </row>
    <row r="23" spans="1:3">
      <c r="A23" s="8" t="s">
        <v>49</v>
      </c>
      <c r="B23" s="14">
        <v>0</v>
      </c>
      <c r="C23" s="42"/>
    </row>
    <row r="24" spans="1:3">
      <c r="A24" s="8" t="s">
        <v>50</v>
      </c>
      <c r="B24" s="14">
        <v>0</v>
      </c>
      <c r="C24" s="42"/>
    </row>
    <row r="25" spans="1:3">
      <c r="A25" s="8" t="s">
        <v>51</v>
      </c>
      <c r="B25" s="14">
        <v>0</v>
      </c>
      <c r="C25" s="42"/>
    </row>
    <row r="26" spans="1:3">
      <c r="A26" s="8" t="s">
        <v>52</v>
      </c>
      <c r="B26" s="14">
        <v>0.75</v>
      </c>
      <c r="C26" s="42"/>
    </row>
    <row r="27" spans="1:3">
      <c r="A27" s="8" t="s">
        <v>53</v>
      </c>
      <c r="B27" s="14">
        <v>0</v>
      </c>
      <c r="C27" s="9"/>
    </row>
    <row r="28" spans="1:3">
      <c r="A28" s="8" t="s">
        <v>54</v>
      </c>
      <c r="B28" s="14">
        <v>0</v>
      </c>
      <c r="C28" s="9"/>
    </row>
    <row r="29" spans="1:3">
      <c r="A29" s="8" t="s">
        <v>55</v>
      </c>
      <c r="B29" s="14">
        <v>0.25</v>
      </c>
      <c r="C29" s="9"/>
    </row>
    <row r="30" spans="1:3">
      <c r="A30" s="8" t="s">
        <v>57</v>
      </c>
      <c r="B30" s="14">
        <v>0</v>
      </c>
      <c r="C30" s="9"/>
    </row>
    <row r="31" spans="1:3">
      <c r="A31" s="8" t="s">
        <v>58</v>
      </c>
      <c r="B31" s="14">
        <v>0</v>
      </c>
      <c r="C31" s="9"/>
    </row>
    <row r="32" spans="1:3">
      <c r="A32" s="8" t="s">
        <v>59</v>
      </c>
      <c r="B32" s="14">
        <v>0</v>
      </c>
      <c r="C32" s="9"/>
    </row>
    <row r="33" spans="1:3">
      <c r="A33" s="8" t="s">
        <v>60</v>
      </c>
      <c r="B33" s="14">
        <v>0.05</v>
      </c>
      <c r="C33" s="9"/>
    </row>
    <row r="34" spans="1:3">
      <c r="A34" s="8" t="s">
        <v>61</v>
      </c>
      <c r="B34" s="14">
        <v>0.05</v>
      </c>
      <c r="C34" s="9"/>
    </row>
    <row r="35" spans="1:3">
      <c r="A35" s="8" t="s">
        <v>62</v>
      </c>
      <c r="B35" s="14">
        <v>0.2</v>
      </c>
      <c r="C35" s="9"/>
    </row>
    <row r="36" spans="1:3">
      <c r="A36" s="8" t="s">
        <v>63</v>
      </c>
      <c r="B36" s="14">
        <v>0.25</v>
      </c>
      <c r="C36" s="9"/>
    </row>
    <row r="37" spans="1:3">
      <c r="A37" s="8" t="s">
        <v>64</v>
      </c>
      <c r="B37" s="14">
        <v>0</v>
      </c>
      <c r="C37" s="9"/>
    </row>
    <row r="38" spans="1:3">
      <c r="A38" s="8" t="s">
        <v>65</v>
      </c>
      <c r="B38" s="14">
        <v>0</v>
      </c>
      <c r="C38" s="9"/>
    </row>
    <row r="39" spans="1:3">
      <c r="A39" s="8" t="s">
        <v>66</v>
      </c>
      <c r="B39" s="14">
        <v>0</v>
      </c>
      <c r="C39" s="9"/>
    </row>
    <row r="40" spans="1:3">
      <c r="A40" s="8" t="s">
        <v>67</v>
      </c>
      <c r="B40" s="14">
        <v>0</v>
      </c>
      <c r="C40" s="9"/>
    </row>
    <row r="41" spans="1:3">
      <c r="A41" s="8" t="s">
        <v>68</v>
      </c>
      <c r="B41" s="15">
        <v>9.6000000000000002E-2</v>
      </c>
      <c r="C41" s="9"/>
    </row>
    <row r="42" spans="1:3">
      <c r="A42" s="8" t="s">
        <v>70</v>
      </c>
      <c r="B42" s="14">
        <v>0</v>
      </c>
      <c r="C42" s="9"/>
    </row>
    <row r="43" spans="1:3">
      <c r="A43" s="8" t="s">
        <v>71</v>
      </c>
      <c r="B43" s="15">
        <v>4.0000000000000001E-3</v>
      </c>
      <c r="C43" s="9"/>
    </row>
    <row r="44" spans="1:3">
      <c r="A44" s="8" t="s">
        <v>72</v>
      </c>
      <c r="B44" s="8" t="s">
        <v>73</v>
      </c>
      <c r="C44" s="9"/>
    </row>
    <row r="45" spans="1:3">
      <c r="A45" s="8" t="s">
        <v>74</v>
      </c>
      <c r="B45" s="10">
        <v>114.7377</v>
      </c>
      <c r="C45" s="9"/>
    </row>
    <row r="46" spans="1:3">
      <c r="A46" s="8" t="s">
        <v>75</v>
      </c>
      <c r="B46" s="10">
        <v>36.016100000000002</v>
      </c>
      <c r="C46" s="9"/>
    </row>
    <row r="47" spans="1:3">
      <c r="A47" s="8" t="s">
        <v>76</v>
      </c>
      <c r="B47" s="8" t="s">
        <v>77</v>
      </c>
      <c r="C47" s="9"/>
    </row>
    <row r="48" spans="1:3">
      <c r="A48" s="8" t="s">
        <v>78</v>
      </c>
      <c r="B48" s="10">
        <v>1936</v>
      </c>
      <c r="C48" s="8" t="s">
        <v>128</v>
      </c>
    </row>
    <row r="49" spans="1:4">
      <c r="A49" s="8" t="s">
        <v>79</v>
      </c>
      <c r="B49" s="10">
        <v>336</v>
      </c>
      <c r="C49" s="8" t="s">
        <v>129</v>
      </c>
    </row>
    <row r="50" spans="1:4">
      <c r="A50" s="8" t="s">
        <v>81</v>
      </c>
      <c r="B50" s="10">
        <v>12.33</v>
      </c>
      <c r="C50" s="9"/>
    </row>
    <row r="51" spans="1:4">
      <c r="A51" s="8" t="s">
        <v>82</v>
      </c>
      <c r="B51" s="10">
        <v>329</v>
      </c>
      <c r="C51" s="8" t="s">
        <v>130</v>
      </c>
    </row>
    <row r="52" spans="1:4">
      <c r="A52" s="8" t="s">
        <v>83</v>
      </c>
      <c r="B52" s="10">
        <v>116</v>
      </c>
      <c r="C52" s="8" t="s">
        <v>131</v>
      </c>
    </row>
    <row r="53" spans="1:4">
      <c r="A53" s="8" t="s">
        <v>85</v>
      </c>
      <c r="B53" s="9"/>
      <c r="C53" s="8" t="s">
        <v>132</v>
      </c>
    </row>
    <row r="54" spans="1:4">
      <c r="A54" s="8" t="s">
        <v>87</v>
      </c>
      <c r="B54" s="9"/>
      <c r="C54" s="8" t="s">
        <v>132</v>
      </c>
    </row>
    <row r="55" spans="1:4">
      <c r="A55" s="8" t="s">
        <v>88</v>
      </c>
      <c r="B55" s="9"/>
      <c r="C55" s="9"/>
    </row>
    <row r="56" spans="1:4">
      <c r="A56" s="8" t="s">
        <v>90</v>
      </c>
      <c r="B56" s="9"/>
      <c r="C56" s="9"/>
    </row>
    <row r="57" spans="1:4">
      <c r="A57" s="8" t="s">
        <v>92</v>
      </c>
      <c r="B57" s="9"/>
      <c r="C57" s="9"/>
    </row>
    <row r="58" spans="1:4">
      <c r="A58" s="8" t="s">
        <v>93</v>
      </c>
      <c r="B58" s="9"/>
      <c r="C58" s="9"/>
    </row>
    <row r="59" spans="1:4">
      <c r="A59" s="8" t="s">
        <v>95</v>
      </c>
      <c r="B59" s="9"/>
      <c r="C59" s="9"/>
    </row>
    <row r="60" spans="1:4">
      <c r="A60" s="8" t="s">
        <v>96</v>
      </c>
      <c r="B60" s="10">
        <v>2</v>
      </c>
      <c r="C60" s="8" t="s">
        <v>21</v>
      </c>
    </row>
    <row r="61" spans="1:4">
      <c r="A61" s="8" t="s">
        <v>98</v>
      </c>
      <c r="B61" s="10">
        <v>172.4</v>
      </c>
      <c r="C61" s="13" t="s">
        <v>133</v>
      </c>
    </row>
    <row r="62" spans="1:4">
      <c r="A62" s="8" t="s">
        <v>101</v>
      </c>
      <c r="B62" s="10">
        <v>150</v>
      </c>
      <c r="C62" s="9"/>
    </row>
    <row r="63" spans="1:4">
      <c r="A63" s="8" t="s">
        <v>103</v>
      </c>
      <c r="B63" s="9"/>
      <c r="C63" s="9"/>
    </row>
    <row r="64" spans="1:4">
      <c r="A64" s="8" t="s">
        <v>105</v>
      </c>
      <c r="B64" s="10">
        <v>5.6</v>
      </c>
      <c r="C64" s="8" t="s">
        <v>106</v>
      </c>
      <c r="D64" s="13" t="s">
        <v>107</v>
      </c>
    </row>
    <row r="65" spans="1:4">
      <c r="A65" s="8" t="s">
        <v>134</v>
      </c>
      <c r="B65" s="10">
        <v>6.67</v>
      </c>
      <c r="C65" s="9"/>
      <c r="D65" s="13" t="s">
        <v>135</v>
      </c>
    </row>
    <row r="66" spans="1:4">
      <c r="A66" s="8" t="s">
        <v>136</v>
      </c>
      <c r="B66" s="10">
        <v>8.89</v>
      </c>
      <c r="C66" s="9"/>
    </row>
    <row r="67" spans="1:4">
      <c r="A67" s="8" t="s">
        <v>137</v>
      </c>
      <c r="B67" s="10">
        <v>12.78</v>
      </c>
      <c r="C67" s="9"/>
    </row>
    <row r="68" spans="1:4">
      <c r="A68" s="8" t="s">
        <v>138</v>
      </c>
      <c r="B68" s="10">
        <v>18.329999999999998</v>
      </c>
      <c r="C68" s="9"/>
    </row>
    <row r="69" spans="1:4">
      <c r="A69" s="8" t="s">
        <v>139</v>
      </c>
      <c r="B69" s="10">
        <v>23.33</v>
      </c>
      <c r="C69" s="9"/>
    </row>
    <row r="70" spans="1:4">
      <c r="A70" s="8" t="s">
        <v>140</v>
      </c>
      <c r="B70" s="10">
        <v>27.78</v>
      </c>
      <c r="C70" s="9"/>
    </row>
    <row r="71" spans="1:4">
      <c r="A71" s="8" t="s">
        <v>141</v>
      </c>
      <c r="B71" s="10">
        <v>31.67</v>
      </c>
      <c r="C71" s="9"/>
    </row>
    <row r="72" spans="1:4">
      <c r="A72" s="8" t="s">
        <v>142</v>
      </c>
      <c r="B72" s="10">
        <v>30.56</v>
      </c>
      <c r="C72" s="9"/>
    </row>
    <row r="73" spans="1:4">
      <c r="A73" s="8" t="s">
        <v>143</v>
      </c>
      <c r="B73" s="10">
        <v>26.67</v>
      </c>
      <c r="C73" s="9"/>
    </row>
    <row r="74" spans="1:4">
      <c r="A74" s="8" t="s">
        <v>144</v>
      </c>
      <c r="B74" s="10">
        <v>19.440000000000001</v>
      </c>
      <c r="C74" s="9"/>
    </row>
    <row r="75" spans="1:4">
      <c r="A75" s="8" t="s">
        <v>145</v>
      </c>
      <c r="B75" s="10">
        <v>11.67</v>
      </c>
      <c r="C75" s="9"/>
    </row>
    <row r="76" spans="1:4">
      <c r="A76" s="8" t="s">
        <v>146</v>
      </c>
      <c r="B76" s="10">
        <v>7.78</v>
      </c>
      <c r="C76" s="9"/>
    </row>
    <row r="77" spans="1:4">
      <c r="A77" s="8" t="s">
        <v>147</v>
      </c>
      <c r="B77" s="10">
        <v>18.8</v>
      </c>
      <c r="C77" s="9"/>
    </row>
  </sheetData>
  <mergeCells count="1">
    <mergeCell ref="C9:C26"/>
  </mergeCells>
  <hyperlinks>
    <hyperlink ref="C3" r:id="rId1" xr:uid="{00000000-0004-0000-0200-000000000000}"/>
    <hyperlink ref="C7" r:id="rId2" xr:uid="{00000000-0004-0000-0200-000001000000}"/>
    <hyperlink ref="C61" r:id="rId3" xr:uid="{00000000-0004-0000-0200-000002000000}"/>
    <hyperlink ref="D64" r:id="rId4" location="/media/File:SolarGIS-Solar-map-North-America-en.png" xr:uid="{00000000-0004-0000-0200-000003000000}"/>
    <hyperlink ref="D65" r:id="rId5" xr:uid="{00000000-0004-0000-0200-000004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H24"/>
  <sheetViews>
    <sheetView workbookViewId="0">
      <selection activeCell="G12" sqref="G12"/>
    </sheetView>
  </sheetViews>
  <sheetFormatPr defaultColWidth="14.42578125" defaultRowHeight="15" customHeight="1"/>
  <cols>
    <col min="1" max="1" width="17.42578125" customWidth="1"/>
  </cols>
  <sheetData>
    <row r="1" spans="1:8">
      <c r="A1" s="5" t="s">
        <v>148</v>
      </c>
      <c r="B1" s="5" t="s">
        <v>149</v>
      </c>
      <c r="C1" s="5" t="s">
        <v>150</v>
      </c>
      <c r="D1" s="5" t="s">
        <v>151</v>
      </c>
      <c r="E1" s="5"/>
      <c r="F1" s="5" t="s">
        <v>152</v>
      </c>
    </row>
    <row r="2" spans="1:8">
      <c r="A2" s="16" t="s">
        <v>153</v>
      </c>
      <c r="B2" s="16"/>
      <c r="C2" s="16"/>
      <c r="D2" s="16"/>
      <c r="E2" s="16"/>
      <c r="F2" s="16"/>
      <c r="G2" s="17"/>
    </row>
    <row r="3" spans="1:8">
      <c r="A3" s="5" t="s">
        <v>154</v>
      </c>
      <c r="B3" s="5">
        <v>2.4470000000000001</v>
      </c>
      <c r="C3" s="5">
        <v>1.0999999999999999E-2</v>
      </c>
      <c r="D3" s="5" t="s">
        <v>155</v>
      </c>
      <c r="E3" s="5"/>
      <c r="F3" s="5" t="s">
        <v>155</v>
      </c>
    </row>
    <row r="4" spans="1:8">
      <c r="A4" s="5" t="s">
        <v>156</v>
      </c>
      <c r="B4" s="5"/>
      <c r="C4" s="5"/>
      <c r="D4" s="5">
        <v>467</v>
      </c>
      <c r="E4" s="5"/>
      <c r="F4" s="5">
        <v>336</v>
      </c>
    </row>
    <row r="5" spans="1:8">
      <c r="A5" s="5" t="s">
        <v>157</v>
      </c>
      <c r="B5" s="5">
        <v>-3.4000000000000002E-2</v>
      </c>
      <c r="C5" s="5">
        <v>1.0999999999999999E-2</v>
      </c>
      <c r="D5">
        <f>LOG10(D4)</f>
        <v>2.6693168805661123</v>
      </c>
      <c r="F5">
        <f t="shared" ref="F5" si="0">LOG10(F4)</f>
        <v>2.5263392773898441</v>
      </c>
    </row>
    <row r="6" spans="1:8">
      <c r="A6" s="5" t="s">
        <v>158</v>
      </c>
      <c r="B6" s="5"/>
      <c r="C6" s="5"/>
      <c r="D6" s="5">
        <v>113</v>
      </c>
      <c r="F6" s="5">
        <v>150</v>
      </c>
    </row>
    <row r="7" spans="1:8">
      <c r="A7" s="5" t="s">
        <v>159</v>
      </c>
      <c r="B7" s="5">
        <v>0.08</v>
      </c>
      <c r="C7" s="5">
        <v>8.9999999999999993E-3</v>
      </c>
      <c r="D7">
        <f>LOG10(D6)</f>
        <v>2.0530784434834195</v>
      </c>
      <c r="F7">
        <f>LOG10(F6)</f>
        <v>2.1760912590556813</v>
      </c>
    </row>
    <row r="8" spans="1:8">
      <c r="A8" s="5" t="s">
        <v>160</v>
      </c>
      <c r="B8" s="5">
        <v>-7.1999999999999995E-2</v>
      </c>
      <c r="C8" s="5">
        <v>8.9999999999999993E-3</v>
      </c>
      <c r="D8">
        <f>D5/D7</f>
        <v>1.3001533813959552</v>
      </c>
      <c r="F8">
        <f>F5/F7</f>
        <v>1.1609528170643695</v>
      </c>
    </row>
    <row r="10" spans="1:8">
      <c r="A10" s="5" t="s">
        <v>161</v>
      </c>
      <c r="B10" s="5">
        <v>0.94</v>
      </c>
      <c r="C10" s="5">
        <v>0.122</v>
      </c>
      <c r="D10" s="5" t="s">
        <v>155</v>
      </c>
    </row>
    <row r="11" spans="1:8">
      <c r="A11" s="5" t="s">
        <v>162</v>
      </c>
      <c r="B11" s="5"/>
      <c r="C11" s="5"/>
      <c r="D11" s="5">
        <v>1.6</v>
      </c>
      <c r="E11" s="5"/>
      <c r="F11" s="5">
        <v>3.3</v>
      </c>
    </row>
    <row r="12" spans="1:8">
      <c r="A12" s="5" t="s">
        <v>163</v>
      </c>
      <c r="B12" s="5">
        <v>0.77800000000000002</v>
      </c>
      <c r="C12" s="5">
        <v>0.11799999999999999</v>
      </c>
      <c r="D12">
        <f>LOG10(1.72)</f>
        <v>0.2355284469075489</v>
      </c>
      <c r="F12">
        <f t="shared" ref="F12" si="1">LOG10(F11)</f>
        <v>0.51851393987788741</v>
      </c>
    </row>
    <row r="13" spans="1:8">
      <c r="A13" s="16" t="s">
        <v>164</v>
      </c>
      <c r="B13" s="17"/>
      <c r="C13" s="16" t="s">
        <v>165</v>
      </c>
      <c r="D13" s="17"/>
      <c r="E13" s="16" t="s">
        <v>150</v>
      </c>
      <c r="F13" s="17"/>
      <c r="G13" s="16" t="s">
        <v>150</v>
      </c>
    </row>
    <row r="14" spans="1:8">
      <c r="A14" s="5" t="s">
        <v>166</v>
      </c>
      <c r="D14" s="18">
        <f>$B$12*D12+$B$10</f>
        <v>1.1232411316940729</v>
      </c>
      <c r="E14" s="18">
        <f>SQRT(C10^2+C12^2)</f>
        <v>0.16972919607421699</v>
      </c>
      <c r="F14" s="18">
        <f>$B$12*F12+$B$10</f>
        <v>1.3434038452249963</v>
      </c>
      <c r="G14">
        <f>SQRT(C10^2+C12^2)</f>
        <v>0.16972919607421699</v>
      </c>
      <c r="H14" s="18"/>
    </row>
    <row r="15" spans="1:8">
      <c r="A15" s="5" t="s">
        <v>167</v>
      </c>
      <c r="C15" s="5" t="s">
        <v>168</v>
      </c>
      <c r="D15" s="18">
        <f>10^D14-1</f>
        <v>12.281316666090243</v>
      </c>
      <c r="E15" s="18">
        <f>2.303*D15*E14</f>
        <v>4.8005989042906787</v>
      </c>
      <c r="F15" s="18">
        <f>10^F14-1</f>
        <v>21.049758906465961</v>
      </c>
      <c r="G15">
        <f>2.303*F15*G14</f>
        <v>8.2280631864965308</v>
      </c>
      <c r="H15" s="18"/>
    </row>
    <row r="16" spans="1:8">
      <c r="A16" s="5" t="s">
        <v>169</v>
      </c>
      <c r="C16" s="5" t="s">
        <v>170</v>
      </c>
      <c r="D16" s="18">
        <f>D15*354*16/12*34/1000</f>
        <v>197.0905698574162</v>
      </c>
      <c r="E16" s="18">
        <f t="shared" ref="E16:E17" si="2">D16*E15/D15</f>
        <v>77.040011216056811</v>
      </c>
      <c r="F16" s="18">
        <f>F15*354*16/12*34/1000</f>
        <v>337.80653093096572</v>
      </c>
      <c r="G16">
        <f>F16*G15/F15</f>
        <v>132.04395801689634</v>
      </c>
    </row>
    <row r="17" spans="1:7">
      <c r="A17" s="5" t="s">
        <v>171</v>
      </c>
      <c r="C17" s="5" t="s">
        <v>172</v>
      </c>
      <c r="D17" s="18">
        <f>D16*GLM!C5</f>
        <v>19.591641327103162</v>
      </c>
      <c r="E17" s="18">
        <f t="shared" si="2"/>
        <v>7.6581049447110106</v>
      </c>
      <c r="F17" s="18"/>
    </row>
    <row r="18" spans="1:7">
      <c r="A18" s="5"/>
      <c r="D18" s="18"/>
      <c r="E18" s="18"/>
      <c r="F18" s="18"/>
    </row>
    <row r="19" spans="1:7">
      <c r="A19" s="5" t="s">
        <v>173</v>
      </c>
      <c r="D19" s="18">
        <f>$B$5*D5+$B$7*D7+$B$8*D8+$B$3</f>
        <v>2.4268784580789169</v>
      </c>
      <c r="E19" s="18">
        <f>SQRT(C5^2+C7^2+C8^2+C3^2)</f>
        <v>2.0099751242241778E-2</v>
      </c>
      <c r="F19" s="18">
        <f>$B$5*F5+$B$7*F7+$B$8*F8+$B$3</f>
        <v>2.4516031624645653</v>
      </c>
      <c r="G19" s="18">
        <f>E19</f>
        <v>2.0099751242241778E-2</v>
      </c>
    </row>
    <row r="20" spans="1:7">
      <c r="A20" s="5" t="s">
        <v>174</v>
      </c>
      <c r="C20" s="5" t="s">
        <v>168</v>
      </c>
      <c r="D20" s="18">
        <f>10^D19-43</f>
        <v>224.22584441119136</v>
      </c>
      <c r="E20" s="18">
        <f>2.303*D20*E19</f>
        <v>10.379353149001316</v>
      </c>
      <c r="F20" s="18">
        <f>10^F19-43</f>
        <v>239.88059868183734</v>
      </c>
      <c r="G20">
        <f>2.303*G19*F20</f>
        <v>11.104007452177445</v>
      </c>
    </row>
    <row r="21" spans="1:7">
      <c r="A21" s="5" t="s">
        <v>175</v>
      </c>
      <c r="C21" s="5" t="s">
        <v>170</v>
      </c>
      <c r="D21" s="18">
        <f>D20*365/1000</f>
        <v>81.842433210084835</v>
      </c>
      <c r="E21" s="18">
        <f>D21*E20/D20</f>
        <v>3.78846389938548</v>
      </c>
      <c r="F21" s="18">
        <f>F20*365/1000</f>
        <v>87.556418518870629</v>
      </c>
      <c r="G21">
        <f>F21*G20/F20</f>
        <v>4.0529627200447678</v>
      </c>
    </row>
    <row r="22" spans="1:7">
      <c r="A22" s="5" t="s">
        <v>176</v>
      </c>
      <c r="C22" s="5" t="s">
        <v>172</v>
      </c>
      <c r="D22" s="18">
        <f>D21*GLM!C5</f>
        <v>8.1354861267556675</v>
      </c>
      <c r="E22" s="18">
        <f>D22*E20/D20</f>
        <v>0.37658943272189283</v>
      </c>
      <c r="F22" s="18"/>
    </row>
    <row r="23" spans="1:7">
      <c r="A23" s="5" t="s">
        <v>177</v>
      </c>
      <c r="C23" s="5" t="s">
        <v>170</v>
      </c>
      <c r="D23" s="18">
        <f t="shared" ref="D23:D24" si="3">D16+D21</f>
        <v>278.93300306750103</v>
      </c>
      <c r="E23" s="18">
        <f t="shared" ref="E23:E24" si="4">SQRT(E16^2+E21^2)</f>
        <v>77.133104351420386</v>
      </c>
      <c r="F23" s="18">
        <f>F16+F21</f>
        <v>425.36294944983638</v>
      </c>
      <c r="G23">
        <f>SQRT(G16^2+G21^2)</f>
        <v>132.10614427640357</v>
      </c>
    </row>
    <row r="24" spans="1:7">
      <c r="A24" s="5" t="s">
        <v>178</v>
      </c>
      <c r="C24" s="5" t="s">
        <v>172</v>
      </c>
      <c r="D24" s="18">
        <f t="shared" si="3"/>
        <v>27.727127453858827</v>
      </c>
      <c r="E24">
        <f t="shared" si="4"/>
        <v>7.6673587985071512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004"/>
  <sheetViews>
    <sheetView workbookViewId="0"/>
  </sheetViews>
  <sheetFormatPr defaultColWidth="14.42578125" defaultRowHeight="15" customHeight="1"/>
  <cols>
    <col min="1" max="1" width="26.7109375" customWidth="1"/>
    <col min="2" max="2" width="16.85546875" customWidth="1"/>
    <col min="3" max="3" width="16.140625" customWidth="1"/>
    <col min="4" max="4" width="19.42578125" customWidth="1"/>
    <col min="5" max="6" width="13.85546875" customWidth="1"/>
    <col min="7" max="11" width="8.7109375" customWidth="1"/>
    <col min="12" max="12" width="15.140625" customWidth="1"/>
    <col min="13" max="25" width="8.7109375" customWidth="1"/>
  </cols>
  <sheetData>
    <row r="1" spans="1:6" ht="36.75" customHeight="1">
      <c r="A1" s="19" t="s">
        <v>179</v>
      </c>
      <c r="B1" s="20" t="s">
        <v>180</v>
      </c>
      <c r="C1" s="20" t="s">
        <v>181</v>
      </c>
      <c r="D1" s="20" t="s">
        <v>182</v>
      </c>
      <c r="E1" s="20" t="s">
        <v>183</v>
      </c>
      <c r="F1" s="19" t="s">
        <v>184</v>
      </c>
    </row>
    <row r="2" spans="1:6" ht="15.75" customHeight="1">
      <c r="A2" s="21" t="s">
        <v>185</v>
      </c>
      <c r="B2" s="21">
        <v>597</v>
      </c>
      <c r="D2">
        <v>610</v>
      </c>
    </row>
    <row r="3" spans="1:6" ht="15.75" customHeight="1">
      <c r="A3" s="21" t="s">
        <v>186</v>
      </c>
      <c r="B3" s="21" t="s">
        <v>187</v>
      </c>
      <c r="D3" t="s">
        <v>188</v>
      </c>
    </row>
    <row r="4" spans="1:6" ht="15.75" customHeight="1">
      <c r="A4" s="21" t="s">
        <v>189</v>
      </c>
      <c r="B4" s="21">
        <v>3.7039</v>
      </c>
      <c r="C4" s="5">
        <v>4.7</v>
      </c>
      <c r="D4">
        <v>1.2749999999999999</v>
      </c>
      <c r="E4" s="5">
        <v>4</v>
      </c>
      <c r="F4" t="s">
        <v>190</v>
      </c>
    </row>
    <row r="5" spans="1:6" ht="15.75" customHeight="1">
      <c r="A5" s="21" t="s">
        <v>191</v>
      </c>
      <c r="B5" s="21">
        <v>3.25872728745377E-2</v>
      </c>
      <c r="C5" s="5">
        <f>C7/(C4*1000)</f>
        <v>9.940425531914894E-2</v>
      </c>
      <c r="D5">
        <v>0.45568627450980398</v>
      </c>
      <c r="E5">
        <f>E7/(E4*1000)</f>
        <v>8.4000000000000005E-2</v>
      </c>
      <c r="F5" t="s">
        <v>192</v>
      </c>
    </row>
    <row r="6" spans="1:6" ht="15.75" customHeight="1">
      <c r="A6" s="21" t="s">
        <v>193</v>
      </c>
      <c r="B6" s="21">
        <v>-3.4238334694579602</v>
      </c>
      <c r="C6">
        <f>LN(C5)</f>
        <v>-2.3085603561841328</v>
      </c>
      <c r="D6">
        <v>-0.78595070074061502</v>
      </c>
      <c r="E6">
        <f>LN(E5)</f>
        <v>-2.4769384801388235</v>
      </c>
    </row>
    <row r="7" spans="1:6" ht="15.75" customHeight="1">
      <c r="A7" s="21" t="s">
        <v>194</v>
      </c>
      <c r="B7" s="22">
        <v>120.7</v>
      </c>
      <c r="C7" s="5">
        <v>467.2</v>
      </c>
      <c r="D7" s="23">
        <v>581</v>
      </c>
      <c r="E7" s="5">
        <v>336</v>
      </c>
      <c r="F7" t="s">
        <v>195</v>
      </c>
    </row>
    <row r="8" spans="1:6" ht="15.75" customHeight="1">
      <c r="A8" s="21" t="s">
        <v>196</v>
      </c>
      <c r="B8" s="21">
        <v>4.7933081281034902</v>
      </c>
      <c r="C8">
        <f>LN(C7)</f>
        <v>6.1467574315140174</v>
      </c>
      <c r="D8">
        <v>6.3647507568519099</v>
      </c>
      <c r="E8">
        <f>LN(E7)</f>
        <v>5.8171111599632042</v>
      </c>
    </row>
    <row r="9" spans="1:6" ht="15.75" customHeight="1">
      <c r="A9" s="21" t="s">
        <v>197</v>
      </c>
      <c r="B9" s="21">
        <v>46</v>
      </c>
      <c r="C9" s="5">
        <v>54</v>
      </c>
      <c r="D9" s="24">
        <v>74</v>
      </c>
      <c r="E9">
        <f>2017-1936</f>
        <v>81</v>
      </c>
      <c r="F9" t="s">
        <v>198</v>
      </c>
    </row>
    <row r="10" spans="1:6" ht="15.75" customHeight="1">
      <c r="A10" s="21" t="s">
        <v>199</v>
      </c>
      <c r="B10" s="21">
        <v>3.8286413964891</v>
      </c>
      <c r="C10">
        <f>LN(C9)</f>
        <v>3.9889840465642745</v>
      </c>
      <c r="D10">
        <v>4.3040650932041702</v>
      </c>
      <c r="E10">
        <f>LN(E9)</f>
        <v>4.3944491546724391</v>
      </c>
    </row>
    <row r="11" spans="1:6" ht="15.75" customHeight="1">
      <c r="A11" s="21" t="s">
        <v>200</v>
      </c>
      <c r="B11" s="21">
        <v>25070</v>
      </c>
      <c r="D11">
        <v>36700</v>
      </c>
    </row>
    <row r="12" spans="1:6" ht="15.75" customHeight="1">
      <c r="A12" s="21" t="s">
        <v>201</v>
      </c>
      <c r="B12" s="21">
        <v>3.6054978451748898</v>
      </c>
      <c r="C12" s="21"/>
      <c r="D12" s="24">
        <v>3.6988297849671001</v>
      </c>
    </row>
    <row r="13" spans="1:6" ht="15.75" customHeight="1">
      <c r="A13" s="21" t="s">
        <v>202</v>
      </c>
      <c r="B13" s="21">
        <v>0.30109127298524102</v>
      </c>
      <c r="C13" s="21"/>
      <c r="D13">
        <v>4.9774547298849304E-3</v>
      </c>
      <c r="F13" t="s">
        <v>203</v>
      </c>
    </row>
    <row r="14" spans="1:6" ht="15.75" customHeight="1">
      <c r="A14" s="21" t="s">
        <v>204</v>
      </c>
      <c r="B14" s="21" t="s">
        <v>205</v>
      </c>
      <c r="C14" s="21"/>
      <c r="D14" t="s">
        <v>206</v>
      </c>
    </row>
    <row r="15" spans="1:6" ht="15.75" customHeight="1">
      <c r="A15" s="21" t="s">
        <v>207</v>
      </c>
      <c r="B15" s="21">
        <v>4</v>
      </c>
      <c r="C15" s="21"/>
      <c r="D15">
        <v>3</v>
      </c>
    </row>
    <row r="16" spans="1:6" ht="15.75" customHeight="1">
      <c r="A16" s="21" t="s">
        <v>208</v>
      </c>
      <c r="B16" s="21">
        <v>0.4</v>
      </c>
      <c r="C16" s="21"/>
      <c r="D16" s="24">
        <v>0.33333333333333298</v>
      </c>
    </row>
    <row r="17" spans="1:25" ht="15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5.75" customHeight="1">
      <c r="A18" s="26" t="s">
        <v>209</v>
      </c>
      <c r="B18" s="21" t="s">
        <v>210</v>
      </c>
      <c r="C18" t="s">
        <v>211</v>
      </c>
      <c r="D18" s="21" t="s">
        <v>210</v>
      </c>
      <c r="E18" t="s">
        <v>211</v>
      </c>
      <c r="F18" t="s">
        <v>184</v>
      </c>
    </row>
    <row r="19" spans="1:25" ht="15.75" customHeight="1">
      <c r="A19" s="27" t="s">
        <v>212</v>
      </c>
      <c r="B19" s="28">
        <v>415.000471884467</v>
      </c>
      <c r="C19" s="28">
        <f>-169.73+241.86*C5+120.34*C8</f>
        <v>594.01270249988625</v>
      </c>
      <c r="D19" s="29">
        <v>706.446014694827</v>
      </c>
      <c r="E19" s="28">
        <f>-169.73+241.86*E5+120.34*E8</f>
        <v>550.61739698997201</v>
      </c>
      <c r="F19" s="28" t="s">
        <v>213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25" ht="15.75" customHeight="1">
      <c r="A20" s="21" t="s">
        <v>214</v>
      </c>
      <c r="B20" s="30">
        <v>0.61548992503981603</v>
      </c>
      <c r="C20" s="30">
        <f>EXP(-9.81-0.75*(C10)+1.18*(C6)+4.5*(B12))</f>
        <v>2.011540905593626</v>
      </c>
      <c r="D20">
        <v>14.698751401731201</v>
      </c>
      <c r="E20" s="30">
        <f>EXP(-9.81-0.75*(E10)+1.18*(E6)+4.5*(D12))</f>
        <v>1.8517104134756375</v>
      </c>
      <c r="F20" s="30" t="s">
        <v>215</v>
      </c>
    </row>
    <row r="21" spans="1:25" ht="15.75" customHeight="1">
      <c r="A21" s="31" t="s">
        <v>214</v>
      </c>
      <c r="B21" s="28">
        <f t="shared" ref="B21:E21" si="0">B20*34</f>
        <v>20.926657451353744</v>
      </c>
      <c r="C21" s="28">
        <f t="shared" si="0"/>
        <v>68.392390790183285</v>
      </c>
      <c r="D21" s="28">
        <f t="shared" si="0"/>
        <v>499.75754765886086</v>
      </c>
      <c r="E21" s="28">
        <f t="shared" si="0"/>
        <v>62.958154058171672</v>
      </c>
      <c r="F21" s="32" t="s">
        <v>216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1:25" ht="15.75" customHeight="1">
      <c r="A22" s="31" t="s">
        <v>217</v>
      </c>
      <c r="B22" s="28">
        <v>435.92712933582101</v>
      </c>
      <c r="C22" s="28">
        <f t="shared" ref="C22:E22" si="1">C19+34*C20</f>
        <v>662.40509329006954</v>
      </c>
      <c r="D22" s="28">
        <f t="shared" si="1"/>
        <v>1206.2035623536879</v>
      </c>
      <c r="E22" s="28">
        <f t="shared" si="1"/>
        <v>613.57555104814367</v>
      </c>
      <c r="F22" s="32" t="s">
        <v>216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25" ht="15.75" customHeight="1">
      <c r="A23" s="33" t="s">
        <v>218</v>
      </c>
      <c r="B23" s="30"/>
      <c r="C23" s="30">
        <f t="shared" ref="C23:E23" si="2">C19/(C5/1000)/365*12/44</f>
        <v>4465.0513833230243</v>
      </c>
      <c r="D23" s="30">
        <f t="shared" si="2"/>
        <v>1158.3738288679558</v>
      </c>
      <c r="E23" s="30">
        <f t="shared" si="2"/>
        <v>4897.8597846466109</v>
      </c>
      <c r="F23" s="34" t="s">
        <v>168</v>
      </c>
    </row>
    <row r="24" spans="1:25" ht="15.75" customHeight="1">
      <c r="A24" s="33" t="s">
        <v>219</v>
      </c>
      <c r="B24" s="30"/>
      <c r="C24" s="30">
        <f t="shared" ref="C24:E24" si="3">C20/(C5/1000)/365*12/16</f>
        <v>41.580747397597648</v>
      </c>
      <c r="D24" s="30">
        <f t="shared" si="3"/>
        <v>66.280060490441429</v>
      </c>
      <c r="E24" s="30">
        <f t="shared" si="3"/>
        <v>45.29624299108702</v>
      </c>
      <c r="F24" s="34" t="s">
        <v>168</v>
      </c>
    </row>
    <row r="25" spans="1:25" ht="15.75" customHeight="1">
      <c r="A25" s="31" t="s">
        <v>220</v>
      </c>
      <c r="B25" s="28"/>
      <c r="C25" s="28">
        <f t="shared" ref="C25:E25" si="4">C23*365/1000*44/12</f>
        <v>5975.7271013473137</v>
      </c>
      <c r="D25" s="28">
        <f t="shared" si="4"/>
        <v>1550.2903076349476</v>
      </c>
      <c r="E25" s="28">
        <f t="shared" si="4"/>
        <v>6554.9690117853816</v>
      </c>
      <c r="F25" s="32" t="s">
        <v>221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25" ht="15.75" customHeight="1">
      <c r="A26" s="31" t="s">
        <v>222</v>
      </c>
      <c r="B26" s="28"/>
      <c r="C26" s="28">
        <f t="shared" ref="C26:E26" si="5">C24*365/1000*16/12*34</f>
        <v>688.02276693891577</v>
      </c>
      <c r="D26" s="28">
        <f t="shared" si="5"/>
        <v>1096.7140675818375</v>
      </c>
      <c r="E26" s="28">
        <f t="shared" si="5"/>
        <v>749.50183402585321</v>
      </c>
      <c r="F26" s="32" t="s">
        <v>221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 ht="15.75" customHeight="1">
      <c r="A27" s="31" t="s">
        <v>223</v>
      </c>
      <c r="B27" s="28"/>
      <c r="C27" s="28">
        <f t="shared" ref="C27:E27" si="6">C25+C26</f>
        <v>6663.7498682862297</v>
      </c>
      <c r="D27" s="28">
        <f t="shared" si="6"/>
        <v>2647.0043752167849</v>
      </c>
      <c r="E27" s="28">
        <f t="shared" si="6"/>
        <v>7304.4708458112345</v>
      </c>
      <c r="F27" s="32" t="s">
        <v>221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1:25" ht="15.75" customHeight="1">
      <c r="A28" s="26" t="s">
        <v>224</v>
      </c>
      <c r="B28" s="35"/>
      <c r="C28" s="30"/>
      <c r="E28" s="30"/>
      <c r="F28" s="30"/>
    </row>
    <row r="29" spans="1:25" ht="15.75" customHeight="1">
      <c r="A29" s="21" t="s">
        <v>225</v>
      </c>
      <c r="B29" s="30">
        <f>13.4975533595792</f>
        <v>13.4975533595792</v>
      </c>
      <c r="C29" s="30">
        <f>C33/12*44*365*(C5/1000)</f>
        <v>36.866389208258212</v>
      </c>
      <c r="D29">
        <v>117.714407032141</v>
      </c>
      <c r="E29" s="30">
        <f>E33/12*44*365*(E5/1000)</f>
        <v>18.530218684577331</v>
      </c>
      <c r="F29" s="30" t="s">
        <v>213</v>
      </c>
    </row>
    <row r="30" spans="1:25" ht="15.75" customHeight="1">
      <c r="A30" s="21" t="s">
        <v>226</v>
      </c>
      <c r="B30" s="30">
        <v>1.35253127053264</v>
      </c>
      <c r="C30" s="30">
        <f>C34/12*16*365*(C5/1000)</f>
        <v>4.0305442771721349</v>
      </c>
      <c r="D30">
        <v>18.7157990830475</v>
      </c>
      <c r="E30" s="30">
        <f>E34/12*16*365*(E5/1000)</f>
        <v>2.2360671510060319</v>
      </c>
      <c r="F30" s="30" t="s">
        <v>215</v>
      </c>
    </row>
    <row r="31" spans="1:25" ht="15.75" customHeight="1">
      <c r="A31" s="33" t="s">
        <v>227</v>
      </c>
      <c r="B31" s="30"/>
      <c r="C31" s="30">
        <f>C30*34</f>
        <v>137.0385054238526</v>
      </c>
      <c r="E31" s="34">
        <f>E30*34</f>
        <v>76.026283134205087</v>
      </c>
      <c r="F31" s="34" t="s">
        <v>216</v>
      </c>
    </row>
    <row r="32" spans="1:25" ht="15.75" customHeight="1">
      <c r="A32" s="33" t="s">
        <v>228</v>
      </c>
      <c r="B32" s="30"/>
      <c r="C32" s="30">
        <f>C31+C29</f>
        <v>173.90489463211082</v>
      </c>
      <c r="E32" s="34">
        <f>E31+E29</f>
        <v>94.556501818782422</v>
      </c>
      <c r="F32" s="34" t="s">
        <v>216</v>
      </c>
    </row>
    <row r="33" spans="1:25" ht="15.75" customHeight="1">
      <c r="A33" s="33" t="s">
        <v>229</v>
      </c>
      <c r="B33" s="30">
        <f>B29*3.7/365/120.7*12/44*1000*1000</f>
        <v>309.16136214821819</v>
      </c>
      <c r="C33" s="30">
        <f>494.46-4.07*C9+8.09*B13</f>
        <v>277.11582839845056</v>
      </c>
      <c r="E33" s="34">
        <f>494.46-4.07*E9+8.09*D13</f>
        <v>164.83026760876473</v>
      </c>
      <c r="F33" s="34" t="s">
        <v>168</v>
      </c>
    </row>
    <row r="34" spans="1:25" ht="15.75" customHeight="1">
      <c r="A34" s="33" t="s">
        <v>230</v>
      </c>
      <c r="B34" s="30">
        <f>B30*3.7/365/120.7*12/16*1000*1000</f>
        <v>85.194227184530348</v>
      </c>
      <c r="C34" s="30">
        <f>EXP(-12.84-0.03*C9+0.21*C8-0.01*B13+4.88*B12)</f>
        <v>83.315752117140718</v>
      </c>
      <c r="E34" s="34">
        <f>EXP(-12.84-0.03*E9+0.21*E8-0.01*D13+4.88*D12)</f>
        <v>54.698315826957732</v>
      </c>
      <c r="F34" s="34" t="s">
        <v>168</v>
      </c>
    </row>
    <row r="35" spans="1:25" ht="15.75" customHeight="1">
      <c r="A35" s="31" t="s">
        <v>231</v>
      </c>
      <c r="B35" s="28">
        <v>59.483616557688798</v>
      </c>
      <c r="C35" s="28">
        <f>C33/1000*365*44/12</f>
        <v>370.87335033992628</v>
      </c>
      <c r="D35" s="29"/>
      <c r="E35" s="32">
        <f>E33/1000*365*44/12</f>
        <v>220.59784148306349</v>
      </c>
      <c r="F35" s="32" t="s">
        <v>170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25" ht="15.75" customHeight="1">
      <c r="A36" s="31" t="s">
        <v>232</v>
      </c>
      <c r="B36" s="36"/>
      <c r="C36" s="28">
        <f>C34/1000*365*16/12*34</f>
        <v>1378.597978364955</v>
      </c>
      <c r="D36" s="29"/>
      <c r="E36" s="32">
        <f>E34/1000*365*16/12*34</f>
        <v>905.07479921672723</v>
      </c>
      <c r="F36" s="32" t="s">
        <v>170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 spans="1:25" ht="15.75" customHeight="1">
      <c r="A37" s="31" t="s">
        <v>233</v>
      </c>
      <c r="B37" s="28"/>
      <c r="C37" s="28">
        <f>C35+C36</f>
        <v>1749.4713287048812</v>
      </c>
      <c r="D37" s="29"/>
      <c r="E37" s="32">
        <f>E35+E36</f>
        <v>1125.6726406997907</v>
      </c>
      <c r="F37" s="32" t="s">
        <v>170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ht="15.75" customHeight="1">
      <c r="A38" s="21"/>
      <c r="B38" s="30"/>
      <c r="C38" s="30"/>
      <c r="E38" s="30"/>
      <c r="F38" s="30"/>
    </row>
    <row r="39" spans="1:25" ht="15.75" customHeight="1">
      <c r="A39" s="21"/>
      <c r="B39" s="30"/>
      <c r="C39" s="34"/>
      <c r="E39" s="30"/>
      <c r="F39" s="30"/>
    </row>
    <row r="40" spans="1:25" ht="15.75" customHeight="1">
      <c r="A40" s="21"/>
      <c r="B40" s="30"/>
      <c r="C40" s="30"/>
      <c r="E40" s="30"/>
      <c r="F40" s="30"/>
    </row>
    <row r="41" spans="1:25" ht="15.75" customHeight="1">
      <c r="A41" s="21"/>
      <c r="B41" s="30"/>
      <c r="C41" s="30"/>
      <c r="E41" s="30"/>
      <c r="F41" s="30"/>
    </row>
    <row r="42" spans="1:25" ht="15.75" customHeight="1">
      <c r="A42" s="21"/>
      <c r="B42" s="30"/>
      <c r="C42" s="30"/>
      <c r="E42" s="30"/>
      <c r="F42" s="30"/>
    </row>
    <row r="43" spans="1:25" ht="15.75" customHeight="1">
      <c r="A43" s="21"/>
      <c r="B43" s="30"/>
      <c r="C43" s="30"/>
      <c r="E43" s="30"/>
      <c r="F43" s="30"/>
    </row>
    <row r="44" spans="1:25" ht="15.75" customHeight="1"/>
    <row r="45" spans="1:25" ht="15.75" customHeight="1"/>
    <row r="46" spans="1:25" ht="15.75" customHeight="1"/>
    <row r="47" spans="1:25" ht="15.75" customHeight="1"/>
    <row r="48" spans="1:25" ht="15.75" customHeight="1"/>
    <row r="49" spans="2:2" ht="15.75" customHeight="1"/>
    <row r="50" spans="2:2" ht="15.75" customHeight="1">
      <c r="B50" s="21"/>
    </row>
    <row r="51" spans="2:2" ht="15.75" customHeight="1">
      <c r="B51" s="21"/>
    </row>
    <row r="52" spans="2:2" ht="15.75" customHeight="1">
      <c r="B52" s="21"/>
    </row>
    <row r="53" spans="2:2" ht="15.75" customHeight="1">
      <c r="B53" s="21"/>
    </row>
    <row r="54" spans="2:2" ht="15.75" customHeight="1">
      <c r="B54" s="21"/>
    </row>
    <row r="55" spans="2:2" ht="15.75" customHeight="1"/>
    <row r="56" spans="2:2" ht="15.75" customHeight="1"/>
    <row r="57" spans="2:2" ht="15.75" customHeight="1"/>
    <row r="58" spans="2:2" ht="15.75" customHeight="1"/>
    <row r="59" spans="2:2" ht="15.75" customHeight="1"/>
    <row r="60" spans="2:2" ht="15.75" customHeight="1"/>
    <row r="61" spans="2:2" ht="15.75" customHeight="1"/>
    <row r="62" spans="2:2" ht="15.75" customHeight="1"/>
    <row r="63" spans="2:2" ht="15.75" customHeight="1"/>
    <row r="64" spans="2: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A26"/>
  <sheetViews>
    <sheetView workbookViewId="0">
      <selection activeCell="E20" sqref="E20"/>
    </sheetView>
  </sheetViews>
  <sheetFormatPr defaultColWidth="14.42578125" defaultRowHeight="15" customHeight="1"/>
  <cols>
    <col min="1" max="1" width="16" customWidth="1"/>
    <col min="2" max="2" width="26.7109375" customWidth="1"/>
    <col min="3" max="3" width="15.42578125" customWidth="1"/>
    <col min="4" max="4" width="15.28515625" customWidth="1"/>
    <col min="5" max="5" width="22.42578125" customWidth="1"/>
  </cols>
  <sheetData>
    <row r="1" spans="1:27">
      <c r="A1" s="5">
        <v>2013</v>
      </c>
    </row>
    <row r="3" spans="1:27">
      <c r="A3" s="19"/>
      <c r="B3" s="37" t="s">
        <v>234</v>
      </c>
      <c r="C3" s="20" t="s">
        <v>235</v>
      </c>
      <c r="D3" s="20" t="s">
        <v>236</v>
      </c>
      <c r="E3" s="37" t="s">
        <v>237</v>
      </c>
      <c r="F3" s="20" t="s">
        <v>235</v>
      </c>
      <c r="G3" s="20" t="s">
        <v>236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>
      <c r="A4" s="5" t="s">
        <v>238</v>
      </c>
      <c r="B4" s="5">
        <v>0.8</v>
      </c>
      <c r="C4" s="5">
        <v>-1.8</v>
      </c>
      <c r="D4" s="5">
        <v>3.8</v>
      </c>
      <c r="E4" s="5">
        <v>0.18</v>
      </c>
      <c r="F4" s="5">
        <v>-0.5</v>
      </c>
      <c r="G4" s="5">
        <v>0.87</v>
      </c>
    </row>
    <row r="5" spans="1:27">
      <c r="A5" s="5" t="s">
        <v>239</v>
      </c>
      <c r="B5" s="5">
        <v>0.97</v>
      </c>
      <c r="C5" s="5">
        <v>0.84</v>
      </c>
      <c r="D5" s="5">
        <v>1.1100000000000001</v>
      </c>
      <c r="E5" s="5">
        <v>1.26</v>
      </c>
      <c r="F5" s="5">
        <v>1.07</v>
      </c>
      <c r="G5" s="5">
        <v>1.44</v>
      </c>
    </row>
    <row r="6" spans="1:27">
      <c r="A6" s="5" t="s">
        <v>240</v>
      </c>
      <c r="B6" s="5">
        <v>-6.0000000000000001E-3</v>
      </c>
      <c r="C6" s="5">
        <v>-1.0999999999999999E-2</v>
      </c>
      <c r="D6" s="5">
        <v>-8.9999999999999998E-4</v>
      </c>
      <c r="E6" s="5">
        <v>-1.4E-2</v>
      </c>
      <c r="F6" s="5">
        <v>-2.1999999999999999E-2</v>
      </c>
      <c r="G6" s="5">
        <v>-6.0000000000000001E-3</v>
      </c>
    </row>
    <row r="7" spans="1:27">
      <c r="A7" s="5" t="s">
        <v>241</v>
      </c>
      <c r="B7" s="5">
        <v>0.73699999999999999</v>
      </c>
      <c r="C7" s="5">
        <v>-0.16</v>
      </c>
      <c r="D7" s="5">
        <v>1.64</v>
      </c>
      <c r="E7" s="5">
        <v>1.6999999999999999E-3</v>
      </c>
      <c r="F7" s="5">
        <v>0</v>
      </c>
      <c r="G7" s="5">
        <v>2.3999999999999998E-3</v>
      </c>
    </row>
    <row r="9" spans="1:27">
      <c r="A9" s="5" t="s">
        <v>242</v>
      </c>
      <c r="B9" s="5" t="s">
        <v>243</v>
      </c>
      <c r="C9" s="5" t="s">
        <v>244</v>
      </c>
      <c r="D9" s="5" t="s">
        <v>245</v>
      </c>
      <c r="E9" s="5" t="s">
        <v>235</v>
      </c>
      <c r="F9" s="5" t="s">
        <v>236</v>
      </c>
      <c r="G9" s="5" t="s">
        <v>246</v>
      </c>
      <c r="H9" s="5" t="s">
        <v>235</v>
      </c>
      <c r="I9" s="5" t="s">
        <v>236</v>
      </c>
    </row>
    <row r="10" spans="1:27">
      <c r="A10" s="5" t="s">
        <v>194</v>
      </c>
      <c r="B10" s="5" t="s">
        <v>247</v>
      </c>
      <c r="C10" s="5" t="s">
        <v>195</v>
      </c>
      <c r="D10" s="5">
        <v>467.3</v>
      </c>
      <c r="G10" s="5">
        <v>336</v>
      </c>
    </row>
    <row r="11" spans="1:27">
      <c r="A11" s="5" t="s">
        <v>194</v>
      </c>
      <c r="B11" s="5" t="s">
        <v>247</v>
      </c>
      <c r="C11" s="5" t="s">
        <v>248</v>
      </c>
      <c r="D11" s="5">
        <f>D10*1000*1000</f>
        <v>467300000</v>
      </c>
      <c r="G11">
        <f>G10*10^6</f>
        <v>336000000</v>
      </c>
    </row>
    <row r="12" spans="1:27">
      <c r="A12" s="5" t="s">
        <v>249</v>
      </c>
      <c r="B12" s="5" t="s">
        <v>250</v>
      </c>
      <c r="C12" s="5" t="s">
        <v>190</v>
      </c>
      <c r="D12" s="5">
        <v>4.7</v>
      </c>
      <c r="G12" s="5">
        <v>4</v>
      </c>
    </row>
    <row r="13" spans="1:27">
      <c r="A13" s="5" t="s">
        <v>249</v>
      </c>
      <c r="B13" s="5" t="s">
        <v>250</v>
      </c>
      <c r="C13" s="5" t="s">
        <v>251</v>
      </c>
      <c r="D13" s="5">
        <f>D12*10^9</f>
        <v>4700000000</v>
      </c>
      <c r="G13">
        <f>G12*10^9</f>
        <v>4000000000</v>
      </c>
    </row>
    <row r="14" spans="1:27">
      <c r="A14" s="5" t="s">
        <v>252</v>
      </c>
      <c r="B14" s="5" t="s">
        <v>253</v>
      </c>
      <c r="C14" s="5" t="s">
        <v>254</v>
      </c>
      <c r="D14">
        <f>D11/D13</f>
        <v>9.9425531914893617E-2</v>
      </c>
      <c r="G14">
        <f>G11/G13</f>
        <v>8.4000000000000005E-2</v>
      </c>
    </row>
    <row r="15" spans="1:27">
      <c r="A15" s="5" t="s">
        <v>255</v>
      </c>
      <c r="B15" s="5" t="s">
        <v>256</v>
      </c>
      <c r="C15" s="5" t="s">
        <v>257</v>
      </c>
      <c r="D15">
        <f>LOG(D14, 10)</f>
        <v>-1.0025020769114041</v>
      </c>
      <c r="G15">
        <f>LOG(G14, 10)</f>
        <v>-1.0757207139381182</v>
      </c>
    </row>
    <row r="16" spans="1:27">
      <c r="A16" s="5" t="s">
        <v>197</v>
      </c>
      <c r="B16" s="5" t="s">
        <v>258</v>
      </c>
      <c r="C16" s="5" t="s">
        <v>259</v>
      </c>
      <c r="D16" s="5">
        <v>54</v>
      </c>
      <c r="G16" s="5">
        <v>81</v>
      </c>
    </row>
    <row r="17" spans="1:9">
      <c r="A17" s="5" t="s">
        <v>260</v>
      </c>
      <c r="B17" s="5" t="s">
        <v>261</v>
      </c>
      <c r="C17" s="5" t="s">
        <v>262</v>
      </c>
      <c r="D17" s="5">
        <v>100</v>
      </c>
      <c r="G17" s="5">
        <v>100</v>
      </c>
    </row>
    <row r="18" spans="1:9">
      <c r="A18" s="5" t="s">
        <v>263</v>
      </c>
      <c r="B18" s="5" t="s">
        <v>264</v>
      </c>
      <c r="C18" s="5" t="s">
        <v>265</v>
      </c>
      <c r="D18" s="38">
        <f>10^(B4+(B5*LOG($D$14,10))+(B6*$D$16)+(B7*LOG($D$17,10)))</f>
        <v>9.4967058276262541</v>
      </c>
      <c r="E18" s="38">
        <f>10^(C4+(C5*LOG($D$14,10))+(C6*$D$16)+C7*LOG($D$17,10))</f>
        <v>2.7790621250084344E-4</v>
      </c>
      <c r="F18" s="38">
        <f>10^(D4+(D5*LOG($D$14,10))+(D6*$D$16)+(D7*LOG($D$17,10)))</f>
        <v>829130.12473764562</v>
      </c>
      <c r="G18" s="39">
        <f t="shared" ref="G18:I18" si="0">10^(B4+(B5*LOG($G$14,10))+(B6*$G$16)+(B7*LOG($G$17,10)))</f>
        <v>5.5532970838912057</v>
      </c>
      <c r="H18" s="39">
        <f t="shared" si="0"/>
        <v>1.2172915303251926E-4</v>
      </c>
      <c r="I18" s="39">
        <f t="shared" si="0"/>
        <v>650204.55487016949</v>
      </c>
    </row>
    <row r="19" spans="1:9">
      <c r="A19" s="5" t="s">
        <v>266</v>
      </c>
      <c r="B19" s="5" t="s">
        <v>264</v>
      </c>
      <c r="C19" s="5" t="s">
        <v>267</v>
      </c>
      <c r="D19" s="38">
        <f>10^(E4+E5*LOG($D$14,10)+E6*$D$16+E7*LOG($D$17,10))</f>
        <v>1.4596454676713222E-2</v>
      </c>
      <c r="E19" s="38">
        <f t="shared" ref="E19:F19" si="1">10^(F4+F5*LOG($D$14,10)+(F6*$D$16)+F7*LOG($D$17,10))</f>
        <v>1.735093079969134E-3</v>
      </c>
      <c r="F19" s="38">
        <f t="shared" si="1"/>
        <v>0.12799618022665896</v>
      </c>
      <c r="G19" s="38">
        <f t="shared" ref="G19:I19" si="2">10^(E4+E5*LOG($G$14,10)+E6*$G$16+E7*LOG($G$17,10))</f>
        <v>4.9430146821270032E-3</v>
      </c>
      <c r="H19" s="38">
        <f t="shared" si="2"/>
        <v>3.6895961809804955E-4</v>
      </c>
      <c r="I19" s="38">
        <f t="shared" si="2"/>
        <v>6.9145221459460754E-2</v>
      </c>
    </row>
    <row r="20" spans="1:9">
      <c r="A20" s="5" t="s">
        <v>263</v>
      </c>
      <c r="B20" s="5" t="s">
        <v>268</v>
      </c>
      <c r="C20" s="5" t="s">
        <v>269</v>
      </c>
      <c r="D20" s="38">
        <f t="shared" ref="D20:I20" si="3">D18</f>
        <v>9.4967058276262541</v>
      </c>
      <c r="E20" s="41">
        <f t="shared" si="3"/>
        <v>2.7790621250084344E-4</v>
      </c>
      <c r="F20" s="41">
        <f t="shared" si="3"/>
        <v>829130.12473764562</v>
      </c>
      <c r="G20" s="38">
        <f t="shared" si="3"/>
        <v>5.5532970838912057</v>
      </c>
      <c r="H20" s="38">
        <f t="shared" si="3"/>
        <v>1.2172915303251926E-4</v>
      </c>
      <c r="I20" s="38">
        <f t="shared" si="3"/>
        <v>650204.55487016949</v>
      </c>
    </row>
    <row r="21" spans="1:9">
      <c r="A21" s="5" t="s">
        <v>266</v>
      </c>
      <c r="B21" s="5" t="s">
        <v>268</v>
      </c>
      <c r="C21" s="5" t="s">
        <v>269</v>
      </c>
      <c r="D21" s="38">
        <f t="shared" ref="D21:I21" si="4">D19*34</f>
        <v>0.49627945900824955</v>
      </c>
      <c r="E21" s="41">
        <f t="shared" si="4"/>
        <v>5.899316471895056E-2</v>
      </c>
      <c r="F21" s="41">
        <f t="shared" si="4"/>
        <v>4.3518701277064045</v>
      </c>
      <c r="G21" s="38">
        <f t="shared" si="4"/>
        <v>0.16806249919231811</v>
      </c>
      <c r="H21" s="38">
        <f t="shared" si="4"/>
        <v>1.2544627015333685E-2</v>
      </c>
      <c r="I21" s="38">
        <f t="shared" si="4"/>
        <v>2.3509375296216657</v>
      </c>
    </row>
    <row r="22" spans="1:9">
      <c r="A22" s="5" t="s">
        <v>270</v>
      </c>
      <c r="B22" s="5" t="s">
        <v>271</v>
      </c>
      <c r="C22" s="5" t="s">
        <v>272</v>
      </c>
      <c r="D22" s="38">
        <f t="shared" ref="D22:I22" si="5">D18*$D$13/$D$11</f>
        <v>95.51576586741578</v>
      </c>
      <c r="E22" s="38">
        <f t="shared" si="5"/>
        <v>2.7951191927112437E-3</v>
      </c>
      <c r="F22" s="38">
        <f t="shared" si="5"/>
        <v>8339207.3320499351</v>
      </c>
      <c r="G22" s="38">
        <f t="shared" si="5"/>
        <v>55.853833285445468</v>
      </c>
      <c r="H22" s="38">
        <f t="shared" si="5"/>
        <v>1.2243248860535857E-3</v>
      </c>
      <c r="I22" s="38">
        <f t="shared" si="5"/>
        <v>6539613.5413862541</v>
      </c>
    </row>
    <row r="23" spans="1:9">
      <c r="A23" s="5" t="s">
        <v>273</v>
      </c>
      <c r="B23" s="5" t="s">
        <v>271</v>
      </c>
      <c r="C23" s="5" t="s">
        <v>274</v>
      </c>
      <c r="D23" s="38">
        <f t="shared" ref="D23:I23" si="6">D19*$D$13/$D$11</f>
        <v>0.14680791136433155</v>
      </c>
      <c r="E23" s="38">
        <f t="shared" si="6"/>
        <v>1.7451182272319558E-2</v>
      </c>
      <c r="F23" s="38">
        <f t="shared" si="6"/>
        <v>1.2873572588600408</v>
      </c>
      <c r="G23" s="38">
        <f t="shared" si="6"/>
        <v>4.971574792637902E-2</v>
      </c>
      <c r="H23" s="38">
        <f t="shared" si="6"/>
        <v>3.7109141987178105E-3</v>
      </c>
      <c r="I23" s="38">
        <f t="shared" si="6"/>
        <v>0.69544733759782906</v>
      </c>
    </row>
    <row r="24" spans="1:9">
      <c r="A24" s="5" t="s">
        <v>270</v>
      </c>
      <c r="B24" s="5" t="s">
        <v>271</v>
      </c>
      <c r="C24" s="5" t="s">
        <v>275</v>
      </c>
      <c r="D24" s="38">
        <f t="shared" ref="D24:I24" si="7">D22*1000/365</f>
        <v>261.68702977374187</v>
      </c>
      <c r="E24" s="38">
        <f t="shared" si="7"/>
        <v>7.6578608019486124E-3</v>
      </c>
      <c r="F24" s="38">
        <f t="shared" si="7"/>
        <v>22847143.375479273</v>
      </c>
      <c r="G24" s="38">
        <f t="shared" si="7"/>
        <v>153.02420078204239</v>
      </c>
      <c r="H24" s="38">
        <f t="shared" si="7"/>
        <v>3.354314756311194E-3</v>
      </c>
      <c r="I24" s="38">
        <f t="shared" si="7"/>
        <v>17916749.428455491</v>
      </c>
    </row>
    <row r="25" spans="1:9">
      <c r="A25" s="5" t="s">
        <v>273</v>
      </c>
      <c r="B25" s="5" t="s">
        <v>271</v>
      </c>
      <c r="C25" s="5" t="s">
        <v>276</v>
      </c>
      <c r="D25" s="38">
        <f t="shared" ref="D25:I25" si="8">D23*1000/365</f>
        <v>0.40221345579268919</v>
      </c>
      <c r="E25" s="38">
        <f t="shared" si="8"/>
        <v>4.7811458280327561E-2</v>
      </c>
      <c r="F25" s="38">
        <f t="shared" si="8"/>
        <v>3.5270061886576465</v>
      </c>
      <c r="G25" s="38">
        <f t="shared" si="8"/>
        <v>0.13620752856542195</v>
      </c>
      <c r="H25" s="38">
        <f t="shared" si="8"/>
        <v>1.0166888215665235E-2</v>
      </c>
      <c r="I25" s="38">
        <f t="shared" si="8"/>
        <v>1.9053351715009017</v>
      </c>
    </row>
    <row r="26" spans="1:9">
      <c r="A26" s="5" t="s">
        <v>273</v>
      </c>
      <c r="B26" s="5" t="s">
        <v>277</v>
      </c>
      <c r="C26" s="5" t="s">
        <v>272</v>
      </c>
      <c r="D26" s="38">
        <f t="shared" ref="D26:I26" si="9">D23*34</f>
        <v>4.9914689863872725</v>
      </c>
      <c r="E26" s="38">
        <f t="shared" si="9"/>
        <v>0.593340197258865</v>
      </c>
      <c r="F26" s="38">
        <f t="shared" si="9"/>
        <v>43.770146801241388</v>
      </c>
      <c r="G26" s="38">
        <f t="shared" si="9"/>
        <v>1.6903354294968866</v>
      </c>
      <c r="H26" s="38">
        <f t="shared" si="9"/>
        <v>0.12617108275640557</v>
      </c>
      <c r="I26" s="38">
        <f t="shared" si="9"/>
        <v>23.645209478326187</v>
      </c>
    </row>
  </sheetData>
  <conditionalFormatting sqref="E20:F21">
    <cfRule type="notContainsBlanks" dxfId="0" priority="1">
      <formula>LEN(TRIM(E20))&gt;0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F5E50-31B2-482A-9148-623950795662}">
  <dimension ref="A1:C10"/>
  <sheetViews>
    <sheetView workbookViewId="0">
      <selection activeCell="C14" sqref="C14"/>
    </sheetView>
  </sheetViews>
  <sheetFormatPr defaultColWidth="38.7109375" defaultRowHeight="15"/>
  <sheetData>
    <row r="1" spans="1:3">
      <c r="A1" t="s">
        <v>278</v>
      </c>
    </row>
    <row r="2" spans="1:3" s="40" customFormat="1"/>
    <row r="3" spans="1:3">
      <c r="A3" t="s">
        <v>279</v>
      </c>
      <c r="B3" t="s">
        <v>280</v>
      </c>
      <c r="C3" t="s">
        <v>281</v>
      </c>
    </row>
    <row r="5" spans="1:3">
      <c r="A5" t="s">
        <v>282</v>
      </c>
      <c r="B5" t="s">
        <v>283</v>
      </c>
      <c r="C5">
        <v>0.11</v>
      </c>
    </row>
    <row r="6" spans="1:3">
      <c r="A6" t="s">
        <v>286</v>
      </c>
      <c r="B6" t="s">
        <v>287</v>
      </c>
      <c r="C6">
        <v>0.14000000000000001</v>
      </c>
    </row>
    <row r="7" spans="1:3">
      <c r="A7" t="s">
        <v>284</v>
      </c>
      <c r="B7" t="s">
        <v>285</v>
      </c>
      <c r="C7">
        <v>0</v>
      </c>
    </row>
    <row r="8" spans="1:3">
      <c r="A8" t="s">
        <v>288</v>
      </c>
      <c r="B8" t="s">
        <v>289</v>
      </c>
      <c r="C8">
        <v>9.2799999999999994</v>
      </c>
    </row>
    <row r="9" spans="1:3">
      <c r="A9" t="s">
        <v>290</v>
      </c>
      <c r="B9" t="s">
        <v>291</v>
      </c>
      <c r="C9">
        <v>0</v>
      </c>
    </row>
    <row r="10" spans="1:3">
      <c r="A10" t="s">
        <v>292</v>
      </c>
      <c r="B10" t="s">
        <v>293</v>
      </c>
      <c r="C10">
        <v>0.1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DF783-CF5C-4F26-9B90-A94C40B58EB3}">
  <dimension ref="A1:F34"/>
  <sheetViews>
    <sheetView tabSelected="1" workbookViewId="0">
      <selection activeCell="C5" sqref="C5"/>
    </sheetView>
  </sheetViews>
  <sheetFormatPr defaultRowHeight="15"/>
  <sheetData>
    <row r="1" spans="1:6">
      <c r="A1" t="s">
        <v>327</v>
      </c>
    </row>
    <row r="2" spans="1:6">
      <c r="A2" t="s">
        <v>328</v>
      </c>
    </row>
    <row r="3" spans="1:6" s="40" customFormat="1">
      <c r="A3" s="40" t="s">
        <v>329</v>
      </c>
    </row>
    <row r="4" spans="1:6" s="40" customFormat="1">
      <c r="A4" s="40" t="s">
        <v>330</v>
      </c>
    </row>
    <row r="6" spans="1:6">
      <c r="A6" t="s">
        <v>311</v>
      </c>
      <c r="B6" t="s">
        <v>322</v>
      </c>
      <c r="C6" t="s">
        <v>323</v>
      </c>
      <c r="D6" t="s">
        <v>324</v>
      </c>
      <c r="E6" t="s">
        <v>325</v>
      </c>
      <c r="F6" t="s">
        <v>326</v>
      </c>
    </row>
    <row r="7" spans="1:6">
      <c r="A7" t="s">
        <v>312</v>
      </c>
      <c r="B7" t="s">
        <v>294</v>
      </c>
      <c r="C7">
        <v>31.6</v>
      </c>
      <c r="D7">
        <v>0.03</v>
      </c>
      <c r="E7">
        <v>0</v>
      </c>
      <c r="F7">
        <v>0.03</v>
      </c>
    </row>
    <row r="8" spans="1:6">
      <c r="A8" t="s">
        <v>313</v>
      </c>
      <c r="B8" t="s">
        <v>294</v>
      </c>
      <c r="C8">
        <v>28.1</v>
      </c>
      <c r="D8">
        <v>0.03</v>
      </c>
      <c r="E8">
        <v>0</v>
      </c>
      <c r="F8">
        <v>0.03</v>
      </c>
    </row>
    <row r="9" spans="1:6">
      <c r="A9" t="s">
        <v>314</v>
      </c>
      <c r="B9" t="s">
        <v>294</v>
      </c>
      <c r="C9">
        <v>26.6</v>
      </c>
      <c r="D9">
        <v>0.02</v>
      </c>
      <c r="E9">
        <v>0</v>
      </c>
      <c r="F9">
        <v>0.02</v>
      </c>
    </row>
    <row r="10" spans="1:6">
      <c r="A10" t="s">
        <v>315</v>
      </c>
      <c r="B10" t="s">
        <v>294</v>
      </c>
      <c r="C10">
        <v>-0.1</v>
      </c>
      <c r="D10">
        <v>0.04</v>
      </c>
      <c r="E10">
        <v>0</v>
      </c>
      <c r="F10">
        <v>0.04</v>
      </c>
    </row>
    <row r="11" spans="1:6">
      <c r="A11" t="s">
        <v>282</v>
      </c>
      <c r="B11" t="s">
        <v>294</v>
      </c>
      <c r="C11">
        <v>28.9</v>
      </c>
      <c r="D11">
        <v>0.05</v>
      </c>
      <c r="E11">
        <v>0</v>
      </c>
      <c r="F11">
        <v>0.05</v>
      </c>
    </row>
    <row r="12" spans="1:6">
      <c r="A12" t="s">
        <v>316</v>
      </c>
      <c r="B12" t="s">
        <v>294</v>
      </c>
      <c r="C12">
        <v>3.7</v>
      </c>
      <c r="D12">
        <v>0.06</v>
      </c>
      <c r="E12">
        <v>0</v>
      </c>
      <c r="F12">
        <v>0.06</v>
      </c>
    </row>
    <row r="13" spans="1:6">
      <c r="A13" t="s">
        <v>317</v>
      </c>
      <c r="B13" t="s">
        <v>294</v>
      </c>
      <c r="C13">
        <v>1.6</v>
      </c>
      <c r="D13">
        <v>0.04</v>
      </c>
      <c r="E13">
        <v>0</v>
      </c>
      <c r="F13">
        <v>0.04</v>
      </c>
    </row>
    <row r="14" spans="1:6">
      <c r="A14" t="s">
        <v>318</v>
      </c>
      <c r="B14" t="s">
        <v>294</v>
      </c>
      <c r="C14">
        <v>-17.100000000000001</v>
      </c>
      <c r="D14">
        <v>0.11</v>
      </c>
      <c r="E14">
        <v>0</v>
      </c>
      <c r="F14">
        <v>0.11</v>
      </c>
    </row>
    <row r="15" spans="1:6">
      <c r="A15" t="s">
        <v>319</v>
      </c>
      <c r="B15" t="s">
        <v>294</v>
      </c>
      <c r="C15">
        <v>-12.2</v>
      </c>
      <c r="D15">
        <v>0.09</v>
      </c>
      <c r="E15">
        <v>0</v>
      </c>
      <c r="F15">
        <v>0.09</v>
      </c>
    </row>
    <row r="16" spans="1:6">
      <c r="A16" t="s">
        <v>320</v>
      </c>
      <c r="B16" t="s">
        <v>294</v>
      </c>
      <c r="C16">
        <v>-24.1</v>
      </c>
      <c r="D16">
        <v>7.0000000000000007E-2</v>
      </c>
      <c r="E16">
        <v>0</v>
      </c>
      <c r="F16">
        <v>7.0000000000000007E-2</v>
      </c>
    </row>
    <row r="17" spans="1:6">
      <c r="A17" t="s">
        <v>321</v>
      </c>
      <c r="B17" t="s">
        <v>294</v>
      </c>
      <c r="C17">
        <v>-4.5</v>
      </c>
      <c r="D17">
        <v>0.06</v>
      </c>
      <c r="E17">
        <v>0</v>
      </c>
      <c r="F17">
        <v>0.06</v>
      </c>
    </row>
    <row r="18" spans="1:6">
      <c r="A18" t="s">
        <v>286</v>
      </c>
      <c r="B18" t="s">
        <v>294</v>
      </c>
      <c r="C18">
        <v>-12.1</v>
      </c>
      <c r="D18">
        <v>0.45</v>
      </c>
      <c r="E18">
        <v>0.05</v>
      </c>
      <c r="F18">
        <v>0.5</v>
      </c>
    </row>
    <row r="19" spans="1:6">
      <c r="A19" t="s">
        <v>295</v>
      </c>
      <c r="B19" t="s">
        <v>294</v>
      </c>
      <c r="C19">
        <v>-1.2</v>
      </c>
      <c r="D19">
        <v>0.04</v>
      </c>
      <c r="E19">
        <v>0</v>
      </c>
      <c r="F19">
        <v>0.04</v>
      </c>
    </row>
    <row r="20" spans="1:6">
      <c r="A20" t="s">
        <v>296</v>
      </c>
      <c r="B20" t="s">
        <v>294</v>
      </c>
      <c r="C20">
        <v>1.9</v>
      </c>
      <c r="D20">
        <v>0.19</v>
      </c>
      <c r="E20">
        <v>0</v>
      </c>
      <c r="F20">
        <v>0.19</v>
      </c>
    </row>
    <row r="21" spans="1:6">
      <c r="A21" t="s">
        <v>297</v>
      </c>
      <c r="B21" t="s">
        <v>298</v>
      </c>
      <c r="C21">
        <v>30.2</v>
      </c>
      <c r="D21">
        <v>5.72</v>
      </c>
      <c r="E21">
        <v>0</v>
      </c>
      <c r="F21">
        <v>5.72</v>
      </c>
    </row>
    <row r="22" spans="1:6">
      <c r="A22" t="s">
        <v>299</v>
      </c>
      <c r="B22" t="s">
        <v>298</v>
      </c>
      <c r="C22">
        <v>-3.9</v>
      </c>
      <c r="D22">
        <v>0.21</v>
      </c>
      <c r="E22">
        <v>0</v>
      </c>
      <c r="F22">
        <v>0.21</v>
      </c>
    </row>
    <row r="23" spans="1:6">
      <c r="A23" t="s">
        <v>288</v>
      </c>
      <c r="B23" t="s">
        <v>294</v>
      </c>
      <c r="C23">
        <v>-1.8</v>
      </c>
      <c r="D23">
        <v>0.04</v>
      </c>
      <c r="E23">
        <v>0</v>
      </c>
      <c r="F23">
        <v>0.04</v>
      </c>
    </row>
    <row r="24" spans="1:6">
      <c r="A24" t="s">
        <v>300</v>
      </c>
      <c r="B24" t="s">
        <v>298</v>
      </c>
      <c r="C24">
        <v>33.200000000000003</v>
      </c>
      <c r="D24">
        <v>0.14000000000000001</v>
      </c>
      <c r="E24">
        <v>12.57</v>
      </c>
      <c r="F24">
        <v>12.71</v>
      </c>
    </row>
    <row r="25" spans="1:6">
      <c r="A25" t="s">
        <v>301</v>
      </c>
      <c r="B25" t="s">
        <v>298</v>
      </c>
      <c r="C25">
        <v>117.2</v>
      </c>
      <c r="D25">
        <v>2.19</v>
      </c>
      <c r="E25">
        <v>2.99</v>
      </c>
      <c r="F25">
        <v>5.18</v>
      </c>
    </row>
    <row r="26" spans="1:6">
      <c r="A26" t="s">
        <v>302</v>
      </c>
      <c r="B26" t="s">
        <v>294</v>
      </c>
      <c r="C26">
        <v>-2.7</v>
      </c>
      <c r="D26">
        <v>0.03</v>
      </c>
      <c r="E26">
        <v>0</v>
      </c>
      <c r="F26">
        <v>0.03</v>
      </c>
    </row>
    <row r="27" spans="1:6">
      <c r="A27" t="s">
        <v>303</v>
      </c>
      <c r="B27" t="s">
        <v>294</v>
      </c>
      <c r="C27">
        <v>21.7</v>
      </c>
      <c r="D27">
        <v>7.0000000000000007E-2</v>
      </c>
      <c r="E27">
        <v>0</v>
      </c>
      <c r="F27">
        <v>7.0000000000000007E-2</v>
      </c>
    </row>
    <row r="28" spans="1:6">
      <c r="A28" t="s">
        <v>304</v>
      </c>
      <c r="B28" t="s">
        <v>298</v>
      </c>
      <c r="C28">
        <v>37.4</v>
      </c>
      <c r="D28">
        <v>1.85</v>
      </c>
      <c r="E28">
        <v>22.35</v>
      </c>
      <c r="F28">
        <v>24.2</v>
      </c>
    </row>
    <row r="29" spans="1:6">
      <c r="A29" t="s">
        <v>305</v>
      </c>
      <c r="B29" t="s">
        <v>298</v>
      </c>
      <c r="C29">
        <v>28.3</v>
      </c>
      <c r="D29">
        <v>1.07</v>
      </c>
      <c r="E29">
        <v>0</v>
      </c>
      <c r="F29">
        <v>1.07</v>
      </c>
    </row>
    <row r="30" spans="1:6">
      <c r="A30" t="s">
        <v>306</v>
      </c>
      <c r="B30" t="s">
        <v>294</v>
      </c>
      <c r="C30">
        <v>-0.9</v>
      </c>
      <c r="D30">
        <v>0.06</v>
      </c>
      <c r="E30">
        <v>0</v>
      </c>
      <c r="F30">
        <v>0.06</v>
      </c>
    </row>
    <row r="31" spans="1:6">
      <c r="A31" t="s">
        <v>307</v>
      </c>
      <c r="B31" t="s">
        <v>294</v>
      </c>
      <c r="C31">
        <v>-9.4</v>
      </c>
      <c r="D31">
        <v>0.03</v>
      </c>
      <c r="E31">
        <v>0</v>
      </c>
      <c r="F31">
        <v>0.03</v>
      </c>
    </row>
    <row r="32" spans="1:6">
      <c r="A32" t="s">
        <v>308</v>
      </c>
      <c r="B32" t="s">
        <v>294</v>
      </c>
      <c r="C32">
        <v>-37.299999999999997</v>
      </c>
      <c r="D32">
        <v>0.18</v>
      </c>
      <c r="E32">
        <v>0</v>
      </c>
      <c r="F32">
        <v>0.18</v>
      </c>
    </row>
    <row r="33" spans="1:6">
      <c r="A33" t="s">
        <v>309</v>
      </c>
      <c r="B33" t="s">
        <v>298</v>
      </c>
      <c r="C33">
        <v>-28.8</v>
      </c>
      <c r="D33">
        <v>9.2899999999999991</v>
      </c>
      <c r="E33">
        <v>24.85</v>
      </c>
      <c r="F33">
        <v>34.15</v>
      </c>
    </row>
    <row r="34" spans="1:6">
      <c r="A34" t="s">
        <v>310</v>
      </c>
      <c r="B34" t="s">
        <v>298</v>
      </c>
      <c r="C34">
        <v>39</v>
      </c>
      <c r="D34">
        <v>1.65</v>
      </c>
      <c r="E34">
        <v>0.16</v>
      </c>
      <c r="F34">
        <v>1.81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</vt:lpstr>
      <vt:lpstr>Gres_Powell</vt:lpstr>
      <vt:lpstr>Gres_Mead</vt:lpstr>
      <vt:lpstr>SPM</vt:lpstr>
      <vt:lpstr>GLM</vt:lpstr>
      <vt:lpstr>MLR</vt:lpstr>
      <vt:lpstr>Funnel based ebullition</vt:lpstr>
      <vt:lpstr>Floating chamber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Beaulieu, Jake</cp:lastModifiedBy>
  <dcterms:created xsi:type="dcterms:W3CDTF">2020-07-09T01:49:09Z</dcterms:created>
  <dcterms:modified xsi:type="dcterms:W3CDTF">2020-08-11T16:13:02Z</dcterms:modified>
</cp:coreProperties>
</file>