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dsal\OneDrive - Environmental Protection Agency (EPA)\Profile\Documents\Projects\Magnuson\Surrogate Transport\3_Data\ScienceHubDataCor\"/>
    </mc:Choice>
  </mc:AlternateContent>
  <xr:revisionPtr revIDLastSave="0" documentId="13_ncr:1_{BD2ACF62-5B2A-41F0-8575-81B2A61C3B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S2" sheetId="1" r:id="rId1"/>
    <sheet name="COD" sheetId="2" r:id="rId2"/>
    <sheet name="NH3" sheetId="3" r:id="rId3"/>
    <sheet name="TSS &amp; VSS" sheetId="4" r:id="rId4"/>
    <sheet name="Temp" sheetId="5" r:id="rId5"/>
    <sheet name="DO" sheetId="6" r:id="rId6"/>
    <sheet name="Data Dictionary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4" l="1"/>
  <c r="C31" i="4"/>
  <c r="C30" i="4"/>
  <c r="C29" i="4"/>
  <c r="C28" i="4"/>
  <c r="C27" i="4"/>
  <c r="C26" i="4"/>
  <c r="C15" i="4"/>
  <c r="C14" i="4"/>
  <c r="C13" i="4"/>
  <c r="C12" i="4"/>
  <c r="C11" i="4"/>
  <c r="C10" i="4"/>
  <c r="C9" i="4"/>
  <c r="E6" i="1" l="1"/>
  <c r="E7" i="1"/>
  <c r="E8" i="1"/>
  <c r="E5" i="1"/>
  <c r="D7" i="2"/>
  <c r="D8" i="2"/>
  <c r="D6" i="2"/>
  <c r="D5" i="2"/>
  <c r="C12" i="6" l="1"/>
  <c r="C11" i="6"/>
  <c r="C10" i="6"/>
  <c r="C9" i="6"/>
  <c r="C8" i="6"/>
  <c r="C7" i="6"/>
  <c r="C6" i="6"/>
  <c r="C12" i="5"/>
  <c r="C11" i="5"/>
  <c r="C10" i="5"/>
  <c r="C9" i="5"/>
  <c r="C8" i="5"/>
  <c r="C7" i="5"/>
  <c r="C6" i="5"/>
  <c r="I15" i="3"/>
  <c r="C15" i="3"/>
  <c r="I14" i="3"/>
  <c r="C14" i="3"/>
  <c r="I13" i="3"/>
  <c r="C13" i="3"/>
  <c r="I12" i="3"/>
  <c r="C12" i="3"/>
  <c r="I11" i="3"/>
  <c r="C11" i="3"/>
  <c r="I10" i="3"/>
  <c r="C10" i="3"/>
  <c r="I9" i="3"/>
  <c r="C9" i="3"/>
  <c r="I8" i="3"/>
  <c r="I7" i="3"/>
  <c r="I6" i="3"/>
  <c r="I5" i="3"/>
  <c r="I4" i="3"/>
  <c r="J15" i="2"/>
  <c r="C15" i="2"/>
  <c r="D15" i="2" s="1"/>
  <c r="J14" i="2"/>
  <c r="C14" i="2"/>
  <c r="D14" i="2" s="1"/>
  <c r="J13" i="2"/>
  <c r="C13" i="2"/>
  <c r="D13" i="2" s="1"/>
  <c r="J12" i="2"/>
  <c r="C12" i="2"/>
  <c r="D12" i="2" s="1"/>
  <c r="J11" i="2"/>
  <c r="C11" i="2"/>
  <c r="D11" i="2" s="1"/>
  <c r="J10" i="2"/>
  <c r="C10" i="2"/>
  <c r="D10" i="2" s="1"/>
  <c r="J9" i="2"/>
  <c r="C9" i="2"/>
  <c r="D9" i="2" s="1"/>
  <c r="J8" i="2"/>
  <c r="J7" i="2"/>
  <c r="J6" i="2"/>
  <c r="J5" i="2"/>
  <c r="J4" i="2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J9" i="1"/>
  <c r="I9" i="1"/>
  <c r="H9" i="1"/>
  <c r="G9" i="1"/>
  <c r="F9" i="1"/>
  <c r="D9" i="1"/>
  <c r="E9" i="1" s="1"/>
  <c r="K8" i="1"/>
  <c r="J8" i="1"/>
  <c r="F7" i="1"/>
  <c r="J6" i="1"/>
  <c r="I6" i="1"/>
  <c r="H6" i="1"/>
  <c r="F6" i="1"/>
  <c r="K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<sst xmlns="http://schemas.openxmlformats.org/spreadsheetml/2006/main" count="215" uniqueCount="96">
  <si>
    <t>SP-01</t>
  </si>
  <si>
    <t>SP-03</t>
  </si>
  <si>
    <t>SP-04</t>
  </si>
  <si>
    <t>SP-05</t>
  </si>
  <si>
    <t>SP-06</t>
  </si>
  <si>
    <t>W01-T0</t>
  </si>
  <si>
    <t>--</t>
  </si>
  <si>
    <t>W01-04H</t>
  </si>
  <si>
    <t>W01-24H</t>
  </si>
  <si>
    <t>W01-48H</t>
  </si>
  <si>
    <t>W01-72H</t>
  </si>
  <si>
    <t>W02</t>
  </si>
  <si>
    <t>W03</t>
  </si>
  <si>
    <t>W04</t>
  </si>
  <si>
    <t>W05</t>
  </si>
  <si>
    <t>W06</t>
  </si>
  <si>
    <t>W07</t>
  </si>
  <si>
    <t>W08</t>
  </si>
  <si>
    <t>"1" entered representing zero for graphing purposes.</t>
  </si>
  <si>
    <t>Sample ID</t>
  </si>
  <si>
    <t>Time in hours</t>
  </si>
  <si>
    <t>Analysis Date</t>
  </si>
  <si>
    <t>4 hr</t>
  </si>
  <si>
    <t>24H</t>
  </si>
  <si>
    <t>48H</t>
  </si>
  <si>
    <t>72H</t>
  </si>
  <si>
    <t>W2</t>
  </si>
  <si>
    <t>W3</t>
  </si>
  <si>
    <t>W4</t>
  </si>
  <si>
    <t>W5</t>
  </si>
  <si>
    <t>W6</t>
  </si>
  <si>
    <t>W7</t>
  </si>
  <si>
    <t>W8</t>
  </si>
  <si>
    <t>T0H</t>
  </si>
  <si>
    <t>T4H</t>
  </si>
  <si>
    <t>T24H</t>
  </si>
  <si>
    <t>T48H</t>
  </si>
  <si>
    <t>T72H</t>
  </si>
  <si>
    <t>Sampling Date</t>
  </si>
  <si>
    <r>
      <rPr>
        <i/>
        <sz val="11"/>
        <color theme="1"/>
        <rFont val="Calibri"/>
        <family val="2"/>
        <scheme val="minor"/>
      </rPr>
      <t xml:space="preserve">VSS </t>
    </r>
    <r>
      <rPr>
        <sz val="11"/>
        <color theme="1"/>
        <rFont val="Calibri"/>
        <family val="2"/>
        <scheme val="minor"/>
      </rPr>
      <t>(mg/L)</t>
    </r>
  </si>
  <si>
    <t>Sample Time (hrs)</t>
  </si>
  <si>
    <t>Sample Time (days)</t>
  </si>
  <si>
    <t>Influent</t>
  </si>
  <si>
    <t>Primary Clarifier Effluent</t>
  </si>
  <si>
    <t>Return Activated Sludge</t>
  </si>
  <si>
    <t>Aeration Basin Effluent</t>
  </si>
  <si>
    <t>Effluent</t>
  </si>
  <si>
    <r>
      <rPr>
        <i/>
        <sz val="11"/>
        <color theme="1"/>
        <rFont val="Calibri"/>
        <family val="2"/>
        <scheme val="minor"/>
      </rPr>
      <t xml:space="preserve">TSS </t>
    </r>
    <r>
      <rPr>
        <sz val="11"/>
        <color theme="1"/>
        <rFont val="Calibri"/>
        <family val="2"/>
        <scheme val="minor"/>
      </rPr>
      <t>(mg/L)</t>
    </r>
  </si>
  <si>
    <t>NH3 Removal (%)</t>
  </si>
  <si>
    <t>COD Removal (%)</t>
  </si>
  <si>
    <t>Injection Suspension</t>
  </si>
  <si>
    <t>Stage</t>
  </si>
  <si>
    <t>Pre-contamination</t>
  </si>
  <si>
    <t xml:space="preserve">During Contamination </t>
  </si>
  <si>
    <t>Post-Contamination</t>
  </si>
  <si>
    <r>
      <t>MS2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(PFU/100 mL)</t>
    </r>
  </si>
  <si>
    <t>COD (mg/L)</t>
  </si>
  <si>
    <r>
      <t>NH3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(mg/L)</t>
    </r>
  </si>
  <si>
    <t>Temp C</t>
  </si>
  <si>
    <t>DO (mg/L)</t>
  </si>
  <si>
    <t>Acronym</t>
  </si>
  <si>
    <t>Definition</t>
  </si>
  <si>
    <t>COD</t>
  </si>
  <si>
    <t>Chemcial Oxygen Demand</t>
  </si>
  <si>
    <t>SP</t>
  </si>
  <si>
    <t>Sample Point</t>
  </si>
  <si>
    <t>NH3</t>
  </si>
  <si>
    <t>Ammonia</t>
  </si>
  <si>
    <t>ID</t>
  </si>
  <si>
    <t>Identification</t>
  </si>
  <si>
    <t>TSS</t>
  </si>
  <si>
    <t>Total Suspended Solids</t>
  </si>
  <si>
    <t>VSS</t>
  </si>
  <si>
    <t>Volatile Suspended Solids</t>
  </si>
  <si>
    <t>C</t>
  </si>
  <si>
    <t>Celcius</t>
  </si>
  <si>
    <t>DO</t>
  </si>
  <si>
    <t>Dissolved Oxygen</t>
  </si>
  <si>
    <t>SRT</t>
  </si>
  <si>
    <t>Solids Retention Time</t>
  </si>
  <si>
    <t>MLSS</t>
  </si>
  <si>
    <t>Mixed Liquor Suspended Solids</t>
  </si>
  <si>
    <t>SVI</t>
  </si>
  <si>
    <t>Sludge Volume Index</t>
  </si>
  <si>
    <t>Phi-6</t>
  </si>
  <si>
    <t>Surrogate virus phi-6</t>
  </si>
  <si>
    <t>MS-2</t>
  </si>
  <si>
    <t>Surrogate virus MS-2</t>
  </si>
  <si>
    <t>BG</t>
  </si>
  <si>
    <t>Bacillus globigii</t>
  </si>
  <si>
    <t>PFU</t>
  </si>
  <si>
    <t>Plaque Forming Unit</t>
  </si>
  <si>
    <t>GAC</t>
  </si>
  <si>
    <t>Granular Activated Cardon</t>
  </si>
  <si>
    <t>Temp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</si>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</sst>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2" xfId="0" applyBorder="1"/>
    <xf numFmtId="164" fontId="0" fillId="0" borderId="1" xfId="0" quotePrefix="1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NumberFormat="1" applyFill="1" applyBorder="1" applyAlignment="1">
      <alignment horizontal="center"/>
    </xf>
    <xf numFmtId="1" fontId="0" fillId="0" borderId="1" xfId="0" applyNumberFormat="1" applyBorder="1"/>
    <xf numFmtId="1" fontId="1" fillId="2" borderId="1" xfId="1" applyNumberFormat="1" applyBorder="1"/>
    <xf numFmtId="1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2" fontId="0" fillId="0" borderId="0" xfId="0" applyNumberFormat="1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14" fontId="5" fillId="0" borderId="1" xfId="4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" fontId="4" fillId="0" borderId="1" xfId="2" applyNumberFormat="1" applyBorder="1" applyAlignment="1">
      <alignment horizontal="center" vertical="center"/>
    </xf>
    <xf numFmtId="1" fontId="4" fillId="0" borderId="1" xfId="2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8" fillId="0" borderId="1" xfId="0" applyFont="1" applyBorder="1"/>
    <xf numFmtId="1" fontId="0" fillId="0" borderId="0" xfId="0" applyNumberFormat="1" applyFill="1" applyBorder="1"/>
    <xf numFmtId="164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1" fontId="4" fillId="5" borderId="1" xfId="2" applyNumberFormat="1" applyFill="1" applyBorder="1" applyAlignment="1">
      <alignment horizontal="center" vertical="center"/>
    </xf>
    <xf numFmtId="1" fontId="4" fillId="5" borderId="1" xfId="2" applyNumberFormat="1" applyFill="1" applyBorder="1" applyAlignment="1">
      <alignment horizontal="center"/>
    </xf>
    <xf numFmtId="1" fontId="0" fillId="5" borderId="1" xfId="0" applyNumberFormat="1" applyFill="1" applyBorder="1"/>
    <xf numFmtId="164" fontId="0" fillId="6" borderId="1" xfId="0" applyNumberFormat="1" applyFill="1" applyBorder="1" applyAlignment="1">
      <alignment horizontal="center"/>
    </xf>
    <xf numFmtId="0" fontId="0" fillId="6" borderId="3" xfId="0" applyFill="1" applyBorder="1"/>
    <xf numFmtId="0" fontId="0" fillId="6" borderId="0" xfId="0" applyFill="1"/>
    <xf numFmtId="0" fontId="10" fillId="0" borderId="0" xfId="0" applyFont="1"/>
    <xf numFmtId="0" fontId="7" fillId="0" borderId="0" xfId="0" applyFont="1"/>
    <xf numFmtId="0" fontId="6" fillId="0" borderId="1" xfId="0" applyFont="1" applyBorder="1" applyAlignment="1">
      <alignment vertical="center" readingOrder="2"/>
    </xf>
    <xf numFmtId="0" fontId="0" fillId="0" borderId="1" xfId="0" applyBorder="1" applyAlignment="1"/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Neutral" xfId="1" builtinId="28"/>
    <cellStyle name="Normal" xfId="0" builtinId="0"/>
    <cellStyle name="Normal 2" xfId="4" xr:uid="{00000000-0005-0000-0000-000002000000}"/>
    <cellStyle name="Normal 3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H3" sqref="H3:I3"/>
    </sheetView>
  </sheetViews>
  <sheetFormatPr defaultRowHeight="14.5" x14ac:dyDescent="0.35"/>
  <cols>
    <col min="1" max="1" width="10.81640625" customWidth="1"/>
    <col min="2" max="2" width="11.453125" customWidth="1"/>
  </cols>
  <sheetData>
    <row r="1" spans="1:11" x14ac:dyDescent="0.35">
      <c r="F1" s="53" t="s">
        <v>55</v>
      </c>
      <c r="G1" s="54"/>
      <c r="H1" s="54"/>
      <c r="I1" s="54"/>
      <c r="J1" s="55"/>
    </row>
    <row r="2" spans="1:11" x14ac:dyDescent="0.35">
      <c r="F2" s="29" t="s">
        <v>0</v>
      </c>
      <c r="G2" s="28" t="s">
        <v>1</v>
      </c>
      <c r="H2" s="29" t="s">
        <v>2</v>
      </c>
      <c r="I2" s="28" t="s">
        <v>3</v>
      </c>
      <c r="J2" s="29" t="s">
        <v>4</v>
      </c>
    </row>
    <row r="3" spans="1:11" ht="43.5" x14ac:dyDescent="0.35">
      <c r="A3" s="6" t="s">
        <v>51</v>
      </c>
      <c r="B3" s="30" t="s">
        <v>38</v>
      </c>
      <c r="C3" s="30" t="s">
        <v>19</v>
      </c>
      <c r="D3" s="30" t="s">
        <v>40</v>
      </c>
      <c r="E3" s="30" t="s">
        <v>41</v>
      </c>
      <c r="F3" s="31" t="s">
        <v>42</v>
      </c>
      <c r="G3" s="32" t="s">
        <v>43</v>
      </c>
      <c r="H3" s="31" t="s">
        <v>45</v>
      </c>
      <c r="I3" s="32" t="s">
        <v>44</v>
      </c>
      <c r="J3" s="31" t="s">
        <v>46</v>
      </c>
      <c r="K3" s="33" t="s">
        <v>50</v>
      </c>
    </row>
    <row r="4" spans="1:11" x14ac:dyDescent="0.35">
      <c r="A4" s="38" t="s">
        <v>52</v>
      </c>
      <c r="B4" s="14">
        <v>43178</v>
      </c>
      <c r="C4" s="1" t="s">
        <v>5</v>
      </c>
      <c r="D4" s="1">
        <v>0</v>
      </c>
      <c r="E4">
        <v>0</v>
      </c>
      <c r="F4" s="45">
        <v>1</v>
      </c>
      <c r="G4" s="45">
        <v>1</v>
      </c>
      <c r="H4" s="45">
        <v>1</v>
      </c>
      <c r="I4" s="45">
        <v>1</v>
      </c>
      <c r="J4" s="45">
        <v>1</v>
      </c>
      <c r="K4" s="2" t="s">
        <v>6</v>
      </c>
    </row>
    <row r="5" spans="1:11" x14ac:dyDescent="0.35">
      <c r="A5" s="50" t="s">
        <v>53</v>
      </c>
      <c r="B5" s="14">
        <v>43178</v>
      </c>
      <c r="C5" s="1" t="s">
        <v>7</v>
      </c>
      <c r="D5" s="1">
        <v>4</v>
      </c>
      <c r="E5" s="21">
        <f>D5/24</f>
        <v>0.16666666666666666</v>
      </c>
      <c r="F5" s="40">
        <f>AVERAGE(930000,1100000)</f>
        <v>1015000</v>
      </c>
      <c r="G5" s="3">
        <f>AVERAGE(930000,1300000)</f>
        <v>1115000</v>
      </c>
      <c r="H5" s="40">
        <f>AVERAGE(570000,900000)</f>
        <v>735000</v>
      </c>
      <c r="I5" s="3">
        <f>AVERAGE(540000,500000)</f>
        <v>520000</v>
      </c>
      <c r="J5" s="40">
        <f>AVERAGE(330000,300000)</f>
        <v>315000</v>
      </c>
      <c r="K5" s="4">
        <f>AVERAGE(640000000,800000000)</f>
        <v>720000000</v>
      </c>
    </row>
    <row r="6" spans="1:11" x14ac:dyDescent="0.35">
      <c r="A6" s="51"/>
      <c r="B6" s="14">
        <v>43179</v>
      </c>
      <c r="C6" s="1" t="s">
        <v>8</v>
      </c>
      <c r="D6" s="1">
        <v>24</v>
      </c>
      <c r="E6" s="21">
        <f t="shared" ref="E6:E15" si="0">D6/24</f>
        <v>1</v>
      </c>
      <c r="F6" s="40">
        <f>AVERAGE(440000,610000)</f>
        <v>525000</v>
      </c>
      <c r="G6" s="3">
        <v>460000</v>
      </c>
      <c r="H6" s="40">
        <f>AVERAGE(500000,470000)</f>
        <v>485000</v>
      </c>
      <c r="I6" s="3">
        <f>AVERAGE(540000,370000)</f>
        <v>455000</v>
      </c>
      <c r="J6" s="40">
        <f>AVERAGE(430000,400000)</f>
        <v>415000</v>
      </c>
      <c r="K6" s="4">
        <v>350000000</v>
      </c>
    </row>
    <row r="7" spans="1:11" x14ac:dyDescent="0.35">
      <c r="A7" s="51"/>
      <c r="B7" s="14">
        <v>43180</v>
      </c>
      <c r="C7" s="1" t="s">
        <v>9</v>
      </c>
      <c r="D7" s="1">
        <v>48</v>
      </c>
      <c r="E7" s="21">
        <f t="shared" si="0"/>
        <v>2</v>
      </c>
      <c r="F7" s="40">
        <f>AVERAGE(540000,530000)</f>
        <v>535000</v>
      </c>
      <c r="G7" s="3">
        <v>740000</v>
      </c>
      <c r="H7" s="40">
        <v>550000</v>
      </c>
      <c r="I7" s="3">
        <v>510000</v>
      </c>
      <c r="J7" s="40">
        <v>1900000</v>
      </c>
      <c r="K7" s="4">
        <v>5200000000</v>
      </c>
    </row>
    <row r="8" spans="1:11" x14ac:dyDescent="0.35">
      <c r="A8" s="51"/>
      <c r="B8" s="14">
        <v>43181</v>
      </c>
      <c r="C8" s="1" t="s">
        <v>10</v>
      </c>
      <c r="D8" s="1">
        <v>72</v>
      </c>
      <c r="E8" s="21">
        <f t="shared" si="0"/>
        <v>3</v>
      </c>
      <c r="F8" s="40">
        <v>1100000</v>
      </c>
      <c r="G8" s="3">
        <v>1100000</v>
      </c>
      <c r="H8" s="40">
        <v>1100000</v>
      </c>
      <c r="I8" s="3">
        <v>1300000</v>
      </c>
      <c r="J8" s="40">
        <f>AVERAGE(1200000,1500000)</f>
        <v>1350000</v>
      </c>
      <c r="K8" s="4">
        <f>AVERAGE(600000000,300000000)</f>
        <v>450000000</v>
      </c>
    </row>
    <row r="9" spans="1:11" x14ac:dyDescent="0.35">
      <c r="A9" s="52" t="s">
        <v>54</v>
      </c>
      <c r="B9" s="14">
        <v>43185</v>
      </c>
      <c r="C9" s="1" t="s">
        <v>11</v>
      </c>
      <c r="D9" s="1">
        <f>24*7</f>
        <v>168</v>
      </c>
      <c r="E9" s="21">
        <f t="shared" si="0"/>
        <v>7</v>
      </c>
      <c r="F9" s="40">
        <f>AVERAGE(500,1000)</f>
        <v>750</v>
      </c>
      <c r="G9" s="3">
        <f>AVERAGE(300,1000)</f>
        <v>650</v>
      </c>
      <c r="H9" s="40">
        <f>AVERAGE(1300,3000)</f>
        <v>2150</v>
      </c>
      <c r="I9" s="3">
        <f>AVERAGE(1700,1000)</f>
        <v>1350</v>
      </c>
      <c r="J9" s="40">
        <f>AVERAGE(1500,1000)</f>
        <v>1250</v>
      </c>
      <c r="K9" s="2" t="s">
        <v>6</v>
      </c>
    </row>
    <row r="10" spans="1:11" x14ac:dyDescent="0.35">
      <c r="A10" s="51"/>
      <c r="B10" s="17">
        <v>43192</v>
      </c>
      <c r="C10" s="1" t="s">
        <v>12</v>
      </c>
      <c r="D10" s="1">
        <f>24*14</f>
        <v>336</v>
      </c>
      <c r="E10" s="21">
        <f t="shared" si="0"/>
        <v>14</v>
      </c>
      <c r="F10" s="40">
        <v>13</v>
      </c>
      <c r="G10" s="3">
        <v>27</v>
      </c>
      <c r="H10" s="40">
        <v>70</v>
      </c>
      <c r="I10" s="3">
        <v>26</v>
      </c>
      <c r="J10" s="40">
        <v>91</v>
      </c>
      <c r="K10" s="2" t="s">
        <v>6</v>
      </c>
    </row>
    <row r="11" spans="1:11" x14ac:dyDescent="0.35">
      <c r="A11" s="51"/>
      <c r="B11" s="17">
        <v>43199</v>
      </c>
      <c r="C11" s="1" t="s">
        <v>13</v>
      </c>
      <c r="D11" s="1">
        <f>24*21</f>
        <v>504</v>
      </c>
      <c r="E11" s="21">
        <f t="shared" si="0"/>
        <v>21</v>
      </c>
      <c r="F11" s="40">
        <v>9</v>
      </c>
      <c r="G11" s="3">
        <v>35</v>
      </c>
      <c r="H11" s="40">
        <v>41</v>
      </c>
      <c r="I11" s="3">
        <v>35</v>
      </c>
      <c r="J11" s="40">
        <v>26</v>
      </c>
      <c r="K11" s="2" t="s">
        <v>6</v>
      </c>
    </row>
    <row r="12" spans="1:11" x14ac:dyDescent="0.35">
      <c r="A12" s="51"/>
      <c r="B12" s="17">
        <v>43206</v>
      </c>
      <c r="C12" s="1" t="s">
        <v>14</v>
      </c>
      <c r="D12" s="1">
        <f>24*28</f>
        <v>672</v>
      </c>
      <c r="E12" s="21">
        <f t="shared" si="0"/>
        <v>28</v>
      </c>
      <c r="F12" s="40">
        <v>67</v>
      </c>
      <c r="G12" s="3">
        <v>4</v>
      </c>
      <c r="H12" s="40">
        <v>4</v>
      </c>
      <c r="I12" s="3">
        <v>17</v>
      </c>
      <c r="J12" s="40">
        <v>3</v>
      </c>
      <c r="K12" s="2" t="s">
        <v>6</v>
      </c>
    </row>
    <row r="13" spans="1:11" x14ac:dyDescent="0.35">
      <c r="A13" s="51"/>
      <c r="B13" s="17">
        <v>43213</v>
      </c>
      <c r="C13" s="1" t="s">
        <v>15</v>
      </c>
      <c r="D13" s="1">
        <f>24*35</f>
        <v>840</v>
      </c>
      <c r="E13" s="21">
        <f t="shared" si="0"/>
        <v>35</v>
      </c>
      <c r="F13" s="40">
        <v>4</v>
      </c>
      <c r="G13" s="45">
        <v>1</v>
      </c>
      <c r="H13" s="40">
        <v>1</v>
      </c>
      <c r="I13" s="3">
        <v>2</v>
      </c>
      <c r="J13" s="45">
        <v>1</v>
      </c>
      <c r="K13" s="2" t="s">
        <v>6</v>
      </c>
    </row>
    <row r="14" spans="1:11" x14ac:dyDescent="0.35">
      <c r="A14" s="51"/>
      <c r="B14" s="17">
        <v>43220</v>
      </c>
      <c r="C14" s="1" t="s">
        <v>16</v>
      </c>
      <c r="D14" s="1">
        <f>24*42</f>
        <v>1008</v>
      </c>
      <c r="E14" s="21">
        <f t="shared" si="0"/>
        <v>42</v>
      </c>
      <c r="F14" s="40">
        <v>6</v>
      </c>
      <c r="G14" s="45">
        <v>1</v>
      </c>
      <c r="H14" s="40">
        <v>3</v>
      </c>
      <c r="I14" s="3">
        <v>1</v>
      </c>
      <c r="J14" s="45">
        <v>1</v>
      </c>
      <c r="K14" s="2" t="s">
        <v>6</v>
      </c>
    </row>
    <row r="15" spans="1:11" x14ac:dyDescent="0.35">
      <c r="A15" s="51"/>
      <c r="B15" s="20">
        <v>43227</v>
      </c>
      <c r="C15" s="1" t="s">
        <v>17</v>
      </c>
      <c r="D15" s="1">
        <f>24*49</f>
        <v>1176</v>
      </c>
      <c r="E15" s="21">
        <f t="shared" si="0"/>
        <v>49</v>
      </c>
      <c r="F15" s="40">
        <v>1</v>
      </c>
      <c r="G15" s="45">
        <v>1</v>
      </c>
      <c r="H15" s="45">
        <v>1</v>
      </c>
      <c r="I15" s="45">
        <v>1</v>
      </c>
      <c r="J15" s="45">
        <v>1</v>
      </c>
      <c r="K15" s="2" t="s">
        <v>6</v>
      </c>
    </row>
    <row r="16" spans="1:11" x14ac:dyDescent="0.35">
      <c r="C16" s="46" t="s">
        <v>18</v>
      </c>
      <c r="D16" s="47"/>
      <c r="E16" s="47"/>
      <c r="F16" s="47"/>
      <c r="G16" s="47"/>
      <c r="H16" s="47"/>
    </row>
  </sheetData>
  <mergeCells count="3">
    <mergeCell ref="A5:A8"/>
    <mergeCell ref="A9:A15"/>
    <mergeCell ref="F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workbookViewId="0">
      <selection activeCell="G3" sqref="G3:H3"/>
    </sheetView>
  </sheetViews>
  <sheetFormatPr defaultRowHeight="14.5" x14ac:dyDescent="0.35"/>
  <cols>
    <col min="1" max="1" width="10.54296875" customWidth="1"/>
    <col min="3" max="3" width="10.7265625" customWidth="1"/>
  </cols>
  <sheetData>
    <row r="1" spans="1:12" x14ac:dyDescent="0.35">
      <c r="E1" s="56" t="s">
        <v>56</v>
      </c>
      <c r="F1" s="56"/>
      <c r="G1" s="56"/>
      <c r="H1" s="56"/>
      <c r="I1" s="56"/>
    </row>
    <row r="2" spans="1:12" x14ac:dyDescent="0.35">
      <c r="E2" s="29" t="s">
        <v>0</v>
      </c>
      <c r="F2" s="28" t="s">
        <v>1</v>
      </c>
      <c r="G2" s="29" t="s">
        <v>2</v>
      </c>
      <c r="H2" s="28" t="s">
        <v>3</v>
      </c>
      <c r="I2" s="29" t="s">
        <v>4</v>
      </c>
    </row>
    <row r="3" spans="1:12" ht="43.5" x14ac:dyDescent="0.35">
      <c r="A3" s="30" t="s">
        <v>38</v>
      </c>
      <c r="B3" s="30" t="s">
        <v>19</v>
      </c>
      <c r="C3" s="30" t="s">
        <v>40</v>
      </c>
      <c r="D3" s="30" t="s">
        <v>41</v>
      </c>
      <c r="E3" s="31" t="s">
        <v>42</v>
      </c>
      <c r="F3" s="32" t="s">
        <v>43</v>
      </c>
      <c r="G3" s="31" t="s">
        <v>45</v>
      </c>
      <c r="H3" s="32" t="s">
        <v>44</v>
      </c>
      <c r="I3" s="31" t="s">
        <v>46</v>
      </c>
      <c r="J3" s="33" t="s">
        <v>49</v>
      </c>
    </row>
    <row r="4" spans="1:12" x14ac:dyDescent="0.35">
      <c r="A4" s="14">
        <v>43178</v>
      </c>
      <c r="B4" s="6" t="s">
        <v>5</v>
      </c>
      <c r="C4" s="6">
        <v>0</v>
      </c>
      <c r="D4" s="6">
        <v>0</v>
      </c>
      <c r="E4" s="41">
        <v>223</v>
      </c>
      <c r="F4" s="7">
        <v>202</v>
      </c>
      <c r="G4" s="41">
        <v>70</v>
      </c>
      <c r="H4" s="7">
        <v>56</v>
      </c>
      <c r="I4" s="41">
        <v>46</v>
      </c>
      <c r="J4" s="8">
        <f>(E4-I4)*100/E4</f>
        <v>79.372197309417047</v>
      </c>
    </row>
    <row r="5" spans="1:12" x14ac:dyDescent="0.35">
      <c r="A5" s="14">
        <v>43178</v>
      </c>
      <c r="B5" s="6" t="s">
        <v>7</v>
      </c>
      <c r="C5" s="6">
        <v>4</v>
      </c>
      <c r="D5" s="34">
        <f>C5/24</f>
        <v>0.16666666666666666</v>
      </c>
      <c r="E5" s="41">
        <v>147</v>
      </c>
      <c r="F5" s="7">
        <v>189</v>
      </c>
      <c r="G5" s="41">
        <v>68</v>
      </c>
      <c r="H5" s="7">
        <v>43</v>
      </c>
      <c r="I5" s="41">
        <v>53</v>
      </c>
      <c r="J5" s="8">
        <f t="shared" ref="J5:J15" si="0">(E5-I5)*100/E5</f>
        <v>63.945578231292515</v>
      </c>
    </row>
    <row r="6" spans="1:12" x14ac:dyDescent="0.35">
      <c r="A6" s="14">
        <v>43179</v>
      </c>
      <c r="B6" s="6" t="s">
        <v>8</v>
      </c>
      <c r="C6" s="6">
        <v>24</v>
      </c>
      <c r="D6" s="34">
        <f>C6/24</f>
        <v>1</v>
      </c>
      <c r="E6" s="41">
        <v>163</v>
      </c>
      <c r="F6" s="7">
        <v>194</v>
      </c>
      <c r="G6" s="41"/>
      <c r="H6" s="7">
        <v>40</v>
      </c>
      <c r="I6" s="41">
        <v>36</v>
      </c>
      <c r="J6" s="8">
        <f t="shared" si="0"/>
        <v>77.914110429447859</v>
      </c>
    </row>
    <row r="7" spans="1:12" x14ac:dyDescent="0.35">
      <c r="A7" s="14">
        <v>43180</v>
      </c>
      <c r="B7" s="6" t="s">
        <v>9</v>
      </c>
      <c r="C7" s="6">
        <v>48</v>
      </c>
      <c r="D7" s="34">
        <f t="shared" ref="D7:D15" si="1">C7/24</f>
        <v>2</v>
      </c>
      <c r="E7" s="41">
        <v>183</v>
      </c>
      <c r="F7" s="7">
        <v>180</v>
      </c>
      <c r="G7" s="41">
        <v>50</v>
      </c>
      <c r="H7" s="7">
        <v>36</v>
      </c>
      <c r="I7" s="41">
        <v>35</v>
      </c>
      <c r="J7" s="8">
        <f t="shared" si="0"/>
        <v>80.874316939890704</v>
      </c>
    </row>
    <row r="8" spans="1:12" x14ac:dyDescent="0.35">
      <c r="A8" s="14">
        <v>43181</v>
      </c>
      <c r="B8" s="6" t="s">
        <v>10</v>
      </c>
      <c r="C8" s="6">
        <v>72</v>
      </c>
      <c r="D8" s="34">
        <f t="shared" si="1"/>
        <v>3</v>
      </c>
      <c r="E8" s="41">
        <v>185</v>
      </c>
      <c r="F8" s="7">
        <v>180</v>
      </c>
      <c r="G8" s="41">
        <v>44</v>
      </c>
      <c r="H8" s="7">
        <v>48</v>
      </c>
      <c r="I8" s="41">
        <v>40</v>
      </c>
      <c r="J8" s="8">
        <f t="shared" si="0"/>
        <v>78.378378378378372</v>
      </c>
      <c r="K8" s="35"/>
      <c r="L8" s="36"/>
    </row>
    <row r="9" spans="1:12" x14ac:dyDescent="0.35">
      <c r="A9" s="14">
        <v>43185</v>
      </c>
      <c r="B9" s="6" t="s">
        <v>11</v>
      </c>
      <c r="C9" s="6">
        <f>24*7</f>
        <v>168</v>
      </c>
      <c r="D9" s="34">
        <f t="shared" si="1"/>
        <v>7</v>
      </c>
      <c r="E9" s="41">
        <v>179</v>
      </c>
      <c r="F9" s="7">
        <v>218</v>
      </c>
      <c r="G9" s="41">
        <v>78</v>
      </c>
      <c r="H9" s="7">
        <v>41</v>
      </c>
      <c r="I9" s="41">
        <v>40</v>
      </c>
      <c r="J9" s="8">
        <f t="shared" si="0"/>
        <v>77.653631284916202</v>
      </c>
      <c r="K9" s="35"/>
      <c r="L9" s="37"/>
    </row>
    <row r="10" spans="1:12" x14ac:dyDescent="0.35">
      <c r="A10" s="17">
        <v>43192</v>
      </c>
      <c r="B10" s="6" t="s">
        <v>12</v>
      </c>
      <c r="C10" s="6">
        <f>24*14</f>
        <v>336</v>
      </c>
      <c r="D10" s="34">
        <f t="shared" si="1"/>
        <v>14</v>
      </c>
      <c r="E10" s="41">
        <v>178</v>
      </c>
      <c r="F10" s="7">
        <v>194</v>
      </c>
      <c r="G10" s="41">
        <v>124</v>
      </c>
      <c r="H10" s="7">
        <v>117</v>
      </c>
      <c r="I10" s="41">
        <v>104</v>
      </c>
      <c r="J10" s="8">
        <f t="shared" si="0"/>
        <v>41.573033707865171</v>
      </c>
    </row>
    <row r="11" spans="1:12" x14ac:dyDescent="0.35">
      <c r="A11" s="17">
        <v>43199</v>
      </c>
      <c r="B11" s="6" t="s">
        <v>13</v>
      </c>
      <c r="C11" s="6">
        <f>24*21</f>
        <v>504</v>
      </c>
      <c r="D11" s="34">
        <f t="shared" si="1"/>
        <v>21</v>
      </c>
      <c r="E11" s="41">
        <v>230</v>
      </c>
      <c r="F11" s="7">
        <v>226</v>
      </c>
      <c r="G11" s="41">
        <v>147</v>
      </c>
      <c r="H11" s="7">
        <v>121</v>
      </c>
      <c r="I11" s="41">
        <v>140</v>
      </c>
      <c r="J11" s="8">
        <f>(E11-I11)*100/E11</f>
        <v>39.130434782608695</v>
      </c>
    </row>
    <row r="12" spans="1:12" x14ac:dyDescent="0.35">
      <c r="A12" s="17">
        <v>43206</v>
      </c>
      <c r="B12" s="6" t="s">
        <v>14</v>
      </c>
      <c r="C12" s="6">
        <f>24*28</f>
        <v>672</v>
      </c>
      <c r="D12" s="34">
        <f t="shared" si="1"/>
        <v>28</v>
      </c>
      <c r="E12" s="41">
        <v>475</v>
      </c>
      <c r="F12" s="7">
        <v>229</v>
      </c>
      <c r="G12" s="41">
        <v>115</v>
      </c>
      <c r="H12" s="7">
        <v>108</v>
      </c>
      <c r="I12" s="41">
        <v>102</v>
      </c>
      <c r="J12" s="8">
        <f>(E12-I12)*100/E12</f>
        <v>78.526315789473685</v>
      </c>
    </row>
    <row r="13" spans="1:12" x14ac:dyDescent="0.35">
      <c r="A13" s="17">
        <v>43213</v>
      </c>
      <c r="B13" s="6" t="s">
        <v>15</v>
      </c>
      <c r="C13" s="6">
        <f>24*35</f>
        <v>840</v>
      </c>
      <c r="D13" s="34">
        <f t="shared" si="1"/>
        <v>35</v>
      </c>
      <c r="E13" s="41">
        <v>263</v>
      </c>
      <c r="F13" s="7">
        <v>223</v>
      </c>
      <c r="G13" s="41">
        <v>146</v>
      </c>
      <c r="H13" s="7">
        <v>96</v>
      </c>
      <c r="I13" s="41">
        <v>98</v>
      </c>
      <c r="J13" s="8">
        <f>(E13-I13)*100/E13</f>
        <v>62.737642585551328</v>
      </c>
    </row>
    <row r="14" spans="1:12" x14ac:dyDescent="0.35">
      <c r="A14" s="17">
        <v>43220</v>
      </c>
      <c r="B14" s="6" t="s">
        <v>16</v>
      </c>
      <c r="C14" s="6">
        <f>24*42</f>
        <v>1008</v>
      </c>
      <c r="D14" s="34">
        <f t="shared" si="1"/>
        <v>42</v>
      </c>
      <c r="E14" s="41">
        <v>336</v>
      </c>
      <c r="F14" s="7">
        <v>333</v>
      </c>
      <c r="G14" s="41">
        <v>64</v>
      </c>
      <c r="H14" s="7">
        <v>74</v>
      </c>
      <c r="I14" s="41">
        <v>71</v>
      </c>
      <c r="J14" s="8">
        <f t="shared" si="0"/>
        <v>78.86904761904762</v>
      </c>
    </row>
    <row r="15" spans="1:12" x14ac:dyDescent="0.35">
      <c r="A15" s="20">
        <v>43227</v>
      </c>
      <c r="B15" s="6" t="s">
        <v>17</v>
      </c>
      <c r="C15" s="6">
        <f>24*49</f>
        <v>1176</v>
      </c>
      <c r="D15" s="34">
        <f t="shared" si="1"/>
        <v>49</v>
      </c>
      <c r="E15" s="41">
        <v>195</v>
      </c>
      <c r="F15" s="7">
        <v>238</v>
      </c>
      <c r="G15" s="41">
        <v>108</v>
      </c>
      <c r="H15" s="7">
        <v>86</v>
      </c>
      <c r="I15" s="41">
        <v>94</v>
      </c>
      <c r="J15" s="8">
        <f t="shared" si="0"/>
        <v>51.794871794871796</v>
      </c>
    </row>
    <row r="16" spans="1:12" x14ac:dyDescent="0.35">
      <c r="J16" s="39"/>
    </row>
  </sheetData>
  <mergeCells count="1">
    <mergeCell ref="E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F3" sqref="F3:G3"/>
    </sheetView>
  </sheetViews>
  <sheetFormatPr defaultRowHeight="14.5" x14ac:dyDescent="0.35"/>
  <cols>
    <col min="1" max="1" width="10.81640625" customWidth="1"/>
    <col min="2" max="2" width="10.54296875" customWidth="1"/>
  </cols>
  <sheetData>
    <row r="1" spans="1:9" x14ac:dyDescent="0.35">
      <c r="D1" s="53" t="s">
        <v>57</v>
      </c>
      <c r="E1" s="54"/>
      <c r="F1" s="54"/>
      <c r="G1" s="54"/>
      <c r="H1" s="55"/>
    </row>
    <row r="2" spans="1:9" x14ac:dyDescent="0.35">
      <c r="D2" s="29" t="s">
        <v>0</v>
      </c>
      <c r="E2" s="28" t="s">
        <v>1</v>
      </c>
      <c r="F2" s="29" t="s">
        <v>2</v>
      </c>
      <c r="G2" s="28" t="s">
        <v>3</v>
      </c>
      <c r="H2" s="29" t="s">
        <v>4</v>
      </c>
    </row>
    <row r="3" spans="1:9" ht="43.5" x14ac:dyDescent="0.35">
      <c r="A3" s="30" t="s">
        <v>38</v>
      </c>
      <c r="B3" s="30" t="s">
        <v>19</v>
      </c>
      <c r="C3" s="30" t="s">
        <v>40</v>
      </c>
      <c r="D3" s="31" t="s">
        <v>42</v>
      </c>
      <c r="E3" s="32" t="s">
        <v>43</v>
      </c>
      <c r="F3" s="31" t="s">
        <v>45</v>
      </c>
      <c r="G3" s="32" t="s">
        <v>44</v>
      </c>
      <c r="H3" s="31" t="s">
        <v>46</v>
      </c>
      <c r="I3" s="33" t="s">
        <v>48</v>
      </c>
    </row>
    <row r="4" spans="1:9" x14ac:dyDescent="0.35">
      <c r="A4" s="14">
        <v>43178</v>
      </c>
      <c r="B4" s="6" t="s">
        <v>5</v>
      </c>
      <c r="C4" s="6">
        <v>0</v>
      </c>
      <c r="D4" s="41">
        <v>21.2</v>
      </c>
      <c r="E4" s="7">
        <v>20.2</v>
      </c>
      <c r="F4" s="41">
        <v>12</v>
      </c>
      <c r="G4" s="7">
        <v>11.6</v>
      </c>
      <c r="H4" s="41">
        <v>11.6</v>
      </c>
      <c r="I4" s="8">
        <f>(D4-H4)*100/D4</f>
        <v>45.283018867924532</v>
      </c>
    </row>
    <row r="5" spans="1:9" x14ac:dyDescent="0.35">
      <c r="A5" s="14">
        <v>43178</v>
      </c>
      <c r="B5" s="6" t="s">
        <v>7</v>
      </c>
      <c r="C5" s="6">
        <v>4</v>
      </c>
      <c r="D5" s="41">
        <v>13.5</v>
      </c>
      <c r="E5" s="7">
        <v>19.100000000000001</v>
      </c>
      <c r="F5" s="41">
        <v>10.4</v>
      </c>
      <c r="G5" s="7">
        <v>8.77</v>
      </c>
      <c r="H5" s="41">
        <v>8.8699999999999992</v>
      </c>
      <c r="I5" s="9">
        <f>(E5-H5)*100/E5</f>
        <v>53.56020942408378</v>
      </c>
    </row>
    <row r="6" spans="1:9" x14ac:dyDescent="0.35">
      <c r="A6" s="14">
        <v>43179</v>
      </c>
      <c r="B6" s="6" t="s">
        <v>8</v>
      </c>
      <c r="C6" s="6">
        <v>24</v>
      </c>
      <c r="D6" s="41">
        <v>16.8</v>
      </c>
      <c r="E6" s="7">
        <v>19.2</v>
      </c>
      <c r="F6" s="41">
        <v>9.94</v>
      </c>
      <c r="G6" s="7">
        <v>9.08</v>
      </c>
      <c r="H6" s="41">
        <v>9.3800000000000008</v>
      </c>
      <c r="I6" s="9">
        <f>(E6-H6)*100/E6</f>
        <v>51.145833333333329</v>
      </c>
    </row>
    <row r="7" spans="1:9" x14ac:dyDescent="0.35">
      <c r="A7" s="14">
        <v>43180</v>
      </c>
      <c r="B7" s="6" t="s">
        <v>9</v>
      </c>
      <c r="C7" s="6">
        <v>48</v>
      </c>
      <c r="D7" s="41">
        <v>21.4</v>
      </c>
      <c r="E7" s="7">
        <v>19.600000000000001</v>
      </c>
      <c r="F7" s="41">
        <v>10.3</v>
      </c>
      <c r="G7" s="7">
        <v>8.8000000000000007</v>
      </c>
      <c r="H7" s="41">
        <v>8.51</v>
      </c>
      <c r="I7" s="8">
        <f t="shared" ref="I7:I13" si="0">(D7-H7)*100/D7</f>
        <v>60.233644859813076</v>
      </c>
    </row>
    <row r="8" spans="1:9" x14ac:dyDescent="0.35">
      <c r="A8" s="14">
        <v>43181</v>
      </c>
      <c r="B8" s="6" t="s">
        <v>10</v>
      </c>
      <c r="C8" s="6">
        <v>72</v>
      </c>
      <c r="D8" s="41">
        <v>19.5</v>
      </c>
      <c r="E8" s="7">
        <v>19.2</v>
      </c>
      <c r="F8" s="41">
        <v>10.3</v>
      </c>
      <c r="G8" s="7">
        <v>9.16</v>
      </c>
      <c r="H8" s="41">
        <v>9.11</v>
      </c>
      <c r="I8" s="8">
        <f t="shared" si="0"/>
        <v>53.282051282051285</v>
      </c>
    </row>
    <row r="9" spans="1:9" x14ac:dyDescent="0.35">
      <c r="A9" s="14">
        <v>43185</v>
      </c>
      <c r="B9" s="6" t="s">
        <v>11</v>
      </c>
      <c r="C9" s="6">
        <f>24*7</f>
        <v>168</v>
      </c>
      <c r="D9" s="41">
        <v>18.600000000000001</v>
      </c>
      <c r="E9" s="7">
        <v>24.1</v>
      </c>
      <c r="F9" s="41">
        <v>11.4</v>
      </c>
      <c r="G9" s="7">
        <v>9.5399999999999991</v>
      </c>
      <c r="H9" s="41">
        <v>8.19</v>
      </c>
      <c r="I9" s="8">
        <f>(D9-H9)*100/D9</f>
        <v>55.967741935483879</v>
      </c>
    </row>
    <row r="10" spans="1:9" x14ac:dyDescent="0.35">
      <c r="A10" s="17">
        <v>43192</v>
      </c>
      <c r="B10" s="6" t="s">
        <v>12</v>
      </c>
      <c r="C10" s="6">
        <f>24*14</f>
        <v>336</v>
      </c>
      <c r="D10" s="41">
        <v>12.7</v>
      </c>
      <c r="E10" s="7">
        <v>17</v>
      </c>
      <c r="F10" s="41">
        <v>13.2</v>
      </c>
      <c r="G10" s="7">
        <v>12.7</v>
      </c>
      <c r="H10" s="41">
        <v>12.9</v>
      </c>
      <c r="I10" s="9">
        <f>(E10-H10)*100/E10</f>
        <v>24.117647058823525</v>
      </c>
    </row>
    <row r="11" spans="1:9" x14ac:dyDescent="0.35">
      <c r="A11" s="17">
        <v>43199</v>
      </c>
      <c r="B11" s="6" t="s">
        <v>13</v>
      </c>
      <c r="C11" s="6">
        <f>24*21</f>
        <v>504</v>
      </c>
      <c r="D11" s="41">
        <v>19.600000000000001</v>
      </c>
      <c r="E11" s="7">
        <v>19.899999999999999</v>
      </c>
      <c r="F11" s="41">
        <v>16.399999999999999</v>
      </c>
      <c r="G11" s="7">
        <v>15.6</v>
      </c>
      <c r="H11" s="41">
        <v>15.4</v>
      </c>
      <c r="I11" s="8">
        <f t="shared" si="0"/>
        <v>21.428571428571434</v>
      </c>
    </row>
    <row r="12" spans="1:9" x14ac:dyDescent="0.35">
      <c r="A12" s="17">
        <v>43206</v>
      </c>
      <c r="B12" s="6" t="s">
        <v>14</v>
      </c>
      <c r="C12" s="6">
        <f>24*28</f>
        <v>672</v>
      </c>
      <c r="D12" s="41">
        <v>21.4</v>
      </c>
      <c r="E12" s="7">
        <v>19.2</v>
      </c>
      <c r="F12" s="41">
        <v>12.7</v>
      </c>
      <c r="G12" s="7">
        <v>12.6</v>
      </c>
      <c r="H12" s="41">
        <v>12.6</v>
      </c>
      <c r="I12" s="8">
        <f t="shared" si="0"/>
        <v>41.121495327102799</v>
      </c>
    </row>
    <row r="13" spans="1:9" x14ac:dyDescent="0.35">
      <c r="A13" s="17">
        <v>43213</v>
      </c>
      <c r="B13" s="6" t="s">
        <v>15</v>
      </c>
      <c r="C13" s="6">
        <f>24*35</f>
        <v>840</v>
      </c>
      <c r="D13" s="41">
        <v>23.2</v>
      </c>
      <c r="E13" s="7">
        <v>18.8</v>
      </c>
      <c r="F13" s="41">
        <v>10.7</v>
      </c>
      <c r="G13" s="7">
        <v>10</v>
      </c>
      <c r="H13" s="41">
        <v>9.84</v>
      </c>
      <c r="I13" s="8">
        <f t="shared" si="0"/>
        <v>57.586206896551722</v>
      </c>
    </row>
    <row r="14" spans="1:9" x14ac:dyDescent="0.35">
      <c r="A14" s="17">
        <v>43220</v>
      </c>
      <c r="B14" s="6" t="s">
        <v>16</v>
      </c>
      <c r="C14" s="6">
        <f>24*42</f>
        <v>1008</v>
      </c>
      <c r="D14" s="41">
        <v>27.5</v>
      </c>
      <c r="E14" s="7">
        <v>19.100000000000001</v>
      </c>
      <c r="F14" s="41">
        <v>10.199999999999999</v>
      </c>
      <c r="G14" s="7">
        <v>9.16</v>
      </c>
      <c r="H14" s="41">
        <v>9.65</v>
      </c>
      <c r="I14" s="10">
        <f>(D14-H14)*100/D14</f>
        <v>64.909090909090921</v>
      </c>
    </row>
    <row r="15" spans="1:9" x14ac:dyDescent="0.35">
      <c r="A15" s="20">
        <v>43227</v>
      </c>
      <c r="B15" s="6" t="s">
        <v>17</v>
      </c>
      <c r="C15" s="6">
        <f>24*49</f>
        <v>1176</v>
      </c>
      <c r="D15" s="41">
        <v>14.1</v>
      </c>
      <c r="E15" s="7">
        <v>18.899999999999999</v>
      </c>
      <c r="F15" s="41">
        <v>16.2</v>
      </c>
      <c r="G15" s="7">
        <v>14.8</v>
      </c>
      <c r="H15" s="41">
        <v>15.1</v>
      </c>
      <c r="I15" s="9">
        <f>(E15-H15)*100/E15</f>
        <v>20.105820105820101</v>
      </c>
    </row>
  </sheetData>
  <mergeCells count="1"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2"/>
  <sheetViews>
    <sheetView topLeftCell="A4" workbookViewId="0">
      <selection activeCell="F3" sqref="F3:G3"/>
    </sheetView>
  </sheetViews>
  <sheetFormatPr defaultRowHeight="14.5" x14ac:dyDescent="0.35"/>
  <cols>
    <col min="1" max="1" width="10.81640625" customWidth="1"/>
    <col min="3" max="3" width="10.453125" customWidth="1"/>
    <col min="4" max="4" width="10.54296875" bestFit="1" customWidth="1"/>
    <col min="5" max="5" width="10.7265625" bestFit="1" customWidth="1"/>
    <col min="6" max="6" width="9.54296875" bestFit="1" customWidth="1"/>
    <col min="7" max="8" width="9.7265625" bestFit="1" customWidth="1"/>
    <col min="9" max="9" width="9.54296875" bestFit="1" customWidth="1"/>
    <col min="11" max="11" width="11.1796875" customWidth="1"/>
  </cols>
  <sheetData>
    <row r="1" spans="1:18" x14ac:dyDescent="0.35">
      <c r="D1" s="53" t="s">
        <v>47</v>
      </c>
      <c r="E1" s="54"/>
      <c r="F1" s="54"/>
      <c r="G1" s="54"/>
      <c r="H1" s="55"/>
      <c r="N1" s="53" t="s">
        <v>47</v>
      </c>
      <c r="O1" s="54"/>
      <c r="P1" s="54"/>
      <c r="Q1" s="54"/>
      <c r="R1" s="55"/>
    </row>
    <row r="2" spans="1:18" x14ac:dyDescent="0.35">
      <c r="D2" s="29" t="s">
        <v>0</v>
      </c>
      <c r="E2" s="28" t="s">
        <v>1</v>
      </c>
      <c r="F2" s="29" t="s">
        <v>2</v>
      </c>
      <c r="G2" s="28" t="s">
        <v>3</v>
      </c>
      <c r="H2" s="29" t="s">
        <v>4</v>
      </c>
    </row>
    <row r="3" spans="1:18" ht="43.5" x14ac:dyDescent="0.35">
      <c r="A3" s="30" t="s">
        <v>38</v>
      </c>
      <c r="B3" s="30" t="s">
        <v>19</v>
      </c>
      <c r="C3" s="30" t="s">
        <v>40</v>
      </c>
      <c r="D3" s="31" t="s">
        <v>42</v>
      </c>
      <c r="E3" s="32" t="s">
        <v>43</v>
      </c>
      <c r="F3" s="31" t="s">
        <v>45</v>
      </c>
      <c r="G3" s="32" t="s">
        <v>44</v>
      </c>
      <c r="H3" s="31" t="s">
        <v>46</v>
      </c>
    </row>
    <row r="4" spans="1:18" x14ac:dyDescent="0.35">
      <c r="A4" s="24">
        <v>43172</v>
      </c>
      <c r="B4" s="25" t="s">
        <v>33</v>
      </c>
      <c r="C4" s="1">
        <v>0</v>
      </c>
      <c r="D4" s="42">
        <v>8.6956521739129897</v>
      </c>
      <c r="E4" s="26">
        <v>8.9552238805970639</v>
      </c>
      <c r="F4" s="42">
        <v>946.34146341463418</v>
      </c>
      <c r="G4" s="26">
        <v>647.05882352941194</v>
      </c>
      <c r="H4" s="42">
        <v>5.1470588235293544</v>
      </c>
    </row>
    <row r="5" spans="1:18" x14ac:dyDescent="0.35">
      <c r="A5" s="24">
        <v>43178</v>
      </c>
      <c r="B5" s="25" t="s">
        <v>34</v>
      </c>
      <c r="C5" s="1">
        <v>4</v>
      </c>
      <c r="D5" s="42">
        <v>25.352112676056382</v>
      </c>
      <c r="E5" s="26">
        <v>14.285714285714297</v>
      </c>
      <c r="F5" s="42">
        <v>1246.1538461538464</v>
      </c>
      <c r="G5" s="26">
        <v>801.78571428571422</v>
      </c>
      <c r="H5" s="42">
        <v>4.22535211267608</v>
      </c>
    </row>
    <row r="6" spans="1:18" x14ac:dyDescent="0.35">
      <c r="A6" s="24">
        <v>43179</v>
      </c>
      <c r="B6" s="22" t="s">
        <v>35</v>
      </c>
      <c r="C6" s="1">
        <v>24</v>
      </c>
      <c r="D6" s="42">
        <v>24.637681159420186</v>
      </c>
      <c r="E6" s="26">
        <v>22.91666666666665</v>
      </c>
      <c r="F6" s="42">
        <v>821.99999999999989</v>
      </c>
      <c r="G6" s="26">
        <v>788.88888888888891</v>
      </c>
      <c r="H6" s="42">
        <v>7.638888888888915</v>
      </c>
    </row>
    <row r="7" spans="1:18" x14ac:dyDescent="0.35">
      <c r="A7" s="24">
        <v>43180</v>
      </c>
      <c r="B7" s="22" t="s">
        <v>36</v>
      </c>
      <c r="C7" s="1">
        <v>48</v>
      </c>
      <c r="D7" s="42">
        <v>11.764705882352869</v>
      </c>
      <c r="E7" s="26">
        <v>34.722222222222065</v>
      </c>
      <c r="F7" s="42">
        <v>817.99999999999977</v>
      </c>
      <c r="G7" s="26">
        <v>636.95652173913027</v>
      </c>
      <c r="H7" s="42">
        <v>2.0833333333332966</v>
      </c>
    </row>
    <row r="8" spans="1:18" x14ac:dyDescent="0.35">
      <c r="A8" s="24">
        <v>43181</v>
      </c>
      <c r="B8" s="22" t="s">
        <v>37</v>
      </c>
      <c r="C8" s="1">
        <v>72</v>
      </c>
      <c r="D8" s="42">
        <v>25.362318840579732</v>
      </c>
      <c r="E8" s="26">
        <v>20.945945945945891</v>
      </c>
      <c r="F8" s="42">
        <v>839.62264150943429</v>
      </c>
      <c r="G8" s="26">
        <v>516.66666666666663</v>
      </c>
      <c r="H8" s="42">
        <v>7.1428571428571486</v>
      </c>
    </row>
    <row r="9" spans="1:18" x14ac:dyDescent="0.35">
      <c r="A9" s="24">
        <v>43185</v>
      </c>
      <c r="B9" s="22" t="s">
        <v>26</v>
      </c>
      <c r="C9" s="1">
        <f>24*7</f>
        <v>168</v>
      </c>
      <c r="D9" s="42">
        <v>13.235294117646825</v>
      </c>
      <c r="E9" s="26">
        <v>26.388888888888879</v>
      </c>
      <c r="F9" s="42">
        <v>757.14285714285745</v>
      </c>
      <c r="G9" s="26">
        <v>459.99999999999983</v>
      </c>
      <c r="H9" s="42">
        <v>6.1643835616439171</v>
      </c>
    </row>
    <row r="10" spans="1:18" x14ac:dyDescent="0.35">
      <c r="A10" s="24">
        <v>43192</v>
      </c>
      <c r="B10" s="22" t="s">
        <v>27</v>
      </c>
      <c r="C10" s="1">
        <f>24*14</f>
        <v>336</v>
      </c>
      <c r="D10" s="43">
        <v>38.513513513513587</v>
      </c>
      <c r="E10" s="27">
        <v>20.588235294117624</v>
      </c>
      <c r="F10" s="43">
        <v>331.24999999999994</v>
      </c>
      <c r="G10" s="27">
        <v>289.7058823529411</v>
      </c>
      <c r="H10" s="43">
        <v>63.513513513513651</v>
      </c>
    </row>
    <row r="11" spans="1:18" x14ac:dyDescent="0.35">
      <c r="A11" s="24">
        <v>43199</v>
      </c>
      <c r="B11" s="23" t="s">
        <v>28</v>
      </c>
      <c r="C11" s="1">
        <f>24*21</f>
        <v>504</v>
      </c>
      <c r="D11" s="42">
        <v>31.944444444444592</v>
      </c>
      <c r="E11" s="26">
        <v>18.493150684931564</v>
      </c>
      <c r="F11" s="42">
        <v>340.00000000000028</v>
      </c>
      <c r="G11" s="26">
        <v>157.8947368421054</v>
      </c>
      <c r="H11" s="42">
        <v>13.286713286713377</v>
      </c>
    </row>
    <row r="12" spans="1:18" x14ac:dyDescent="0.35">
      <c r="A12" s="24">
        <v>43206</v>
      </c>
      <c r="B12" s="22" t="s">
        <v>29</v>
      </c>
      <c r="C12" s="1">
        <f>24*28</f>
        <v>672</v>
      </c>
      <c r="D12" s="42">
        <v>4836.3636363636379</v>
      </c>
      <c r="E12" s="26">
        <v>52.89855072463768</v>
      </c>
      <c r="F12" s="42">
        <v>466.66666666666663</v>
      </c>
      <c r="G12" s="26">
        <v>310.81081081081072</v>
      </c>
      <c r="H12" s="42">
        <v>82.14285714285721</v>
      </c>
    </row>
    <row r="13" spans="1:18" x14ac:dyDescent="0.35">
      <c r="A13" s="24">
        <v>43213</v>
      </c>
      <c r="B13" s="22" t="s">
        <v>30</v>
      </c>
      <c r="C13" s="1">
        <f>24*35</f>
        <v>840</v>
      </c>
      <c r="D13" s="42">
        <v>61.971830985915517</v>
      </c>
      <c r="E13" s="26">
        <v>20.138888888888985</v>
      </c>
      <c r="F13" s="42">
        <v>397.05882352941171</v>
      </c>
      <c r="G13" s="26">
        <v>237.83783783783792</v>
      </c>
      <c r="H13" s="42">
        <v>28.571428571428594</v>
      </c>
    </row>
    <row r="14" spans="1:18" x14ac:dyDescent="0.35">
      <c r="A14" s="24">
        <v>43220</v>
      </c>
      <c r="B14" s="22" t="s">
        <v>31</v>
      </c>
      <c r="C14" s="1">
        <f>24*42</f>
        <v>1008</v>
      </c>
      <c r="D14" s="42">
        <v>511.76470588235287</v>
      </c>
      <c r="E14" s="26">
        <v>29.927007299270119</v>
      </c>
      <c r="F14" s="42">
        <v>525.00000000000011</v>
      </c>
      <c r="G14" s="26">
        <v>330.00000000000011</v>
      </c>
      <c r="H14" s="42">
        <v>134.05797101449286</v>
      </c>
    </row>
    <row r="15" spans="1:18" x14ac:dyDescent="0.35">
      <c r="A15" s="24">
        <v>43227</v>
      </c>
      <c r="B15" s="22" t="s">
        <v>32</v>
      </c>
      <c r="C15" s="1">
        <f>24*49</f>
        <v>1176</v>
      </c>
      <c r="D15" s="42">
        <v>70.270270270270231</v>
      </c>
      <c r="E15" s="26">
        <v>25.000000000000334</v>
      </c>
      <c r="F15" s="42">
        <v>481.81818181818215</v>
      </c>
      <c r="G15" s="26">
        <v>222.09302325581402</v>
      </c>
      <c r="H15" s="42">
        <v>6.0810810810809741</v>
      </c>
    </row>
    <row r="18" spans="1:8" x14ac:dyDescent="0.35">
      <c r="D18" s="53" t="s">
        <v>39</v>
      </c>
      <c r="E18" s="54"/>
      <c r="F18" s="54"/>
      <c r="G18" s="54"/>
      <c r="H18" s="55"/>
    </row>
    <row r="19" spans="1:8" x14ac:dyDescent="0.35">
      <c r="D19" s="29" t="s">
        <v>0</v>
      </c>
      <c r="E19" s="28" t="s">
        <v>1</v>
      </c>
      <c r="F19" s="29" t="s">
        <v>2</v>
      </c>
      <c r="G19" s="28" t="s">
        <v>3</v>
      </c>
      <c r="H19" s="29" t="s">
        <v>4</v>
      </c>
    </row>
    <row r="20" spans="1:8" ht="43.5" x14ac:dyDescent="0.35">
      <c r="A20" s="30" t="s">
        <v>38</v>
      </c>
      <c r="B20" s="30" t="s">
        <v>19</v>
      </c>
      <c r="C20" s="30" t="s">
        <v>40</v>
      </c>
      <c r="D20" s="31" t="s">
        <v>42</v>
      </c>
      <c r="E20" s="32" t="s">
        <v>43</v>
      </c>
      <c r="F20" s="31" t="s">
        <v>45</v>
      </c>
      <c r="G20" s="32" t="s">
        <v>44</v>
      </c>
      <c r="H20" s="31" t="s">
        <v>46</v>
      </c>
    </row>
    <row r="21" spans="1:8" x14ac:dyDescent="0.35">
      <c r="A21" s="24">
        <v>43172</v>
      </c>
      <c r="B21" s="25" t="s">
        <v>33</v>
      </c>
      <c r="C21" s="6">
        <v>0</v>
      </c>
      <c r="D21" s="44">
        <v>7.2463768115942093</v>
      </c>
      <c r="E21" s="8">
        <v>7.4626865671641855</v>
      </c>
      <c r="F21" s="44">
        <v>691.46341463414637</v>
      </c>
      <c r="G21" s="8">
        <v>508.82352941176498</v>
      </c>
      <c r="H21" s="44">
        <v>5.8823529411764346</v>
      </c>
    </row>
    <row r="22" spans="1:8" x14ac:dyDescent="0.35">
      <c r="A22" s="24">
        <v>43178</v>
      </c>
      <c r="B22" s="25" t="s">
        <v>34</v>
      </c>
      <c r="C22" s="6">
        <v>4</v>
      </c>
      <c r="D22" s="44">
        <v>14.78873239436623</v>
      </c>
      <c r="E22" s="8">
        <v>11.428571428571557</v>
      </c>
      <c r="F22" s="44">
        <v>986.53846153846177</v>
      </c>
      <c r="G22" s="8">
        <v>633.92857142857156</v>
      </c>
      <c r="H22" s="44">
        <v>1.4084507042253924</v>
      </c>
    </row>
    <row r="23" spans="1:8" x14ac:dyDescent="0.35">
      <c r="A23" s="24">
        <v>43179</v>
      </c>
      <c r="B23" s="22" t="s">
        <v>35</v>
      </c>
      <c r="C23" s="6">
        <v>24</v>
      </c>
      <c r="D23" s="44">
        <v>15.942028985507298</v>
      </c>
      <c r="E23" s="8">
        <v>14.58333333333346</v>
      </c>
      <c r="F23" s="44">
        <v>651.99999999999966</v>
      </c>
      <c r="G23" s="8">
        <v>625.92592592592587</v>
      </c>
      <c r="H23" s="44">
        <v>4.1666666666666901</v>
      </c>
    </row>
    <row r="24" spans="1:8" x14ac:dyDescent="0.35">
      <c r="A24" s="24">
        <v>43180</v>
      </c>
      <c r="B24" s="22" t="s">
        <v>36</v>
      </c>
      <c r="C24" s="6">
        <v>48</v>
      </c>
      <c r="D24" s="44">
        <v>5.1470588235294565</v>
      </c>
      <c r="E24" s="8">
        <v>25.694444444444311</v>
      </c>
      <c r="F24" s="44">
        <v>647.99999999999966</v>
      </c>
      <c r="G24" s="8">
        <v>532.60869565217376</v>
      </c>
      <c r="H24" s="44">
        <v>8.3333333333332824</v>
      </c>
    </row>
    <row r="25" spans="1:8" x14ac:dyDescent="0.35">
      <c r="A25" s="24">
        <v>43181</v>
      </c>
      <c r="B25" s="22" t="s">
        <v>37</v>
      </c>
      <c r="C25" s="6">
        <v>72</v>
      </c>
      <c r="D25" s="44">
        <v>16.666666666666639</v>
      </c>
      <c r="E25" s="8">
        <v>15.540540540540515</v>
      </c>
      <c r="F25" s="44">
        <v>681.13207547169793</v>
      </c>
      <c r="G25" s="8">
        <v>418.51851851851814</v>
      </c>
      <c r="H25" s="44">
        <v>4.2857142857142101</v>
      </c>
    </row>
    <row r="26" spans="1:8" x14ac:dyDescent="0.35">
      <c r="A26" s="24">
        <v>43185</v>
      </c>
      <c r="B26" s="22" t="s">
        <v>26</v>
      </c>
      <c r="C26" s="6">
        <f>24*7</f>
        <v>168</v>
      </c>
      <c r="D26" s="44">
        <v>19.117647058823465</v>
      </c>
      <c r="E26" s="8">
        <v>18.055555555555493</v>
      </c>
      <c r="F26" s="44">
        <v>591.07142857142878</v>
      </c>
      <c r="G26" s="8">
        <v>383.63636363636328</v>
      </c>
      <c r="H26" s="44">
        <v>6.8493150684931567</v>
      </c>
    </row>
    <row r="27" spans="1:8" x14ac:dyDescent="0.35">
      <c r="A27" s="24">
        <v>43192</v>
      </c>
      <c r="B27" s="22" t="s">
        <v>27</v>
      </c>
      <c r="C27" s="6">
        <f>24*14</f>
        <v>336</v>
      </c>
      <c r="D27" s="44">
        <v>30.405405405405428</v>
      </c>
      <c r="E27" s="8">
        <v>17.647058823529509</v>
      </c>
      <c r="F27" s="44">
        <v>270.31249999999972</v>
      </c>
      <c r="G27" s="8">
        <v>236.76470588235296</v>
      </c>
      <c r="H27" s="44">
        <v>52.702702702702716</v>
      </c>
    </row>
    <row r="28" spans="1:8" x14ac:dyDescent="0.35">
      <c r="A28" s="24">
        <v>43199</v>
      </c>
      <c r="B28" s="23" t="s">
        <v>28</v>
      </c>
      <c r="C28" s="6">
        <f>24*21</f>
        <v>504</v>
      </c>
      <c r="D28" s="44">
        <v>24.305555555555578</v>
      </c>
      <c r="E28" s="8">
        <v>10.958904109588975</v>
      </c>
      <c r="F28" s="44">
        <v>248.00000000000045</v>
      </c>
      <c r="G28" s="8">
        <v>135.52631578947376</v>
      </c>
      <c r="H28" s="44">
        <v>11.888111888111938</v>
      </c>
    </row>
    <row r="29" spans="1:8" x14ac:dyDescent="0.35">
      <c r="A29" s="24">
        <v>43206</v>
      </c>
      <c r="B29" s="22" t="s">
        <v>29</v>
      </c>
      <c r="C29" s="6">
        <f>24*28</f>
        <v>672</v>
      </c>
      <c r="D29" s="44">
        <v>4259.090909090909</v>
      </c>
      <c r="E29" s="8">
        <v>43.478260869565261</v>
      </c>
      <c r="F29" s="44">
        <v>345.83333333333343</v>
      </c>
      <c r="G29" s="8">
        <v>247.29729729729746</v>
      </c>
      <c r="H29" s="44">
        <v>68.571428571428555</v>
      </c>
    </row>
    <row r="30" spans="1:8" x14ac:dyDescent="0.35">
      <c r="A30" s="24">
        <v>43213</v>
      </c>
      <c r="B30" s="22" t="s">
        <v>30</v>
      </c>
      <c r="C30" s="6">
        <f>24*35</f>
        <v>840</v>
      </c>
      <c r="D30" s="44">
        <v>52.816901408450754</v>
      </c>
      <c r="E30" s="8">
        <v>15.277777777777828</v>
      </c>
      <c r="F30" s="44">
        <v>319.11764705882342</v>
      </c>
      <c r="G30" s="8">
        <v>198.6486486486485</v>
      </c>
      <c r="H30" s="44">
        <v>25.714285714286053</v>
      </c>
    </row>
    <row r="31" spans="1:8" x14ac:dyDescent="0.35">
      <c r="A31" s="24">
        <v>43220</v>
      </c>
      <c r="B31" s="22" t="s">
        <v>31</v>
      </c>
      <c r="C31" s="6">
        <f>24*42</f>
        <v>1008</v>
      </c>
      <c r="D31" s="44">
        <v>458.82352941176481</v>
      </c>
      <c r="E31" s="8">
        <v>23.357664233576703</v>
      </c>
      <c r="F31" s="44">
        <v>435.29411764705907</v>
      </c>
      <c r="G31" s="8">
        <v>277.14285714285717</v>
      </c>
      <c r="H31" s="44">
        <v>111.59420289855069</v>
      </c>
    </row>
    <row r="32" spans="1:8" x14ac:dyDescent="0.35">
      <c r="A32" s="24">
        <v>43227</v>
      </c>
      <c r="B32" s="22" t="s">
        <v>32</v>
      </c>
      <c r="C32" s="6">
        <f>24*49</f>
        <v>1176</v>
      </c>
      <c r="D32" s="44">
        <v>46.621621621621735</v>
      </c>
      <c r="E32" s="8">
        <v>22.222222222222474</v>
      </c>
      <c r="F32" s="44">
        <v>384.84848484848493</v>
      </c>
      <c r="G32" s="8">
        <v>188.37209302325604</v>
      </c>
      <c r="H32" s="44">
        <v>6.0810810810809741</v>
      </c>
    </row>
  </sheetData>
  <mergeCells count="3">
    <mergeCell ref="N1:R1"/>
    <mergeCell ref="D1:H1"/>
    <mergeCell ref="D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workbookViewId="0">
      <selection activeCell="D13" sqref="D13"/>
    </sheetView>
  </sheetViews>
  <sheetFormatPr defaultRowHeight="14.5" x14ac:dyDescent="0.35"/>
  <cols>
    <col min="1" max="1" width="10.7265625" customWidth="1"/>
  </cols>
  <sheetData>
    <row r="1" spans="1:4" ht="29" x14ac:dyDescent="0.35">
      <c r="A1" s="11" t="s">
        <v>21</v>
      </c>
      <c r="B1" s="11" t="s">
        <v>19</v>
      </c>
      <c r="C1" s="11" t="s">
        <v>20</v>
      </c>
      <c r="D1" s="12" t="s">
        <v>58</v>
      </c>
    </row>
    <row r="2" spans="1:4" x14ac:dyDescent="0.35">
      <c r="A2" s="14">
        <v>43178</v>
      </c>
      <c r="B2" s="5" t="s">
        <v>22</v>
      </c>
      <c r="C2" s="6">
        <v>4</v>
      </c>
      <c r="D2" s="15">
        <v>20.9</v>
      </c>
    </row>
    <row r="3" spans="1:4" x14ac:dyDescent="0.35">
      <c r="A3" s="14">
        <v>43179</v>
      </c>
      <c r="B3" s="16" t="s">
        <v>23</v>
      </c>
      <c r="C3" s="6">
        <v>28</v>
      </c>
      <c r="D3" s="15">
        <v>19.600000000000001</v>
      </c>
    </row>
    <row r="4" spans="1:4" x14ac:dyDescent="0.35">
      <c r="A4" s="14">
        <v>43180</v>
      </c>
      <c r="B4" s="16" t="s">
        <v>24</v>
      </c>
      <c r="C4" s="6">
        <v>48</v>
      </c>
      <c r="D4" s="15">
        <v>20.3</v>
      </c>
    </row>
    <row r="5" spans="1:4" x14ac:dyDescent="0.35">
      <c r="A5" s="14">
        <v>43181</v>
      </c>
      <c r="B5" s="16" t="s">
        <v>25</v>
      </c>
      <c r="C5" s="6">
        <v>72</v>
      </c>
      <c r="D5" s="15">
        <v>19.600000000000001</v>
      </c>
    </row>
    <row r="6" spans="1:4" x14ac:dyDescent="0.35">
      <c r="A6" s="14">
        <v>43185</v>
      </c>
      <c r="B6" s="16" t="s">
        <v>26</v>
      </c>
      <c r="C6" s="6">
        <f>24*7</f>
        <v>168</v>
      </c>
      <c r="D6" s="15">
        <v>19.899999999999999</v>
      </c>
    </row>
    <row r="7" spans="1:4" x14ac:dyDescent="0.35">
      <c r="A7" s="17">
        <v>43192</v>
      </c>
      <c r="B7" s="16" t="s">
        <v>27</v>
      </c>
      <c r="C7" s="6">
        <f>24*14</f>
        <v>336</v>
      </c>
      <c r="D7" s="18">
        <v>19.899999999999999</v>
      </c>
    </row>
    <row r="8" spans="1:4" x14ac:dyDescent="0.35">
      <c r="A8" s="17">
        <v>43199</v>
      </c>
      <c r="B8" s="19" t="s">
        <v>28</v>
      </c>
      <c r="C8" s="6">
        <f>24*21</f>
        <v>504</v>
      </c>
      <c r="D8" s="15">
        <v>19.5</v>
      </c>
    </row>
    <row r="9" spans="1:4" x14ac:dyDescent="0.35">
      <c r="A9" s="17">
        <v>43206</v>
      </c>
      <c r="B9" s="16" t="s">
        <v>29</v>
      </c>
      <c r="C9" s="6">
        <f>24*28</f>
        <v>672</v>
      </c>
      <c r="D9" s="15">
        <v>20.8</v>
      </c>
    </row>
    <row r="10" spans="1:4" x14ac:dyDescent="0.35">
      <c r="A10" s="17">
        <v>43213</v>
      </c>
      <c r="B10" s="16" t="s">
        <v>30</v>
      </c>
      <c r="C10" s="6">
        <f>24*35</f>
        <v>840</v>
      </c>
      <c r="D10" s="18">
        <v>23.4</v>
      </c>
    </row>
    <row r="11" spans="1:4" x14ac:dyDescent="0.35">
      <c r="A11" s="17">
        <v>43220</v>
      </c>
      <c r="B11" s="16" t="s">
        <v>31</v>
      </c>
      <c r="C11" s="6">
        <f>24*42</f>
        <v>1008</v>
      </c>
      <c r="D11" s="18">
        <v>23.7</v>
      </c>
    </row>
    <row r="12" spans="1:4" x14ac:dyDescent="0.35">
      <c r="A12" s="20">
        <v>43227</v>
      </c>
      <c r="B12" s="16" t="s">
        <v>32</v>
      </c>
      <c r="C12" s="6">
        <f>24*49</f>
        <v>1176</v>
      </c>
      <c r="D12" s="15">
        <v>22.9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workbookViewId="0">
      <selection activeCell="D13" sqref="D13"/>
    </sheetView>
  </sheetViews>
  <sheetFormatPr defaultRowHeight="14.5" x14ac:dyDescent="0.35"/>
  <cols>
    <col min="1" max="1" width="10.7265625" customWidth="1"/>
  </cols>
  <sheetData>
    <row r="1" spans="1:4" ht="29" x14ac:dyDescent="0.35">
      <c r="A1" s="11" t="s">
        <v>21</v>
      </c>
      <c r="B1" s="11" t="s">
        <v>19</v>
      </c>
      <c r="C1" s="11" t="s">
        <v>20</v>
      </c>
      <c r="D1" s="13" t="s">
        <v>59</v>
      </c>
    </row>
    <row r="2" spans="1:4" x14ac:dyDescent="0.35">
      <c r="A2" s="14">
        <v>43178</v>
      </c>
      <c r="B2" s="5" t="s">
        <v>22</v>
      </c>
      <c r="C2" s="6">
        <v>4</v>
      </c>
      <c r="D2" s="15">
        <v>3.62</v>
      </c>
    </row>
    <row r="3" spans="1:4" x14ac:dyDescent="0.35">
      <c r="A3" s="14">
        <v>43179</v>
      </c>
      <c r="B3" s="16" t="s">
        <v>23</v>
      </c>
      <c r="C3" s="6">
        <v>28</v>
      </c>
      <c r="D3" s="15">
        <v>3.69</v>
      </c>
    </row>
    <row r="4" spans="1:4" x14ac:dyDescent="0.35">
      <c r="A4" s="14">
        <v>43180</v>
      </c>
      <c r="B4" s="16" t="s">
        <v>24</v>
      </c>
      <c r="C4" s="6">
        <v>48</v>
      </c>
      <c r="D4" s="15">
        <v>4.24</v>
      </c>
    </row>
    <row r="5" spans="1:4" x14ac:dyDescent="0.35">
      <c r="A5" s="14">
        <v>43181</v>
      </c>
      <c r="B5" s="16" t="s">
        <v>25</v>
      </c>
      <c r="C5" s="6">
        <v>72</v>
      </c>
      <c r="D5" s="15">
        <v>5.66</v>
      </c>
    </row>
    <row r="6" spans="1:4" x14ac:dyDescent="0.35">
      <c r="A6" s="14">
        <v>43185</v>
      </c>
      <c r="B6" s="16" t="s">
        <v>26</v>
      </c>
      <c r="C6" s="6">
        <f>24*7</f>
        <v>168</v>
      </c>
      <c r="D6" s="15">
        <v>8.0299999999999994</v>
      </c>
    </row>
    <row r="7" spans="1:4" x14ac:dyDescent="0.35">
      <c r="A7" s="17">
        <v>43192</v>
      </c>
      <c r="B7" s="16" t="s">
        <v>27</v>
      </c>
      <c r="C7" s="6">
        <f>24*14</f>
        <v>336</v>
      </c>
      <c r="D7" s="18">
        <v>5.35</v>
      </c>
    </row>
    <row r="8" spans="1:4" x14ac:dyDescent="0.35">
      <c r="A8" s="17">
        <v>43199</v>
      </c>
      <c r="B8" s="19" t="s">
        <v>28</v>
      </c>
      <c r="C8" s="6">
        <f>24*21</f>
        <v>504</v>
      </c>
      <c r="D8" s="15">
        <v>5.85</v>
      </c>
    </row>
    <row r="9" spans="1:4" x14ac:dyDescent="0.35">
      <c r="A9" s="17">
        <v>43206</v>
      </c>
      <c r="B9" s="16" t="s">
        <v>29</v>
      </c>
      <c r="C9" s="6">
        <f>24*28</f>
        <v>672</v>
      </c>
      <c r="D9" s="15">
        <v>5.88</v>
      </c>
    </row>
    <row r="10" spans="1:4" x14ac:dyDescent="0.35">
      <c r="A10" s="17">
        <v>43213</v>
      </c>
      <c r="B10" s="16" t="s">
        <v>30</v>
      </c>
      <c r="C10" s="6">
        <f>24*35</f>
        <v>840</v>
      </c>
      <c r="D10" s="18">
        <v>5.12</v>
      </c>
    </row>
    <row r="11" spans="1:4" x14ac:dyDescent="0.35">
      <c r="A11" s="17">
        <v>43220</v>
      </c>
      <c r="B11" s="16" t="s">
        <v>31</v>
      </c>
      <c r="C11" s="6">
        <f>24*42</f>
        <v>1008</v>
      </c>
      <c r="D11" s="18">
        <v>5.65</v>
      </c>
    </row>
    <row r="12" spans="1:4" x14ac:dyDescent="0.35">
      <c r="A12" s="20">
        <v>43227</v>
      </c>
      <c r="B12" s="16" t="s">
        <v>32</v>
      </c>
      <c r="C12" s="6">
        <f>24*49</f>
        <v>1176</v>
      </c>
      <c r="D12" s="15">
        <v>4.97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8AB2D-59DF-4FB4-9638-17DC727C2030}">
  <dimension ref="A1:B18"/>
  <sheetViews>
    <sheetView workbookViewId="0">
      <selection activeCell="B19" sqref="B19"/>
    </sheetView>
  </sheetViews>
  <sheetFormatPr defaultRowHeight="14.5" x14ac:dyDescent="0.35"/>
  <cols>
    <col min="2" max="2" width="29.81640625" customWidth="1"/>
  </cols>
  <sheetData>
    <row r="1" spans="1:2" x14ac:dyDescent="0.35">
      <c r="A1" s="48" t="s">
        <v>60</v>
      </c>
      <c r="B1" s="48" t="s">
        <v>61</v>
      </c>
    </row>
    <row r="2" spans="1:2" x14ac:dyDescent="0.35">
      <c r="A2" t="s">
        <v>62</v>
      </c>
      <c r="B2" t="s">
        <v>63</v>
      </c>
    </row>
    <row r="3" spans="1:2" x14ac:dyDescent="0.35">
      <c r="A3" t="s">
        <v>64</v>
      </c>
      <c r="B3" t="s">
        <v>65</v>
      </c>
    </row>
    <row r="4" spans="1:2" x14ac:dyDescent="0.35">
      <c r="A4" t="s">
        <v>66</v>
      </c>
      <c r="B4" t="s">
        <v>67</v>
      </c>
    </row>
    <row r="5" spans="1:2" x14ac:dyDescent="0.35">
      <c r="A5" t="s">
        <v>68</v>
      </c>
      <c r="B5" t="s">
        <v>69</v>
      </c>
    </row>
    <row r="6" spans="1:2" x14ac:dyDescent="0.35">
      <c r="A6" t="s">
        <v>70</v>
      </c>
      <c r="B6" t="s">
        <v>71</v>
      </c>
    </row>
    <row r="7" spans="1:2" x14ac:dyDescent="0.35">
      <c r="A7" t="s">
        <v>72</v>
      </c>
      <c r="B7" t="s">
        <v>73</v>
      </c>
    </row>
    <row r="8" spans="1:2" x14ac:dyDescent="0.35">
      <c r="A8" t="s">
        <v>74</v>
      </c>
      <c r="B8" t="s">
        <v>75</v>
      </c>
    </row>
    <row r="9" spans="1:2" x14ac:dyDescent="0.35">
      <c r="A9" t="s">
        <v>76</v>
      </c>
      <c r="B9" t="s">
        <v>77</v>
      </c>
    </row>
    <row r="10" spans="1:2" x14ac:dyDescent="0.35">
      <c r="A10" t="s">
        <v>78</v>
      </c>
      <c r="B10" t="s">
        <v>79</v>
      </c>
    </row>
    <row r="11" spans="1:2" x14ac:dyDescent="0.35">
      <c r="A11" t="s">
        <v>80</v>
      </c>
      <c r="B11" t="s">
        <v>81</v>
      </c>
    </row>
    <row r="12" spans="1:2" x14ac:dyDescent="0.35">
      <c r="A12" t="s">
        <v>82</v>
      </c>
      <c r="B12" t="s">
        <v>83</v>
      </c>
    </row>
    <row r="13" spans="1:2" x14ac:dyDescent="0.35">
      <c r="A13" t="s">
        <v>84</v>
      </c>
      <c r="B13" t="s">
        <v>85</v>
      </c>
    </row>
    <row r="14" spans="1:2" x14ac:dyDescent="0.35">
      <c r="A14" t="s">
        <v>86</v>
      </c>
      <c r="B14" t="s">
        <v>87</v>
      </c>
    </row>
    <row r="15" spans="1:2" x14ac:dyDescent="0.35">
      <c r="A15" t="s">
        <v>88</v>
      </c>
      <c r="B15" s="49" t="s">
        <v>89</v>
      </c>
    </row>
    <row r="16" spans="1:2" x14ac:dyDescent="0.35">
      <c r="A16" t="s">
        <v>90</v>
      </c>
      <c r="B16" t="s">
        <v>91</v>
      </c>
    </row>
    <row r="17" spans="1:2" x14ac:dyDescent="0.35">
      <c r="A17" t="s">
        <v>92</v>
      </c>
      <c r="B17" t="s">
        <v>93</v>
      </c>
    </row>
    <row r="18" spans="1:2" x14ac:dyDescent="0.35">
      <c r="A18" t="s">
        <v>94</v>
      </c>
      <c r="B18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MS2</vt:lpstr>
      <vt:lpstr>COD</vt:lpstr>
      <vt:lpstr>NH3</vt:lpstr>
      <vt:lpstr>TSS &amp; VSS</vt:lpstr>
      <vt:lpstr>Temp</vt:lpstr>
      <vt:lpstr>DO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Gune</dc:creator>
  <cp:lastModifiedBy>Burdsall, Adam</cp:lastModifiedBy>
  <dcterms:created xsi:type="dcterms:W3CDTF">2018-05-18T17:50:53Z</dcterms:created>
  <dcterms:modified xsi:type="dcterms:W3CDTF">2022-10-03T15:38:55Z</dcterms:modified>
</cp:coreProperties>
</file>