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burdsall_adam_epa_gov/Documents/Profile/Documents/Projects/Magnuson/Surrogate Transport/3_Data/ScienceHubDataCor/"/>
    </mc:Choice>
  </mc:AlternateContent>
  <xr:revisionPtr revIDLastSave="11" documentId="10_ncr:100000_{F2F67670-F636-4BFA-B8D2-D4B573CA5B43}" xr6:coauthVersionLast="47" xr6:coauthVersionMax="47" xr10:uidLastSave="{9EE02C95-D56C-482D-96E9-1AE9A93C2E17}"/>
  <bookViews>
    <workbookView xWindow="-110" yWindow="-110" windowWidth="19420" windowHeight="10420" activeTab="3" xr2:uid="{00000000-000D-0000-FFFF-FFFF00000000}"/>
  </bookViews>
  <sheets>
    <sheet name="BG " sheetId="1" r:id="rId1"/>
    <sheet name="COD" sheetId="2" r:id="rId2"/>
    <sheet name="NH3" sheetId="3" r:id="rId3"/>
    <sheet name="TSS &amp; VSS" sheetId="4" r:id="rId4"/>
    <sheet name="DO" sheetId="5" r:id="rId5"/>
    <sheet name="Temperature" sheetId="6" r:id="rId6"/>
    <sheet name="Data Dictionary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3" i="4" l="1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F4" i="1" l="1"/>
  <c r="F5" i="1"/>
  <c r="K13" i="3" l="1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2" i="3"/>
  <c r="K11" i="3"/>
  <c r="K10" i="3"/>
  <c r="K9" i="3"/>
  <c r="K8" i="3"/>
  <c r="K7" i="3"/>
  <c r="K6" i="3"/>
  <c r="K5" i="3"/>
  <c r="K4" i="3"/>
  <c r="E13" i="3" l="1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4" i="2"/>
  <c r="K4" i="2"/>
  <c r="E5" i="2"/>
  <c r="K5" i="2"/>
  <c r="E6" i="2"/>
  <c r="K6" i="2"/>
  <c r="E7" i="2"/>
  <c r="K7" i="2"/>
  <c r="E8" i="2"/>
  <c r="K8" i="2"/>
  <c r="E9" i="2"/>
  <c r="K9" i="2"/>
  <c r="E10" i="2"/>
  <c r="K10" i="2"/>
  <c r="E11" i="2"/>
  <c r="K11" i="2"/>
  <c r="E12" i="2"/>
  <c r="K12" i="2"/>
  <c r="E13" i="2"/>
  <c r="E14" i="2"/>
  <c r="K14" i="2"/>
  <c r="E15" i="2"/>
  <c r="K15" i="2"/>
  <c r="E16" i="2"/>
  <c r="K16" i="2"/>
  <c r="E17" i="2"/>
  <c r="K17" i="2"/>
  <c r="E18" i="2"/>
  <c r="K18" i="2"/>
  <c r="E19" i="2"/>
  <c r="K19" i="2"/>
  <c r="E20" i="2"/>
  <c r="K20" i="2"/>
  <c r="E21" i="2"/>
  <c r="K21" i="2"/>
  <c r="E22" i="2"/>
  <c r="K22" i="2"/>
  <c r="E23" i="2"/>
  <c r="K23" i="2"/>
  <c r="E24" i="2"/>
  <c r="K24" i="2"/>
  <c r="E25" i="2"/>
  <c r="K25" i="2"/>
  <c r="E26" i="2"/>
  <c r="K26" i="2"/>
  <c r="E27" i="2"/>
  <c r="K27" i="2"/>
  <c r="E28" i="2"/>
  <c r="K28" i="2"/>
  <c r="E29" i="2"/>
  <c r="K29" i="2"/>
  <c r="E30" i="2"/>
  <c r="K30" i="2"/>
  <c r="E31" i="2"/>
  <c r="K31" i="2"/>
  <c r="E32" i="2"/>
  <c r="K32" i="2"/>
  <c r="E33" i="2"/>
  <c r="K33" i="2"/>
  <c r="E4" i="1"/>
  <c r="G4" i="1"/>
  <c r="I4" i="1"/>
  <c r="J4" i="1"/>
  <c r="E5" i="1"/>
  <c r="G5" i="1"/>
  <c r="I5" i="1"/>
  <c r="J5" i="1"/>
  <c r="E6" i="1"/>
  <c r="F6" i="1"/>
  <c r="G6" i="1"/>
  <c r="E7" i="1"/>
  <c r="F7" i="1"/>
  <c r="G7" i="1"/>
  <c r="J7" i="1"/>
  <c r="E8" i="1"/>
  <c r="F8" i="1"/>
  <c r="G8" i="1"/>
  <c r="E9" i="1"/>
  <c r="G9" i="1"/>
  <c r="E10" i="1"/>
  <c r="F10" i="1"/>
  <c r="G10" i="1"/>
  <c r="I10" i="1"/>
  <c r="J10" i="1"/>
  <c r="E11" i="1"/>
  <c r="F11" i="1"/>
  <c r="G11" i="1"/>
  <c r="H11" i="1"/>
  <c r="I11" i="1"/>
  <c r="J11" i="1"/>
  <c r="E12" i="1"/>
  <c r="F12" i="1"/>
  <c r="G12" i="1"/>
  <c r="H12" i="1"/>
  <c r="I12" i="1"/>
  <c r="J12" i="1"/>
  <c r="E13" i="1"/>
  <c r="F13" i="1"/>
  <c r="G13" i="1"/>
  <c r="H13" i="1"/>
  <c r="I13" i="1"/>
  <c r="J13" i="1"/>
  <c r="E14" i="1"/>
  <c r="G14" i="1"/>
  <c r="H14" i="1"/>
  <c r="I14" i="1"/>
  <c r="J14" i="1"/>
  <c r="E15" i="1"/>
  <c r="F15" i="1"/>
  <c r="G15" i="1"/>
  <c r="H15" i="1"/>
  <c r="I15" i="1"/>
  <c r="J15" i="1"/>
  <c r="E16" i="1"/>
  <c r="F16" i="1"/>
  <c r="H16" i="1"/>
  <c r="I16" i="1"/>
  <c r="E17" i="1"/>
  <c r="F17" i="1"/>
  <c r="H17" i="1"/>
  <c r="I17" i="1"/>
  <c r="E18" i="1"/>
  <c r="F18" i="1"/>
  <c r="G18" i="1"/>
  <c r="H18" i="1"/>
  <c r="I18" i="1"/>
  <c r="E19" i="1"/>
  <c r="F19" i="1"/>
  <c r="G19" i="1"/>
  <c r="H19" i="1"/>
  <c r="I19" i="1"/>
  <c r="J19" i="1"/>
  <c r="E20" i="1"/>
  <c r="F20" i="1"/>
  <c r="G20" i="1"/>
  <c r="E21" i="1"/>
  <c r="F21" i="1"/>
  <c r="G21" i="1"/>
  <c r="J21" i="1"/>
  <c r="E22" i="1"/>
  <c r="G22" i="1"/>
  <c r="H22" i="1"/>
  <c r="I22" i="1"/>
  <c r="E23" i="1"/>
  <c r="F23" i="1"/>
  <c r="G23" i="1"/>
  <c r="H23" i="1"/>
  <c r="I23" i="1"/>
  <c r="J23" i="1"/>
  <c r="E24" i="1"/>
  <c r="F24" i="1"/>
  <c r="G24" i="1"/>
  <c r="H24" i="1"/>
  <c r="I24" i="1"/>
  <c r="J24" i="1"/>
  <c r="E25" i="1"/>
  <c r="F25" i="1"/>
  <c r="G25" i="1"/>
  <c r="H25" i="1"/>
  <c r="I25" i="1"/>
  <c r="J25" i="1"/>
  <c r="E26" i="1"/>
  <c r="G26" i="1"/>
  <c r="H26" i="1"/>
  <c r="I26" i="1"/>
  <c r="J26" i="1"/>
  <c r="E27" i="1"/>
  <c r="F27" i="1"/>
  <c r="G27" i="1"/>
  <c r="H27" i="1"/>
  <c r="I27" i="1"/>
  <c r="J27" i="1"/>
  <c r="E28" i="1"/>
  <c r="F28" i="1"/>
  <c r="G28" i="1"/>
  <c r="H28" i="1"/>
  <c r="I28" i="1"/>
  <c r="J28" i="1"/>
  <c r="E29" i="1"/>
  <c r="F29" i="1"/>
  <c r="G29" i="1"/>
  <c r="H29" i="1"/>
  <c r="I29" i="1"/>
  <c r="J29" i="1"/>
  <c r="E30" i="1"/>
  <c r="I30" i="1"/>
  <c r="J30" i="1"/>
  <c r="E31" i="1"/>
  <c r="G31" i="1"/>
  <c r="H31" i="1"/>
  <c r="I31" i="1"/>
  <c r="J31" i="1"/>
  <c r="E32" i="1"/>
  <c r="H32" i="1"/>
  <c r="I32" i="1"/>
  <c r="J32" i="1"/>
  <c r="E33" i="1"/>
  <c r="G33" i="1"/>
  <c r="J33" i="1"/>
  <c r="E4" i="3"/>
  <c r="E5" i="3"/>
  <c r="E6" i="3"/>
  <c r="E7" i="3"/>
  <c r="E8" i="3"/>
  <c r="E9" i="3"/>
  <c r="E10" i="3"/>
  <c r="E11" i="3"/>
  <c r="E12" i="3"/>
  <c r="E26" i="4" l="1"/>
  <c r="E25" i="4"/>
  <c r="E32" i="6"/>
  <c r="E31" i="6"/>
  <c r="E32" i="5"/>
  <c r="E31" i="5"/>
  <c r="E29" i="6" l="1"/>
  <c r="E30" i="6"/>
  <c r="E29" i="5"/>
  <c r="E30" i="5"/>
  <c r="E23" i="4"/>
  <c r="E24" i="4"/>
  <c r="E28" i="6" l="1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2" i="4" l="1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Silva, Gune</author>
  </authors>
  <commentList>
    <comment ref="J2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Silva, Gune:</t>
        </r>
        <r>
          <rPr>
            <sz val="9"/>
            <color indexed="81"/>
            <rFont val="Tahoma"/>
            <family val="2"/>
          </rPr>
          <t xml:space="preserve">
Effluent was collected after disturbances due to line block.</t>
        </r>
      </text>
    </comment>
  </commentList>
</comments>
</file>

<file path=xl/sharedStrings.xml><?xml version="1.0" encoding="utf-8"?>
<sst xmlns="http://schemas.openxmlformats.org/spreadsheetml/2006/main" count="349" uniqueCount="95">
  <si>
    <r>
      <rPr>
        <i/>
        <sz val="11"/>
        <color theme="1"/>
        <rFont val="Calibri"/>
        <family val="2"/>
        <scheme val="minor"/>
      </rPr>
      <t>B. globigii</t>
    </r>
    <r>
      <rPr>
        <sz val="11"/>
        <color theme="1"/>
        <rFont val="Calibri"/>
        <family val="2"/>
        <scheme val="minor"/>
      </rPr>
      <t xml:space="preserve"> (CFU/mL)</t>
    </r>
  </si>
  <si>
    <t>SP-01</t>
  </si>
  <si>
    <t>SP-03</t>
  </si>
  <si>
    <t>SP-04</t>
  </si>
  <si>
    <t>SP-05</t>
  </si>
  <si>
    <t>SP-06</t>
  </si>
  <si>
    <t>Sample ID</t>
  </si>
  <si>
    <t>Sample Time (hrs)</t>
  </si>
  <si>
    <t>Sample Time (days)</t>
  </si>
  <si>
    <t>Influent</t>
  </si>
  <si>
    <t>Primary Clarifier Effluent</t>
  </si>
  <si>
    <t>Return Activated Sludge</t>
  </si>
  <si>
    <t>Aeration Basin Effluent</t>
  </si>
  <si>
    <t>Effluent</t>
  </si>
  <si>
    <t>D01-00</t>
  </si>
  <si>
    <t>D01-02</t>
  </si>
  <si>
    <t>D01-05</t>
  </si>
  <si>
    <t>D01-08</t>
  </si>
  <si>
    <t>D02-24</t>
  </si>
  <si>
    <t>D02-32</t>
  </si>
  <si>
    <t>D03-48</t>
  </si>
  <si>
    <t>D04-72</t>
  </si>
  <si>
    <t>D04-74</t>
  </si>
  <si>
    <t>D04-77</t>
  </si>
  <si>
    <t>D04-80</t>
  </si>
  <si>
    <t>D05-96</t>
  </si>
  <si>
    <t>D06-120</t>
  </si>
  <si>
    <t>D07-144</t>
  </si>
  <si>
    <t>D08-168</t>
  </si>
  <si>
    <t>D10-216</t>
  </si>
  <si>
    <t>Temperature C</t>
  </si>
  <si>
    <t xml:space="preserve">Aeration Basin </t>
  </si>
  <si>
    <t>Sampling Date</t>
  </si>
  <si>
    <t>D15-336</t>
  </si>
  <si>
    <t>D17-384</t>
  </si>
  <si>
    <t>D22-504</t>
  </si>
  <si>
    <t>D24-552</t>
  </si>
  <si>
    <t>DO mg/L</t>
  </si>
  <si>
    <t>Stage</t>
  </si>
  <si>
    <t>Pre-contamination</t>
  </si>
  <si>
    <t xml:space="preserve">During Contamination </t>
  </si>
  <si>
    <t>Post-Contamination</t>
  </si>
  <si>
    <t>COD Removal (%)</t>
  </si>
  <si>
    <t>D29-672</t>
  </si>
  <si>
    <t>D31-720</t>
  </si>
  <si>
    <t>D35-816</t>
  </si>
  <si>
    <t>D38-888</t>
  </si>
  <si>
    <t>D43-1008</t>
  </si>
  <si>
    <t>D45-1056</t>
  </si>
  <si>
    <t>D50-1176</t>
  </si>
  <si>
    <t>D52-1224</t>
  </si>
  <si>
    <t>D57-1225</t>
  </si>
  <si>
    <t>D59-1226</t>
  </si>
  <si>
    <t xml:space="preserve">During contamination </t>
  </si>
  <si>
    <t>NH3 Removal (%)</t>
  </si>
  <si>
    <r>
      <rPr>
        <sz val="11"/>
        <color theme="1"/>
        <rFont val="Calibri"/>
        <family val="2"/>
        <scheme val="minor"/>
      </rPr>
      <t>COD</t>
    </r>
    <r>
      <rPr>
        <i/>
        <sz val="11"/>
        <color theme="1"/>
        <rFont val="Calibri"/>
        <family val="2"/>
        <scheme val="minor"/>
      </rPr>
      <t xml:space="preserve"> mg/L</t>
    </r>
  </si>
  <si>
    <r>
      <t>NH3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(mg/L)</t>
    </r>
  </si>
  <si>
    <t>TSS (mg/L)</t>
  </si>
  <si>
    <r>
      <t>VSS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(mg/L)</t>
    </r>
  </si>
  <si>
    <t>Acronym</t>
  </si>
  <si>
    <t>Definition</t>
  </si>
  <si>
    <t>COD</t>
  </si>
  <si>
    <t>Chemcial Oxygen Demand</t>
  </si>
  <si>
    <t>SP</t>
  </si>
  <si>
    <t>Sample Point</t>
  </si>
  <si>
    <t>NH3</t>
  </si>
  <si>
    <t>Ammonia</t>
  </si>
  <si>
    <t>ID</t>
  </si>
  <si>
    <t>Identification</t>
  </si>
  <si>
    <t>TSS</t>
  </si>
  <si>
    <t>Total Suspended Solids</t>
  </si>
  <si>
    <t>VSS</t>
  </si>
  <si>
    <t>Volatile Suspended Solids</t>
  </si>
  <si>
    <t>C</t>
  </si>
  <si>
    <t>Celcius</t>
  </si>
  <si>
    <t>DO</t>
  </si>
  <si>
    <t>Dissolved Oxygen</t>
  </si>
  <si>
    <t>SRT</t>
  </si>
  <si>
    <t>Solids Retention Time</t>
  </si>
  <si>
    <t>MLSS</t>
  </si>
  <si>
    <t>Mixed Liquor Suspended Solids</t>
  </si>
  <si>
    <t>SVI</t>
  </si>
  <si>
    <t>Sludge Volume Index</t>
  </si>
  <si>
    <t>Phi-6</t>
  </si>
  <si>
    <t>Surrogate virus phi-6</t>
  </si>
  <si>
    <t>MS-2</t>
  </si>
  <si>
    <t>Surrogate virus MS-2</t>
  </si>
  <si>
    <t>BG</t>
  </si>
  <si>
    <t>Bacillus globigii</t>
  </si>
  <si>
    <t>PFU</t>
  </si>
  <si>
    <t>Plaque Forming Unit</t>
  </si>
  <si>
    <t>GAC</t>
  </si>
  <si>
    <t>Granular Activated Cardon</t>
  </si>
  <si>
    <t>Temp</t>
  </si>
  <si>
    <t>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</si>
</sst>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E+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/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2" borderId="4" xfId="0" applyNumberFormat="1" applyFill="1" applyBorder="1"/>
    <xf numFmtId="165" fontId="0" fillId="0" borderId="4" xfId="0" applyNumberFormat="1" applyBorder="1"/>
    <xf numFmtId="165" fontId="0" fillId="2" borderId="0" xfId="0" applyNumberFormat="1" applyFill="1"/>
    <xf numFmtId="0" fontId="0" fillId="0" borderId="4" xfId="0" applyNumberFormat="1" applyBorder="1" applyAlignment="1">
      <alignment horizontal="center"/>
    </xf>
    <xf numFmtId="0" fontId="0" fillId="0" borderId="4" xfId="0" applyBorder="1" applyAlignment="1">
      <alignment wrapText="1"/>
    </xf>
    <xf numFmtId="14" fontId="0" fillId="0" borderId="4" xfId="0" applyNumberFormat="1" applyBorder="1"/>
    <xf numFmtId="2" fontId="0" fillId="0" borderId="4" xfId="0" applyNumberFormat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3" fillId="0" borderId="4" xfId="0" applyFont="1" applyBorder="1"/>
    <xf numFmtId="0" fontId="0" fillId="0" borderId="6" xfId="0" applyFill="1" applyBorder="1" applyAlignment="1">
      <alignment horizontal="center" wrapText="1"/>
    </xf>
    <xf numFmtId="0" fontId="0" fillId="2" borderId="0" xfId="0" applyNumberFormat="1" applyFill="1" applyAlignment="1">
      <alignment horizontal="center"/>
    </xf>
    <xf numFmtId="0" fontId="0" fillId="0" borderId="4" xfId="0" applyFill="1" applyBorder="1"/>
    <xf numFmtId="1" fontId="0" fillId="0" borderId="4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1" fontId="0" fillId="0" borderId="4" xfId="0" applyNumberFormat="1" applyBorder="1"/>
    <xf numFmtId="1" fontId="0" fillId="0" borderId="4" xfId="0" applyNumberFormat="1" applyFill="1" applyBorder="1"/>
    <xf numFmtId="1" fontId="0" fillId="0" borderId="4" xfId="0" applyNumberFormat="1" applyFill="1" applyBorder="1" applyAlignment="1">
      <alignment horizontal="right" wrapText="1"/>
    </xf>
    <xf numFmtId="1" fontId="0" fillId="0" borderId="4" xfId="0" applyNumberFormat="1" applyFill="1" applyBorder="1" applyAlignment="1">
      <alignment horizontal="right" vertical="center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1" fontId="0" fillId="2" borderId="4" xfId="0" applyNumberFormat="1" applyFill="1" applyBorder="1"/>
    <xf numFmtId="1" fontId="0" fillId="2" borderId="4" xfId="0" applyNumberFormat="1" applyFill="1" applyBorder="1" applyAlignment="1">
      <alignment horizontal="right" wrapText="1"/>
    </xf>
    <xf numFmtId="1" fontId="0" fillId="2" borderId="4" xfId="0" applyNumberFormat="1" applyFill="1" applyBorder="1" applyAlignment="1">
      <alignment horizontal="right" vertical="center" wrapText="1"/>
    </xf>
    <xf numFmtId="0" fontId="7" fillId="0" borderId="0" xfId="0" applyFont="1"/>
    <xf numFmtId="0" fontId="2" fillId="0" borderId="0" xfId="0" applyFont="1"/>
    <xf numFmtId="0" fontId="1" fillId="0" borderId="5" xfId="0" applyFont="1" applyBorder="1" applyAlignment="1">
      <alignment vertical="center" readingOrder="2"/>
    </xf>
    <xf numFmtId="0" fontId="1" fillId="0" borderId="6" xfId="0" applyFont="1" applyBorder="1" applyAlignment="1">
      <alignment vertical="center" readingOrder="2"/>
    </xf>
    <xf numFmtId="0" fontId="1" fillId="0" borderId="7" xfId="0" applyFont="1" applyBorder="1" applyAlignment="1">
      <alignment vertical="center" readingOrder="2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/>
    <xf numFmtId="0" fontId="0" fillId="0" borderId="7" xfId="0" applyBorder="1" applyAlignment="1"/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/>
    <xf numFmtId="0" fontId="0" fillId="0" borderId="6" xfId="0" applyBorder="1" applyAlignment="1">
      <alignment vertical="center" readingOrder="2"/>
    </xf>
    <xf numFmtId="0" fontId="0" fillId="0" borderId="7" xfId="0" applyBorder="1" applyAlignment="1">
      <alignment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opLeftCell="A4" workbookViewId="0">
      <selection activeCell="H3" sqref="H3:I3"/>
    </sheetView>
  </sheetViews>
  <sheetFormatPr defaultRowHeight="14.5" x14ac:dyDescent="0.35"/>
  <cols>
    <col min="1" max="1" width="20" customWidth="1"/>
    <col min="2" max="2" width="10.54296875" customWidth="1"/>
    <col min="12" max="12" width="9.1796875" customWidth="1"/>
  </cols>
  <sheetData>
    <row r="1" spans="1:18" x14ac:dyDescent="0.35">
      <c r="F1" s="42" t="s">
        <v>0</v>
      </c>
      <c r="G1" s="43"/>
      <c r="H1" s="43"/>
      <c r="I1" s="43"/>
      <c r="J1" s="44"/>
    </row>
    <row r="2" spans="1:18" x14ac:dyDescent="0.35">
      <c r="F2" s="1" t="s">
        <v>1</v>
      </c>
      <c r="G2" s="2" t="s">
        <v>2</v>
      </c>
      <c r="H2" s="1" t="s">
        <v>3</v>
      </c>
      <c r="I2" s="2" t="s">
        <v>4</v>
      </c>
      <c r="J2" s="1" t="s">
        <v>5</v>
      </c>
    </row>
    <row r="3" spans="1:18" ht="43.5" x14ac:dyDescent="0.35">
      <c r="A3" s="5" t="s">
        <v>38</v>
      </c>
      <c r="B3" s="14" t="s">
        <v>32</v>
      </c>
      <c r="C3" s="14" t="s">
        <v>6</v>
      </c>
      <c r="D3" s="14" t="s">
        <v>7</v>
      </c>
      <c r="E3" s="14" t="s">
        <v>8</v>
      </c>
      <c r="F3" s="3" t="s">
        <v>9</v>
      </c>
      <c r="G3" s="4" t="s">
        <v>10</v>
      </c>
      <c r="H3" s="3" t="s">
        <v>12</v>
      </c>
      <c r="I3" s="4" t="s">
        <v>11</v>
      </c>
      <c r="J3" s="3" t="s">
        <v>13</v>
      </c>
    </row>
    <row r="4" spans="1:18" x14ac:dyDescent="0.35">
      <c r="A4" s="18" t="s">
        <v>39</v>
      </c>
      <c r="B4" s="15">
        <v>42626</v>
      </c>
      <c r="C4" s="5" t="s">
        <v>14</v>
      </c>
      <c r="D4" s="6">
        <v>0</v>
      </c>
      <c r="E4" s="7">
        <f>D4/24</f>
        <v>0</v>
      </c>
      <c r="F4" s="8">
        <f>AVERAGE(3,4.1)</f>
        <v>3.55</v>
      </c>
      <c r="G4" s="9">
        <f>AVERAGE(4.5,2.1)</f>
        <v>3.3</v>
      </c>
      <c r="H4" s="8">
        <v>7</v>
      </c>
      <c r="I4" s="9">
        <f>AVERAGE(45,31)</f>
        <v>38</v>
      </c>
      <c r="J4" s="8">
        <f>AVERAGE(10,5,2.5)</f>
        <v>5.833333333333333</v>
      </c>
      <c r="K4" s="25"/>
      <c r="N4" s="31"/>
      <c r="O4" s="31"/>
      <c r="P4" s="31"/>
      <c r="Q4" s="31"/>
      <c r="R4" s="31"/>
    </row>
    <row r="5" spans="1:18" x14ac:dyDescent="0.35">
      <c r="A5" s="39" t="s">
        <v>40</v>
      </c>
      <c r="B5" s="15">
        <v>42626</v>
      </c>
      <c r="C5" s="5" t="s">
        <v>15</v>
      </c>
      <c r="D5" s="6">
        <v>2</v>
      </c>
      <c r="E5" s="7">
        <f t="shared" ref="E5:E31" si="0">D5/24</f>
        <v>8.3333333333333329E-2</v>
      </c>
      <c r="F5" s="10">
        <f>AVERAGE(1300000,640000)</f>
        <v>970000</v>
      </c>
      <c r="G5" s="11">
        <f>AVERAGE(900000,490000)</f>
        <v>695000</v>
      </c>
      <c r="H5" s="10">
        <v>42000</v>
      </c>
      <c r="I5" s="11">
        <f>AVERAGE(45000,45000)</f>
        <v>45000</v>
      </c>
      <c r="J5" s="8">
        <f>AVERAGE(6000,5300)</f>
        <v>5650</v>
      </c>
      <c r="K5" s="25"/>
      <c r="N5" s="25"/>
      <c r="O5" s="25"/>
      <c r="P5" s="25"/>
      <c r="Q5" s="25"/>
      <c r="R5" s="25"/>
    </row>
    <row r="6" spans="1:18" x14ac:dyDescent="0.35">
      <c r="A6" s="40"/>
      <c r="B6" s="15">
        <v>42626</v>
      </c>
      <c r="C6" s="5" t="s">
        <v>16</v>
      </c>
      <c r="D6" s="6">
        <v>5</v>
      </c>
      <c r="E6" s="7">
        <f t="shared" si="0"/>
        <v>0.20833333333333334</v>
      </c>
      <c r="F6" s="8">
        <f>AVERAGE(450000,460000)</f>
        <v>455000</v>
      </c>
      <c r="G6" s="9">
        <f>AVERAGE(450000,470000)</f>
        <v>460000</v>
      </c>
      <c r="H6" s="8">
        <v>230000</v>
      </c>
      <c r="I6" s="9">
        <v>320000</v>
      </c>
      <c r="J6" s="8">
        <v>81000</v>
      </c>
      <c r="K6" s="25"/>
      <c r="M6" s="25"/>
      <c r="N6" s="25"/>
      <c r="O6" s="25"/>
      <c r="P6" s="25"/>
      <c r="Q6" s="25"/>
      <c r="R6" s="25"/>
    </row>
    <row r="7" spans="1:18" x14ac:dyDescent="0.35">
      <c r="A7" s="40"/>
      <c r="B7" s="15">
        <v>42626</v>
      </c>
      <c r="C7" s="5" t="s">
        <v>17</v>
      </c>
      <c r="D7" s="6">
        <v>8</v>
      </c>
      <c r="E7" s="7">
        <f t="shared" si="0"/>
        <v>0.33333333333333331</v>
      </c>
      <c r="F7" s="8">
        <f>AVERAGE(400000,580000)</f>
        <v>490000</v>
      </c>
      <c r="G7" s="9">
        <f>AVERAGE(700000,580000)</f>
        <v>640000</v>
      </c>
      <c r="H7" s="8">
        <v>540000</v>
      </c>
      <c r="I7" s="9">
        <v>310000</v>
      </c>
      <c r="J7" s="8">
        <f>AVERAGE(140000,94000)</f>
        <v>117000</v>
      </c>
      <c r="K7" s="25"/>
      <c r="M7" s="25"/>
      <c r="N7" s="25"/>
      <c r="O7" s="25"/>
      <c r="P7" s="25"/>
      <c r="Q7" s="25"/>
      <c r="R7" s="25"/>
    </row>
    <row r="8" spans="1:18" x14ac:dyDescent="0.35">
      <c r="A8" s="40"/>
      <c r="B8" s="15">
        <v>42627</v>
      </c>
      <c r="C8" s="5" t="s">
        <v>18</v>
      </c>
      <c r="D8" s="6">
        <v>24</v>
      </c>
      <c r="E8" s="7">
        <f t="shared" si="0"/>
        <v>1</v>
      </c>
      <c r="F8" s="8">
        <f>AVERAGE(300000,510000)</f>
        <v>405000</v>
      </c>
      <c r="G8" s="9">
        <f>AVERAGE(400000,440000)</f>
        <v>420000</v>
      </c>
      <c r="H8" s="8">
        <v>750000</v>
      </c>
      <c r="I8" s="9">
        <v>280000</v>
      </c>
      <c r="J8" s="8">
        <v>96000</v>
      </c>
      <c r="K8" s="25"/>
      <c r="M8" s="25"/>
      <c r="N8" s="25"/>
      <c r="O8" s="25"/>
      <c r="P8" s="25"/>
      <c r="Q8" s="25"/>
      <c r="R8" s="25"/>
    </row>
    <row r="9" spans="1:18" x14ac:dyDescent="0.35">
      <c r="A9" s="40"/>
      <c r="B9" s="15">
        <v>42627</v>
      </c>
      <c r="C9" s="5" t="s">
        <v>19</v>
      </c>
      <c r="D9" s="6">
        <v>32</v>
      </c>
      <c r="E9" s="7">
        <f t="shared" si="0"/>
        <v>1.3333333333333333</v>
      </c>
      <c r="F9" s="8">
        <v>2900000</v>
      </c>
      <c r="G9" s="9">
        <f>AVERAGE(2300000,630000)</f>
        <v>1465000</v>
      </c>
      <c r="H9" s="8">
        <v>2200000</v>
      </c>
      <c r="I9" s="9">
        <v>1500000</v>
      </c>
      <c r="J9" s="8">
        <v>170000</v>
      </c>
      <c r="K9" s="25"/>
      <c r="M9" s="25"/>
      <c r="N9" s="25"/>
      <c r="O9" s="25"/>
      <c r="P9" s="25"/>
      <c r="Q9" s="25"/>
      <c r="R9" s="25"/>
    </row>
    <row r="10" spans="1:18" x14ac:dyDescent="0.35">
      <c r="A10" s="40"/>
      <c r="B10" s="15">
        <v>42628</v>
      </c>
      <c r="C10" s="5" t="s">
        <v>20</v>
      </c>
      <c r="D10" s="6">
        <v>48</v>
      </c>
      <c r="E10" s="7">
        <f t="shared" si="0"/>
        <v>2</v>
      </c>
      <c r="F10" s="8">
        <f>AVERAGE(3000000,590000)</f>
        <v>1795000</v>
      </c>
      <c r="G10" s="9">
        <f>AVERAGE(1000000,500000)</f>
        <v>750000</v>
      </c>
      <c r="H10" s="8">
        <v>1400000</v>
      </c>
      <c r="I10" s="9">
        <f>AVERAGE(2800000,960000)</f>
        <v>1880000</v>
      </c>
      <c r="J10" s="8">
        <f>AVERAGE(200000,270000)</f>
        <v>235000</v>
      </c>
      <c r="K10" s="25"/>
      <c r="M10" s="25"/>
      <c r="N10" s="25"/>
      <c r="O10" s="25"/>
      <c r="P10" s="25"/>
      <c r="Q10" s="25"/>
      <c r="R10" s="25"/>
    </row>
    <row r="11" spans="1:18" x14ac:dyDescent="0.35">
      <c r="A11" s="40"/>
      <c r="B11" s="15">
        <v>42629</v>
      </c>
      <c r="C11" s="5" t="s">
        <v>21</v>
      </c>
      <c r="D11" s="6">
        <v>72</v>
      </c>
      <c r="E11" s="7">
        <f t="shared" si="0"/>
        <v>3</v>
      </c>
      <c r="F11" s="8">
        <f>AVERAGE(250000,160000)</f>
        <v>205000</v>
      </c>
      <c r="G11" s="9">
        <f>AVERAGE(400000,220000)</f>
        <v>310000</v>
      </c>
      <c r="H11" s="8">
        <f>AVERAGE(350000,380000)</f>
        <v>365000</v>
      </c>
      <c r="I11" s="9">
        <f>AVERAGE(1900000,630000)</f>
        <v>1265000</v>
      </c>
      <c r="J11" s="8">
        <f>AVERAGE(100000,170000,160000)</f>
        <v>143333.33333333334</v>
      </c>
      <c r="K11" s="25"/>
      <c r="M11" s="25"/>
      <c r="N11" s="25"/>
      <c r="O11" s="25"/>
      <c r="P11" s="25"/>
      <c r="Q11" s="25"/>
      <c r="R11" s="25"/>
    </row>
    <row r="12" spans="1:18" x14ac:dyDescent="0.35">
      <c r="A12" s="40"/>
      <c r="B12" s="15">
        <v>42629</v>
      </c>
      <c r="C12" s="5" t="s">
        <v>22</v>
      </c>
      <c r="D12" s="6">
        <v>74</v>
      </c>
      <c r="E12" s="7">
        <f t="shared" si="0"/>
        <v>3.0833333333333335</v>
      </c>
      <c r="F12" s="8">
        <f>AVERAGE(10000,5500,7300)</f>
        <v>7600</v>
      </c>
      <c r="G12" s="9">
        <f>AVERAGE(110000,100000)</f>
        <v>105000</v>
      </c>
      <c r="H12" s="8">
        <f>AVERAGE(150000,340000)</f>
        <v>245000</v>
      </c>
      <c r="I12" s="9">
        <f>AVERAGE(300000,530000)</f>
        <v>415000</v>
      </c>
      <c r="J12" s="8">
        <f>AVERAGE(150000,190000,180000)</f>
        <v>173333.33333333334</v>
      </c>
      <c r="K12" s="25"/>
      <c r="M12" s="25"/>
      <c r="N12" s="25"/>
      <c r="O12" s="25"/>
      <c r="P12" s="25"/>
      <c r="Q12" s="25"/>
      <c r="R12" s="25"/>
    </row>
    <row r="13" spans="1:18" x14ac:dyDescent="0.35">
      <c r="A13" s="40"/>
      <c r="B13" s="15">
        <v>42629</v>
      </c>
      <c r="C13" s="5" t="s">
        <v>23</v>
      </c>
      <c r="D13" s="6">
        <v>77</v>
      </c>
      <c r="E13" s="7">
        <f t="shared" si="0"/>
        <v>3.2083333333333335</v>
      </c>
      <c r="F13" s="8">
        <f>AVERAGE(10000,6500,4200)</f>
        <v>6900</v>
      </c>
      <c r="G13" s="9">
        <f>AVERAGE(5500,5500)</f>
        <v>5500</v>
      </c>
      <c r="H13" s="8">
        <f>AVERAGE(50000,400000,210000)</f>
        <v>220000</v>
      </c>
      <c r="I13" s="9">
        <f>AVERAGE(100000,310000)</f>
        <v>205000</v>
      </c>
      <c r="J13" s="8">
        <f>AVERAGE(200000,150000,130000)</f>
        <v>160000</v>
      </c>
      <c r="K13" s="25"/>
      <c r="M13" s="25"/>
      <c r="N13" s="25"/>
      <c r="O13" s="25"/>
      <c r="P13" s="25"/>
      <c r="Q13" s="25"/>
      <c r="R13" s="25"/>
    </row>
    <row r="14" spans="1:18" x14ac:dyDescent="0.35">
      <c r="A14" s="41"/>
      <c r="B14" s="15">
        <v>42629</v>
      </c>
      <c r="C14" s="5" t="s">
        <v>24</v>
      </c>
      <c r="D14" s="6">
        <v>80</v>
      </c>
      <c r="E14" s="7">
        <f t="shared" si="0"/>
        <v>3.3333333333333335</v>
      </c>
      <c r="F14" s="8">
        <v>200</v>
      </c>
      <c r="G14" s="9">
        <f>AVERAGE(3500,3800)</f>
        <v>3650</v>
      </c>
      <c r="H14" s="8">
        <f>AVERAGE(200000,400000)</f>
        <v>300000</v>
      </c>
      <c r="I14" s="9">
        <f>AVERAGE(250000,200000)</f>
        <v>225000</v>
      </c>
      <c r="J14" s="8">
        <f>AVERAGE(150000,170000,120000)</f>
        <v>146666.66666666666</v>
      </c>
      <c r="K14" s="25"/>
      <c r="M14" s="25"/>
      <c r="N14" s="25"/>
      <c r="O14" s="25"/>
      <c r="P14" s="25"/>
      <c r="Q14" s="25"/>
      <c r="R14" s="25"/>
    </row>
    <row r="15" spans="1:18" x14ac:dyDescent="0.35">
      <c r="A15" s="45" t="s">
        <v>41</v>
      </c>
      <c r="B15" s="15">
        <v>42630</v>
      </c>
      <c r="C15" s="5" t="s">
        <v>25</v>
      </c>
      <c r="D15" s="6">
        <v>96</v>
      </c>
      <c r="E15" s="7">
        <f t="shared" si="0"/>
        <v>4</v>
      </c>
      <c r="F15" s="8">
        <f>AVERAGE(25,35)</f>
        <v>30</v>
      </c>
      <c r="G15" s="9">
        <f>AVERAGE(1500,1700)</f>
        <v>1600</v>
      </c>
      <c r="H15" s="12">
        <f>AVERAGE(100000,50000,93000)</f>
        <v>81000</v>
      </c>
      <c r="I15" s="9">
        <f>AVERAGE(100000,100000,84000)</f>
        <v>94666.666666666672</v>
      </c>
      <c r="J15" s="8">
        <f>AVERAGE(15000,34000)</f>
        <v>24500</v>
      </c>
      <c r="K15" s="25"/>
      <c r="M15" s="25"/>
      <c r="N15" s="25"/>
      <c r="O15" s="25"/>
      <c r="P15" s="25"/>
      <c r="Q15" s="25"/>
      <c r="R15" s="25"/>
    </row>
    <row r="16" spans="1:18" x14ac:dyDescent="0.35">
      <c r="A16" s="46"/>
      <c r="B16" s="15">
        <v>42631</v>
      </c>
      <c r="C16" s="5" t="s">
        <v>26</v>
      </c>
      <c r="D16" s="6">
        <v>120</v>
      </c>
      <c r="E16" s="7">
        <f t="shared" si="0"/>
        <v>5</v>
      </c>
      <c r="F16" s="8">
        <f>AVERAGE(50,15,20)</f>
        <v>28.333333333333332</v>
      </c>
      <c r="G16" s="9">
        <v>250</v>
      </c>
      <c r="H16" s="8">
        <f>AVERAGE(45000,140000)</f>
        <v>92500</v>
      </c>
      <c r="I16" s="9">
        <f>AVERAGE(50000,25000,28000)</f>
        <v>34333.333333333336</v>
      </c>
      <c r="J16" s="8">
        <v>6500</v>
      </c>
      <c r="K16" s="25"/>
      <c r="M16" s="25"/>
      <c r="N16" s="25"/>
      <c r="O16" s="25"/>
      <c r="P16" s="25"/>
      <c r="Q16" s="25"/>
      <c r="R16" s="25"/>
    </row>
    <row r="17" spans="1:18" x14ac:dyDescent="0.35">
      <c r="A17" s="46"/>
      <c r="B17" s="15">
        <v>42632</v>
      </c>
      <c r="C17" s="5" t="s">
        <v>27</v>
      </c>
      <c r="D17" s="6">
        <v>144</v>
      </c>
      <c r="E17" s="7">
        <f t="shared" si="0"/>
        <v>6</v>
      </c>
      <c r="F17" s="8">
        <f>AVERAGE(15,14)</f>
        <v>14.5</v>
      </c>
      <c r="G17" s="9">
        <v>100</v>
      </c>
      <c r="H17" s="8">
        <f>AVERAGE(100000,60000,35000)</f>
        <v>65000</v>
      </c>
      <c r="I17" s="9">
        <f>AVERAGE(50000,15000,29000)</f>
        <v>31333.333333333332</v>
      </c>
      <c r="J17" s="8">
        <v>6500</v>
      </c>
      <c r="K17" s="25"/>
      <c r="M17" s="25"/>
      <c r="N17" s="25"/>
      <c r="O17" s="25"/>
      <c r="P17" s="25"/>
      <c r="Q17" s="25"/>
      <c r="R17" s="25"/>
    </row>
    <row r="18" spans="1:18" x14ac:dyDescent="0.35">
      <c r="A18" s="46"/>
      <c r="B18" s="15">
        <v>42633</v>
      </c>
      <c r="C18" s="5" t="s">
        <v>28</v>
      </c>
      <c r="D18" s="6">
        <v>168</v>
      </c>
      <c r="E18" s="7">
        <f t="shared" si="0"/>
        <v>7</v>
      </c>
      <c r="F18" s="8">
        <f>AVERAGE(5,20)</f>
        <v>12.5</v>
      </c>
      <c r="G18" s="9">
        <f>AVERAGE(200,300)</f>
        <v>250</v>
      </c>
      <c r="H18" s="8">
        <f>AVERAGE(100000,10000,42000)</f>
        <v>50666.666666666664</v>
      </c>
      <c r="I18" s="9">
        <f>AVERAGE(50000,10000,75000)</f>
        <v>45000</v>
      </c>
      <c r="J18" s="8">
        <v>5500</v>
      </c>
      <c r="K18" s="25"/>
      <c r="M18" s="25"/>
      <c r="N18" s="25"/>
      <c r="O18" s="25"/>
      <c r="P18" s="25"/>
      <c r="Q18" s="25"/>
      <c r="R18" s="25"/>
    </row>
    <row r="19" spans="1:18" x14ac:dyDescent="0.35">
      <c r="A19" s="46"/>
      <c r="B19" s="15">
        <v>42635</v>
      </c>
      <c r="C19" s="5" t="s">
        <v>29</v>
      </c>
      <c r="D19" s="6">
        <v>216</v>
      </c>
      <c r="E19" s="7">
        <f t="shared" si="0"/>
        <v>9</v>
      </c>
      <c r="F19" s="8">
        <f>AVERAGE(11,16)</f>
        <v>13.5</v>
      </c>
      <c r="G19" s="9">
        <f>AVERAGE(25,23,19)</f>
        <v>22.333333333333332</v>
      </c>
      <c r="H19" s="8">
        <f>AVERAGE(7000,7000)</f>
        <v>7000</v>
      </c>
      <c r="I19" s="9">
        <f>AVERAGE(1500,2600,1700)</f>
        <v>1933.3333333333333</v>
      </c>
      <c r="J19" s="8">
        <f>AVERAGE(2000,1100,1100)</f>
        <v>1400</v>
      </c>
      <c r="K19" s="25"/>
      <c r="M19" s="25"/>
      <c r="N19" s="25"/>
      <c r="O19" s="25"/>
      <c r="P19" s="25"/>
      <c r="Q19" s="25"/>
      <c r="R19" s="25"/>
    </row>
    <row r="20" spans="1:18" x14ac:dyDescent="0.35">
      <c r="A20" s="46"/>
      <c r="B20" s="15">
        <v>42640</v>
      </c>
      <c r="C20" s="5" t="s">
        <v>33</v>
      </c>
      <c r="D20" s="6">
        <v>336</v>
      </c>
      <c r="E20" s="7">
        <f t="shared" si="0"/>
        <v>14</v>
      </c>
      <c r="F20" s="8">
        <f>AVERAGE(3.5,2.7)</f>
        <v>3.1</v>
      </c>
      <c r="G20" s="9">
        <f>AVERAGE(6.5,4.2)</f>
        <v>5.35</v>
      </c>
      <c r="H20" s="8">
        <v>1500</v>
      </c>
      <c r="I20" s="9">
        <v>1100</v>
      </c>
      <c r="J20" s="8">
        <v>990</v>
      </c>
      <c r="K20" s="25"/>
      <c r="N20" s="25"/>
      <c r="O20" s="25"/>
      <c r="P20" s="25"/>
      <c r="Q20" s="25"/>
      <c r="R20" s="25"/>
    </row>
    <row r="21" spans="1:18" x14ac:dyDescent="0.35">
      <c r="A21" s="46"/>
      <c r="B21" s="15">
        <v>42642</v>
      </c>
      <c r="C21" s="5" t="s">
        <v>34</v>
      </c>
      <c r="D21" s="6">
        <v>384</v>
      </c>
      <c r="E21" s="7">
        <f t="shared" si="0"/>
        <v>16</v>
      </c>
      <c r="F21" s="8">
        <f>AVERAGE(6.4,6)</f>
        <v>6.2</v>
      </c>
      <c r="G21" s="9">
        <f>AVERAGE(33.5,30)</f>
        <v>31.75</v>
      </c>
      <c r="H21" s="8">
        <v>2400</v>
      </c>
      <c r="I21" s="9">
        <v>1400</v>
      </c>
      <c r="J21" s="8">
        <f>AVERAGE(420,300)</f>
        <v>360</v>
      </c>
      <c r="K21" s="25"/>
      <c r="N21" s="25"/>
      <c r="O21" s="25"/>
      <c r="P21" s="25"/>
      <c r="Q21" s="25"/>
      <c r="R21" s="25"/>
    </row>
    <row r="22" spans="1:18" x14ac:dyDescent="0.35">
      <c r="A22" s="46"/>
      <c r="B22" s="15">
        <v>42647</v>
      </c>
      <c r="C22" s="5" t="s">
        <v>35</v>
      </c>
      <c r="D22" s="6">
        <v>504</v>
      </c>
      <c r="E22" s="7">
        <f t="shared" si="0"/>
        <v>21</v>
      </c>
      <c r="F22" s="8">
        <v>50</v>
      </c>
      <c r="G22" s="9">
        <f>AVERAGE(11,0.8)</f>
        <v>5.9</v>
      </c>
      <c r="H22" s="8">
        <f>AVERAGE(750,1200)</f>
        <v>975</v>
      </c>
      <c r="I22" s="9">
        <f>AVERAGE(550,1100)</f>
        <v>825</v>
      </c>
      <c r="J22" s="8">
        <v>220</v>
      </c>
      <c r="K22" s="25"/>
      <c r="N22" s="25"/>
      <c r="O22" s="25"/>
      <c r="P22" s="25"/>
      <c r="Q22" s="25"/>
      <c r="R22" s="25"/>
    </row>
    <row r="23" spans="1:18" x14ac:dyDescent="0.35">
      <c r="A23" s="46"/>
      <c r="B23" s="15">
        <v>42649</v>
      </c>
      <c r="C23" s="5" t="s">
        <v>36</v>
      </c>
      <c r="D23" s="6">
        <v>552</v>
      </c>
      <c r="E23" s="7">
        <f t="shared" si="0"/>
        <v>23</v>
      </c>
      <c r="F23" s="8">
        <f>AVERAGE(1.4,1.5)</f>
        <v>1.45</v>
      </c>
      <c r="G23" s="9">
        <f>AVERAGE(3.2,2.5)</f>
        <v>2.85</v>
      </c>
      <c r="H23" s="8">
        <f>AVERAGE(100,100)</f>
        <v>100</v>
      </c>
      <c r="I23" s="9">
        <f>AVERAGE(500,550)</f>
        <v>525</v>
      </c>
      <c r="J23" s="8">
        <f>AVERAGE(130,100)</f>
        <v>115</v>
      </c>
      <c r="K23" s="25"/>
      <c r="N23" s="25"/>
      <c r="O23" s="25"/>
      <c r="P23" s="25"/>
      <c r="Q23" s="25"/>
      <c r="R23" s="25"/>
    </row>
    <row r="24" spans="1:18" x14ac:dyDescent="0.35">
      <c r="A24" s="46"/>
      <c r="B24" s="15">
        <v>42654</v>
      </c>
      <c r="C24" s="5" t="s">
        <v>43</v>
      </c>
      <c r="D24" s="6">
        <v>672</v>
      </c>
      <c r="E24" s="7">
        <f t="shared" si="0"/>
        <v>28</v>
      </c>
      <c r="F24" s="8">
        <f>AVERAGE(2,1.5)</f>
        <v>1.75</v>
      </c>
      <c r="G24" s="9">
        <f>AVERAGE(8,6.3)</f>
        <v>7.15</v>
      </c>
      <c r="H24" s="8">
        <f>AVERAGE(6000,2300)</f>
        <v>4150</v>
      </c>
      <c r="I24" s="9">
        <f>AVERAGE(3100,1600)</f>
        <v>2350</v>
      </c>
      <c r="J24" s="8">
        <f>AVERAGE(1300,990)</f>
        <v>1145</v>
      </c>
      <c r="K24" s="25"/>
      <c r="N24" s="25"/>
      <c r="O24" s="25"/>
      <c r="P24" s="25"/>
      <c r="Q24" s="25"/>
      <c r="R24" s="25"/>
    </row>
    <row r="25" spans="1:18" x14ac:dyDescent="0.35">
      <c r="A25" s="46"/>
      <c r="B25" s="15">
        <v>42656</v>
      </c>
      <c r="C25" s="5" t="s">
        <v>44</v>
      </c>
      <c r="D25" s="6">
        <v>720</v>
      </c>
      <c r="E25" s="7">
        <f t="shared" si="0"/>
        <v>30</v>
      </c>
      <c r="F25" s="8">
        <f>AVERAGE(1,0.6)</f>
        <v>0.8</v>
      </c>
      <c r="G25" s="9">
        <f>AVERAGE(1.5,0.6)</f>
        <v>1.05</v>
      </c>
      <c r="H25" s="8">
        <f>AVERAGE(600,830)</f>
        <v>715</v>
      </c>
      <c r="I25" s="9">
        <f>AVERAGE(450,450)</f>
        <v>450</v>
      </c>
      <c r="J25" s="8">
        <f>AVERAGE(200,240)</f>
        <v>220</v>
      </c>
      <c r="K25" s="25"/>
      <c r="N25" s="25"/>
      <c r="O25" s="25"/>
      <c r="P25" s="25"/>
      <c r="Q25" s="25"/>
      <c r="R25" s="25"/>
    </row>
    <row r="26" spans="1:18" x14ac:dyDescent="0.35">
      <c r="A26" s="46"/>
      <c r="B26" s="15">
        <v>42660</v>
      </c>
      <c r="C26" s="5" t="s">
        <v>45</v>
      </c>
      <c r="D26" s="6">
        <v>816</v>
      </c>
      <c r="E26" s="7">
        <f t="shared" si="0"/>
        <v>34</v>
      </c>
      <c r="F26" s="8">
        <v>25.5</v>
      </c>
      <c r="G26" s="9">
        <f>AVERAGE(15,0.25)</f>
        <v>7.625</v>
      </c>
      <c r="H26" s="8">
        <f>AVERAGE(600,910)</f>
        <v>755</v>
      </c>
      <c r="I26" s="9">
        <f>AVERAGE(950,650)</f>
        <v>800</v>
      </c>
      <c r="J26" s="8">
        <f>AVERAGE(300,330)</f>
        <v>315</v>
      </c>
      <c r="K26" s="25"/>
      <c r="N26" s="25"/>
      <c r="O26" s="25"/>
      <c r="P26" s="25"/>
      <c r="Q26" s="25"/>
      <c r="R26" s="25"/>
    </row>
    <row r="27" spans="1:18" x14ac:dyDescent="0.35">
      <c r="A27" s="46"/>
      <c r="B27" s="15">
        <v>42663</v>
      </c>
      <c r="C27" s="5" t="s">
        <v>46</v>
      </c>
      <c r="D27" s="6">
        <v>888</v>
      </c>
      <c r="E27" s="7">
        <f t="shared" si="0"/>
        <v>37</v>
      </c>
      <c r="F27" s="8">
        <f>AVERAGE(7.5,2.1)</f>
        <v>4.8</v>
      </c>
      <c r="G27" s="9">
        <f>AVERAGE(4,1.4)</f>
        <v>2.7</v>
      </c>
      <c r="H27" s="8">
        <f>AVERAGE(200,260)</f>
        <v>230</v>
      </c>
      <c r="I27" s="9">
        <f>AVERAGE(200,240,190)</f>
        <v>210</v>
      </c>
      <c r="J27" s="8">
        <f>AVERAGE(100,120,98)</f>
        <v>106</v>
      </c>
      <c r="K27" s="25"/>
      <c r="N27" s="25"/>
      <c r="O27" s="25"/>
      <c r="P27" s="25"/>
      <c r="Q27" s="25"/>
      <c r="R27" s="25"/>
    </row>
    <row r="28" spans="1:18" x14ac:dyDescent="0.35">
      <c r="A28" s="46"/>
      <c r="B28" s="15">
        <v>42668</v>
      </c>
      <c r="C28" s="5" t="s">
        <v>47</v>
      </c>
      <c r="D28" s="6">
        <v>1008</v>
      </c>
      <c r="E28" s="7">
        <f t="shared" si="0"/>
        <v>42</v>
      </c>
      <c r="F28" s="8">
        <f>AVERAGE(0.5,0.2)</f>
        <v>0.35</v>
      </c>
      <c r="G28" s="9">
        <f>AVERAGE(1.5,0.9)</f>
        <v>1.2</v>
      </c>
      <c r="H28" s="8">
        <f>AVERAGE(200,300)</f>
        <v>250</v>
      </c>
      <c r="I28" s="9">
        <f>AVERAGE(150,210,150)</f>
        <v>170</v>
      </c>
      <c r="J28" s="8">
        <f>AVERAGE(50,30,51)</f>
        <v>43.666666666666664</v>
      </c>
      <c r="K28" s="25"/>
      <c r="N28" s="25"/>
      <c r="O28" s="25"/>
      <c r="P28" s="25"/>
      <c r="Q28" s="25"/>
      <c r="R28" s="25"/>
    </row>
    <row r="29" spans="1:18" x14ac:dyDescent="0.35">
      <c r="A29" s="46"/>
      <c r="B29" s="15">
        <v>42670</v>
      </c>
      <c r="C29" s="5" t="s">
        <v>48</v>
      </c>
      <c r="D29" s="6">
        <v>1056</v>
      </c>
      <c r="E29" s="7">
        <f t="shared" si="0"/>
        <v>44</v>
      </c>
      <c r="F29" s="8">
        <f>AVERAGE(1,1.2)</f>
        <v>1.1000000000000001</v>
      </c>
      <c r="G29" s="9">
        <f>AVERAGE(10.5,9.6)</f>
        <v>10.050000000000001</v>
      </c>
      <c r="H29" s="8">
        <f>AVERAGE(1100,1400)</f>
        <v>1250</v>
      </c>
      <c r="I29" s="9">
        <f>AVERAGE(500,690)</f>
        <v>595</v>
      </c>
      <c r="J29" s="8">
        <f>AVERAGE(400,360)</f>
        <v>380</v>
      </c>
      <c r="K29" s="25"/>
      <c r="N29" s="25"/>
      <c r="O29" s="25"/>
      <c r="P29" s="25"/>
      <c r="Q29" s="25"/>
      <c r="R29" s="25"/>
    </row>
    <row r="30" spans="1:18" x14ac:dyDescent="0.35">
      <c r="A30" s="47"/>
      <c r="B30" s="15">
        <v>42675</v>
      </c>
      <c r="C30" s="21" t="s">
        <v>49</v>
      </c>
      <c r="D30" s="22">
        <v>1176</v>
      </c>
      <c r="E30" s="23">
        <f t="shared" si="0"/>
        <v>49</v>
      </c>
      <c r="F30" s="8">
        <v>1</v>
      </c>
      <c r="G30" s="9">
        <v>4.5</v>
      </c>
      <c r="H30" s="8">
        <v>2100</v>
      </c>
      <c r="I30" s="9">
        <f>AVERAGE(1200,1100)</f>
        <v>1150</v>
      </c>
      <c r="J30" s="8">
        <f>AVERAGE(100,110,76)</f>
        <v>95.333333333333329</v>
      </c>
      <c r="K30" s="25"/>
      <c r="N30" s="25"/>
      <c r="O30" s="25"/>
      <c r="P30" s="25"/>
      <c r="Q30" s="25"/>
      <c r="R30" s="25"/>
    </row>
    <row r="31" spans="1:18" x14ac:dyDescent="0.35">
      <c r="A31" s="47"/>
      <c r="B31" s="15">
        <v>42677</v>
      </c>
      <c r="C31" s="21" t="s">
        <v>50</v>
      </c>
      <c r="D31" s="22">
        <v>1224</v>
      </c>
      <c r="E31" s="23">
        <f t="shared" si="0"/>
        <v>51</v>
      </c>
      <c r="F31" s="8">
        <v>2</v>
      </c>
      <c r="G31" s="9">
        <f>AVERAGE(0.5,0.7)</f>
        <v>0.6</v>
      </c>
      <c r="H31" s="8">
        <f>AVERAGE(2400,2100)</f>
        <v>2250</v>
      </c>
      <c r="I31" s="9">
        <f>AVERAGE(600,1000)</f>
        <v>800</v>
      </c>
      <c r="J31" s="8">
        <f>AVERAGE(200,180,130)</f>
        <v>170</v>
      </c>
      <c r="K31" s="25"/>
      <c r="N31" s="25"/>
      <c r="O31" s="25"/>
      <c r="P31" s="25"/>
      <c r="Q31" s="25"/>
      <c r="R31" s="25"/>
    </row>
    <row r="32" spans="1:18" x14ac:dyDescent="0.35">
      <c r="A32" s="47"/>
      <c r="B32" s="15">
        <v>42682</v>
      </c>
      <c r="C32" s="21" t="s">
        <v>51</v>
      </c>
      <c r="D32" s="22">
        <v>1344</v>
      </c>
      <c r="E32" s="23">
        <f t="shared" ref="E32:E33" si="1">D32/24</f>
        <v>56</v>
      </c>
      <c r="F32" s="8">
        <v>0.5</v>
      </c>
      <c r="G32" s="9">
        <v>0.5</v>
      </c>
      <c r="H32" s="8">
        <f>AVERAGE(2600,2400)</f>
        <v>2500</v>
      </c>
      <c r="I32" s="9">
        <f>AVERAGE(3200,2200)</f>
        <v>2700</v>
      </c>
      <c r="J32" s="8">
        <f>AVERAGE(300,320,250)</f>
        <v>290</v>
      </c>
      <c r="K32" s="25"/>
      <c r="N32" s="25"/>
      <c r="O32" s="25"/>
      <c r="P32" s="25"/>
      <c r="Q32" s="25"/>
      <c r="R32" s="25"/>
    </row>
    <row r="33" spans="1:18" x14ac:dyDescent="0.35">
      <c r="A33" s="48"/>
      <c r="B33" s="15">
        <v>42684</v>
      </c>
      <c r="C33" s="21" t="s">
        <v>52</v>
      </c>
      <c r="D33" s="22">
        <v>1392</v>
      </c>
      <c r="E33" s="23">
        <f t="shared" si="1"/>
        <v>58</v>
      </c>
      <c r="F33" s="8">
        <v>1.5</v>
      </c>
      <c r="G33" s="9">
        <f>AVERAGE(0.05,1)</f>
        <v>0.52500000000000002</v>
      </c>
      <c r="H33" s="8">
        <v>2500</v>
      </c>
      <c r="I33" s="9">
        <v>4600</v>
      </c>
      <c r="J33" s="8">
        <f>AVERAGE(280,150)</f>
        <v>215</v>
      </c>
      <c r="K33" s="25"/>
      <c r="N33" s="25"/>
      <c r="O33" s="25"/>
      <c r="P33" s="25"/>
      <c r="Q33" s="25"/>
      <c r="R33" s="25"/>
    </row>
    <row r="35" spans="1:18" x14ac:dyDescent="0.35">
      <c r="F35" s="25"/>
    </row>
  </sheetData>
  <mergeCells count="3">
    <mergeCell ref="A5:A14"/>
    <mergeCell ref="F1:J1"/>
    <mergeCell ref="A15:A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workbookViewId="0">
      <selection activeCell="H3" sqref="H3:I3"/>
    </sheetView>
  </sheetViews>
  <sheetFormatPr defaultRowHeight="14.5" x14ac:dyDescent="0.35"/>
  <cols>
    <col min="1" max="1" width="21.453125" customWidth="1"/>
    <col min="2" max="2" width="11.26953125" customWidth="1"/>
    <col min="13" max="13" width="9.1796875" customWidth="1"/>
  </cols>
  <sheetData>
    <row r="1" spans="1:11" x14ac:dyDescent="0.35">
      <c r="F1" s="49" t="s">
        <v>55</v>
      </c>
      <c r="G1" s="43"/>
      <c r="H1" s="43"/>
      <c r="I1" s="43"/>
      <c r="J1" s="44"/>
    </row>
    <row r="2" spans="1:11" x14ac:dyDescent="0.35">
      <c r="F2" s="1" t="s">
        <v>1</v>
      </c>
      <c r="G2" s="2" t="s">
        <v>2</v>
      </c>
      <c r="H2" s="1" t="s">
        <v>3</v>
      </c>
      <c r="I2" s="2" t="s">
        <v>4</v>
      </c>
      <c r="J2" s="1" t="s">
        <v>5</v>
      </c>
    </row>
    <row r="3" spans="1:11" ht="43.5" x14ac:dyDescent="0.35">
      <c r="A3" s="5" t="s">
        <v>38</v>
      </c>
      <c r="B3" s="14" t="s">
        <v>32</v>
      </c>
      <c r="C3" s="14" t="s">
        <v>6</v>
      </c>
      <c r="D3" s="14" t="s">
        <v>7</v>
      </c>
      <c r="E3" s="14" t="s">
        <v>8</v>
      </c>
      <c r="F3" s="3" t="s">
        <v>9</v>
      </c>
      <c r="G3" s="4" t="s">
        <v>10</v>
      </c>
      <c r="H3" s="3" t="s">
        <v>12</v>
      </c>
      <c r="I3" s="4" t="s">
        <v>11</v>
      </c>
      <c r="J3" s="3" t="s">
        <v>13</v>
      </c>
      <c r="K3" s="19" t="s">
        <v>42</v>
      </c>
    </row>
    <row r="4" spans="1:11" x14ac:dyDescent="0.35">
      <c r="A4" s="18" t="s">
        <v>39</v>
      </c>
      <c r="B4" s="15">
        <v>42626</v>
      </c>
      <c r="C4" s="5" t="s">
        <v>14</v>
      </c>
      <c r="D4" s="6">
        <v>0</v>
      </c>
      <c r="E4" s="7">
        <f>D4/24</f>
        <v>0</v>
      </c>
      <c r="F4" s="17">
        <v>218</v>
      </c>
      <c r="G4" s="13">
        <v>211</v>
      </c>
      <c r="H4" s="17">
        <v>84</v>
      </c>
      <c r="I4" s="13">
        <v>79</v>
      </c>
      <c r="J4" s="17">
        <v>68</v>
      </c>
      <c r="K4" s="7">
        <f>(F4-J4)/F4*100</f>
        <v>68.807339449541288</v>
      </c>
    </row>
    <row r="5" spans="1:11" x14ac:dyDescent="0.35">
      <c r="A5" s="39" t="s">
        <v>40</v>
      </c>
      <c r="B5" s="15">
        <v>42626</v>
      </c>
      <c r="C5" s="5" t="s">
        <v>15</v>
      </c>
      <c r="D5" s="6">
        <v>2</v>
      </c>
      <c r="E5" s="7">
        <f t="shared" ref="E5:E33" si="0">D5/24</f>
        <v>8.3333333333333329E-2</v>
      </c>
      <c r="F5" s="17">
        <v>234</v>
      </c>
      <c r="G5" s="13">
        <v>218</v>
      </c>
      <c r="H5" s="17">
        <v>192</v>
      </c>
      <c r="I5" s="13">
        <v>68</v>
      </c>
      <c r="J5" s="17">
        <v>56</v>
      </c>
      <c r="K5" s="7">
        <f t="shared" ref="K5:K29" si="1">(F5-J5)/F5*100</f>
        <v>76.068376068376068</v>
      </c>
    </row>
    <row r="6" spans="1:11" x14ac:dyDescent="0.35">
      <c r="A6" s="40"/>
      <c r="B6" s="15">
        <v>42626</v>
      </c>
      <c r="C6" s="5" t="s">
        <v>16</v>
      </c>
      <c r="D6" s="6">
        <v>5</v>
      </c>
      <c r="E6" s="7">
        <f t="shared" si="0"/>
        <v>0.20833333333333334</v>
      </c>
      <c r="F6" s="17">
        <v>226</v>
      </c>
      <c r="G6" s="13">
        <v>218</v>
      </c>
      <c r="H6" s="17">
        <v>211</v>
      </c>
      <c r="I6" s="13">
        <v>84</v>
      </c>
      <c r="J6" s="17">
        <v>79</v>
      </c>
      <c r="K6" s="7">
        <f t="shared" si="1"/>
        <v>65.044247787610615</v>
      </c>
    </row>
    <row r="7" spans="1:11" x14ac:dyDescent="0.35">
      <c r="A7" s="40"/>
      <c r="B7" s="15">
        <v>42626</v>
      </c>
      <c r="C7" s="5" t="s">
        <v>17</v>
      </c>
      <c r="D7" s="6">
        <v>8</v>
      </c>
      <c r="E7" s="7">
        <f t="shared" si="0"/>
        <v>0.33333333333333331</v>
      </c>
      <c r="F7" s="17">
        <v>197</v>
      </c>
      <c r="G7" s="13">
        <v>198</v>
      </c>
      <c r="H7" s="17">
        <v>122</v>
      </c>
      <c r="I7" s="13">
        <v>96</v>
      </c>
      <c r="J7" s="17">
        <v>63</v>
      </c>
      <c r="K7" s="7">
        <f t="shared" si="1"/>
        <v>68.020304568527919</v>
      </c>
    </row>
    <row r="8" spans="1:11" x14ac:dyDescent="0.35">
      <c r="A8" s="40"/>
      <c r="B8" s="15">
        <v>42627</v>
      </c>
      <c r="C8" s="5" t="s">
        <v>18</v>
      </c>
      <c r="D8" s="6">
        <v>24</v>
      </c>
      <c r="E8" s="7">
        <f t="shared" si="0"/>
        <v>1</v>
      </c>
      <c r="F8" s="17">
        <v>226</v>
      </c>
      <c r="G8" s="13">
        <v>210</v>
      </c>
      <c r="H8" s="17">
        <v>57</v>
      </c>
      <c r="I8" s="13">
        <v>48</v>
      </c>
      <c r="J8" s="17">
        <v>45</v>
      </c>
      <c r="K8" s="7">
        <f t="shared" si="1"/>
        <v>80.088495575221245</v>
      </c>
    </row>
    <row r="9" spans="1:11" x14ac:dyDescent="0.35">
      <c r="A9" s="40"/>
      <c r="B9" s="15">
        <v>42627</v>
      </c>
      <c r="C9" s="5" t="s">
        <v>19</v>
      </c>
      <c r="D9" s="6">
        <v>32</v>
      </c>
      <c r="E9" s="7">
        <f t="shared" si="0"/>
        <v>1.3333333333333333</v>
      </c>
      <c r="F9" s="17">
        <v>244</v>
      </c>
      <c r="G9" s="13">
        <v>257</v>
      </c>
      <c r="H9" s="17">
        <v>90</v>
      </c>
      <c r="I9" s="13">
        <v>72</v>
      </c>
      <c r="J9" s="17">
        <v>68</v>
      </c>
      <c r="K9" s="7">
        <f t="shared" si="1"/>
        <v>72.131147540983605</v>
      </c>
    </row>
    <row r="10" spans="1:11" x14ac:dyDescent="0.35">
      <c r="A10" s="40"/>
      <c r="B10" s="15">
        <v>42628</v>
      </c>
      <c r="C10" s="5" t="s">
        <v>20</v>
      </c>
      <c r="D10" s="6">
        <v>48</v>
      </c>
      <c r="E10" s="7">
        <f t="shared" si="0"/>
        <v>2</v>
      </c>
      <c r="F10" s="17">
        <v>229</v>
      </c>
      <c r="G10" s="13">
        <v>192</v>
      </c>
      <c r="H10" s="17">
        <v>47</v>
      </c>
      <c r="I10" s="13">
        <v>50</v>
      </c>
      <c r="J10" s="17">
        <v>52</v>
      </c>
      <c r="K10" s="7">
        <f t="shared" si="1"/>
        <v>77.292576419213972</v>
      </c>
    </row>
    <row r="11" spans="1:11" x14ac:dyDescent="0.35">
      <c r="A11" s="40"/>
      <c r="B11" s="15">
        <v>42629</v>
      </c>
      <c r="C11" s="5" t="s">
        <v>21</v>
      </c>
      <c r="D11" s="6">
        <v>72</v>
      </c>
      <c r="E11" s="7">
        <f t="shared" si="0"/>
        <v>3</v>
      </c>
      <c r="F11" s="17">
        <v>259</v>
      </c>
      <c r="G11" s="13">
        <v>281</v>
      </c>
      <c r="H11" s="17">
        <v>79</v>
      </c>
      <c r="I11" s="13">
        <v>80</v>
      </c>
      <c r="J11" s="17">
        <v>73</v>
      </c>
      <c r="K11" s="7">
        <f t="shared" si="1"/>
        <v>71.814671814671811</v>
      </c>
    </row>
    <row r="12" spans="1:11" x14ac:dyDescent="0.35">
      <c r="A12" s="40"/>
      <c r="B12" s="15">
        <v>42629</v>
      </c>
      <c r="C12" s="5" t="s">
        <v>22</v>
      </c>
      <c r="D12" s="6">
        <v>74</v>
      </c>
      <c r="E12" s="7">
        <f t="shared" si="0"/>
        <v>3.0833333333333335</v>
      </c>
      <c r="F12" s="17">
        <v>235</v>
      </c>
      <c r="G12" s="13">
        <v>258</v>
      </c>
      <c r="H12" s="17">
        <v>75</v>
      </c>
      <c r="I12" s="13">
        <v>66</v>
      </c>
      <c r="J12" s="17">
        <v>68</v>
      </c>
      <c r="K12" s="7">
        <f t="shared" si="1"/>
        <v>71.063829787234042</v>
      </c>
    </row>
    <row r="13" spans="1:11" x14ac:dyDescent="0.35">
      <c r="A13" s="40"/>
      <c r="B13" s="15">
        <v>42629</v>
      </c>
      <c r="C13" s="5" t="s">
        <v>23</v>
      </c>
      <c r="D13" s="6">
        <v>77</v>
      </c>
      <c r="E13" s="7">
        <f t="shared" si="0"/>
        <v>3.2083333333333335</v>
      </c>
      <c r="F13" s="17">
        <v>238</v>
      </c>
      <c r="G13" s="13">
        <v>240</v>
      </c>
      <c r="H13" s="17">
        <v>69</v>
      </c>
      <c r="I13" s="13"/>
      <c r="J13" s="17"/>
      <c r="K13" s="7"/>
    </row>
    <row r="14" spans="1:11" x14ac:dyDescent="0.35">
      <c r="A14" s="41"/>
      <c r="B14" s="15">
        <v>42629</v>
      </c>
      <c r="C14" s="5" t="s">
        <v>24</v>
      </c>
      <c r="D14" s="6">
        <v>80</v>
      </c>
      <c r="E14" s="7">
        <f t="shared" si="0"/>
        <v>3.3333333333333335</v>
      </c>
      <c r="F14" s="17">
        <v>206</v>
      </c>
      <c r="G14" s="13">
        <v>187</v>
      </c>
      <c r="H14" s="17">
        <v>80</v>
      </c>
      <c r="I14" s="13">
        <v>74</v>
      </c>
      <c r="J14" s="17">
        <v>102</v>
      </c>
      <c r="K14" s="7">
        <f t="shared" si="1"/>
        <v>50.485436893203882</v>
      </c>
    </row>
    <row r="15" spans="1:11" x14ac:dyDescent="0.35">
      <c r="A15" s="45" t="s">
        <v>41</v>
      </c>
      <c r="B15" s="15">
        <v>42630</v>
      </c>
      <c r="C15" s="5" t="s">
        <v>25</v>
      </c>
      <c r="D15" s="6">
        <v>96</v>
      </c>
      <c r="E15" s="7">
        <f t="shared" si="0"/>
        <v>4</v>
      </c>
      <c r="F15" s="17">
        <v>199</v>
      </c>
      <c r="G15" s="13">
        <v>194</v>
      </c>
      <c r="H15" s="20">
        <v>61</v>
      </c>
      <c r="I15" s="13">
        <v>55</v>
      </c>
      <c r="J15" s="17">
        <v>54</v>
      </c>
      <c r="K15" s="7">
        <f t="shared" si="1"/>
        <v>72.8643216080402</v>
      </c>
    </row>
    <row r="16" spans="1:11" x14ac:dyDescent="0.35">
      <c r="A16" s="46"/>
      <c r="B16" s="15">
        <v>42631</v>
      </c>
      <c r="C16" s="5" t="s">
        <v>26</v>
      </c>
      <c r="D16" s="6">
        <v>120</v>
      </c>
      <c r="E16" s="7">
        <f t="shared" si="0"/>
        <v>5</v>
      </c>
      <c r="F16" s="17">
        <v>235</v>
      </c>
      <c r="G16" s="13">
        <v>207</v>
      </c>
      <c r="H16" s="17">
        <v>70</v>
      </c>
      <c r="I16" s="13">
        <v>73</v>
      </c>
      <c r="J16" s="17">
        <v>70</v>
      </c>
      <c r="K16" s="7">
        <f t="shared" si="1"/>
        <v>70.212765957446805</v>
      </c>
    </row>
    <row r="17" spans="1:11" x14ac:dyDescent="0.35">
      <c r="A17" s="46"/>
      <c r="B17" s="15">
        <v>42632</v>
      </c>
      <c r="C17" s="5" t="s">
        <v>27</v>
      </c>
      <c r="D17" s="6">
        <v>144</v>
      </c>
      <c r="E17" s="7">
        <f t="shared" si="0"/>
        <v>6</v>
      </c>
      <c r="F17" s="17">
        <v>219</v>
      </c>
      <c r="G17" s="13">
        <v>224</v>
      </c>
      <c r="H17" s="17">
        <v>88</v>
      </c>
      <c r="I17" s="13">
        <v>91</v>
      </c>
      <c r="J17" s="17">
        <v>92</v>
      </c>
      <c r="K17" s="7">
        <f t="shared" si="1"/>
        <v>57.990867579908681</v>
      </c>
    </row>
    <row r="18" spans="1:11" x14ac:dyDescent="0.35">
      <c r="A18" s="46"/>
      <c r="B18" s="15">
        <v>42633</v>
      </c>
      <c r="C18" s="5" t="s">
        <v>28</v>
      </c>
      <c r="D18" s="6">
        <v>168</v>
      </c>
      <c r="E18" s="7">
        <f t="shared" si="0"/>
        <v>7</v>
      </c>
      <c r="F18" s="17">
        <v>233</v>
      </c>
      <c r="G18" s="13">
        <v>234</v>
      </c>
      <c r="H18" s="17">
        <v>93</v>
      </c>
      <c r="I18" s="13">
        <v>81</v>
      </c>
      <c r="J18" s="17">
        <v>89</v>
      </c>
      <c r="K18" s="7">
        <f t="shared" si="1"/>
        <v>61.802575107296143</v>
      </c>
    </row>
    <row r="19" spans="1:11" x14ac:dyDescent="0.35">
      <c r="A19" s="46"/>
      <c r="B19" s="15">
        <v>42635</v>
      </c>
      <c r="C19" s="5" t="s">
        <v>29</v>
      </c>
      <c r="D19" s="6">
        <v>216</v>
      </c>
      <c r="E19" s="7">
        <f t="shared" si="0"/>
        <v>9</v>
      </c>
      <c r="F19" s="17">
        <v>213</v>
      </c>
      <c r="G19" s="13">
        <v>217</v>
      </c>
      <c r="H19" s="17">
        <v>60</v>
      </c>
      <c r="I19" s="13">
        <v>73</v>
      </c>
      <c r="J19" s="17">
        <v>75</v>
      </c>
      <c r="K19" s="7">
        <f t="shared" si="1"/>
        <v>64.788732394366207</v>
      </c>
    </row>
    <row r="20" spans="1:11" x14ac:dyDescent="0.35">
      <c r="A20" s="46"/>
      <c r="B20" s="15">
        <v>42640</v>
      </c>
      <c r="C20" s="5" t="s">
        <v>33</v>
      </c>
      <c r="D20" s="6">
        <v>336</v>
      </c>
      <c r="E20" s="7">
        <f t="shared" si="0"/>
        <v>14</v>
      </c>
      <c r="F20" s="17">
        <v>252</v>
      </c>
      <c r="G20" s="13">
        <v>227</v>
      </c>
      <c r="H20" s="17">
        <v>84</v>
      </c>
      <c r="I20" s="13">
        <v>76</v>
      </c>
      <c r="J20" s="17">
        <v>74</v>
      </c>
      <c r="K20" s="7">
        <f t="shared" si="1"/>
        <v>70.634920634920633</v>
      </c>
    </row>
    <row r="21" spans="1:11" x14ac:dyDescent="0.35">
      <c r="A21" s="46"/>
      <c r="B21" s="15">
        <v>42642</v>
      </c>
      <c r="C21" s="5" t="s">
        <v>34</v>
      </c>
      <c r="D21" s="6">
        <v>384</v>
      </c>
      <c r="E21" s="7">
        <f t="shared" si="0"/>
        <v>16</v>
      </c>
      <c r="F21" s="17">
        <v>230</v>
      </c>
      <c r="G21" s="13">
        <v>238</v>
      </c>
      <c r="H21" s="17">
        <v>93</v>
      </c>
      <c r="I21" s="13">
        <v>87</v>
      </c>
      <c r="J21" s="17">
        <v>89</v>
      </c>
      <c r="K21" s="7">
        <f t="shared" si="1"/>
        <v>61.304347826086961</v>
      </c>
    </row>
    <row r="22" spans="1:11" x14ac:dyDescent="0.35">
      <c r="A22" s="46"/>
      <c r="B22" s="15">
        <v>42647</v>
      </c>
      <c r="C22" s="5" t="s">
        <v>35</v>
      </c>
      <c r="D22" s="6">
        <v>504</v>
      </c>
      <c r="E22" s="7">
        <f t="shared" si="0"/>
        <v>21</v>
      </c>
      <c r="F22" s="17">
        <v>238</v>
      </c>
      <c r="G22" s="13">
        <v>254</v>
      </c>
      <c r="H22" s="17">
        <v>85</v>
      </c>
      <c r="I22" s="13">
        <v>81</v>
      </c>
      <c r="J22" s="17">
        <v>81</v>
      </c>
      <c r="K22" s="7">
        <f t="shared" si="1"/>
        <v>65.966386554621849</v>
      </c>
    </row>
    <row r="23" spans="1:11" x14ac:dyDescent="0.35">
      <c r="A23" s="46"/>
      <c r="B23" s="15">
        <v>42649</v>
      </c>
      <c r="C23" s="5" t="s">
        <v>36</v>
      </c>
      <c r="D23" s="6">
        <v>552</v>
      </c>
      <c r="E23" s="7">
        <f t="shared" si="0"/>
        <v>23</v>
      </c>
      <c r="F23" s="17">
        <v>230</v>
      </c>
      <c r="G23" s="13">
        <v>240</v>
      </c>
      <c r="H23" s="17">
        <v>75</v>
      </c>
      <c r="I23" s="13">
        <v>81</v>
      </c>
      <c r="J23" s="17">
        <v>74</v>
      </c>
      <c r="K23" s="7">
        <f t="shared" si="1"/>
        <v>67.826086956521735</v>
      </c>
    </row>
    <row r="24" spans="1:11" x14ac:dyDescent="0.35">
      <c r="A24" s="46"/>
      <c r="B24" s="15">
        <v>42654</v>
      </c>
      <c r="C24" s="5" t="s">
        <v>43</v>
      </c>
      <c r="D24" s="6">
        <v>672</v>
      </c>
      <c r="E24" s="7">
        <f t="shared" si="0"/>
        <v>28</v>
      </c>
      <c r="F24" s="17">
        <v>247</v>
      </c>
      <c r="G24" s="13">
        <v>267</v>
      </c>
      <c r="H24" s="17">
        <v>100</v>
      </c>
      <c r="I24" s="13">
        <v>78</v>
      </c>
      <c r="J24" s="17">
        <v>63</v>
      </c>
      <c r="K24" s="7">
        <f t="shared" si="1"/>
        <v>74.493927125506076</v>
      </c>
    </row>
    <row r="25" spans="1:11" x14ac:dyDescent="0.35">
      <c r="A25" s="46"/>
      <c r="B25" s="15">
        <v>42656</v>
      </c>
      <c r="C25" s="5" t="s">
        <v>44</v>
      </c>
      <c r="D25" s="6">
        <v>720</v>
      </c>
      <c r="E25" s="7">
        <f t="shared" si="0"/>
        <v>30</v>
      </c>
      <c r="F25" s="17">
        <v>244</v>
      </c>
      <c r="G25" s="13">
        <v>183</v>
      </c>
      <c r="H25" s="17">
        <v>74</v>
      </c>
      <c r="I25" s="13">
        <v>71</v>
      </c>
      <c r="J25" s="17">
        <v>73</v>
      </c>
      <c r="K25" s="7">
        <f t="shared" si="1"/>
        <v>70.081967213114751</v>
      </c>
    </row>
    <row r="26" spans="1:11" x14ac:dyDescent="0.35">
      <c r="A26" s="46"/>
      <c r="B26" s="15">
        <v>42660</v>
      </c>
      <c r="C26" s="5" t="s">
        <v>45</v>
      </c>
      <c r="D26" s="6">
        <v>816</v>
      </c>
      <c r="E26" s="7">
        <f t="shared" si="0"/>
        <v>34</v>
      </c>
      <c r="F26" s="17">
        <v>213</v>
      </c>
      <c r="G26" s="13">
        <v>242</v>
      </c>
      <c r="H26" s="17">
        <v>76</v>
      </c>
      <c r="I26" s="13">
        <v>78</v>
      </c>
      <c r="J26" s="17">
        <v>69</v>
      </c>
      <c r="K26" s="7">
        <f t="shared" si="1"/>
        <v>67.605633802816897</v>
      </c>
    </row>
    <row r="27" spans="1:11" x14ac:dyDescent="0.35">
      <c r="A27" s="46"/>
      <c r="B27" s="15">
        <v>42663</v>
      </c>
      <c r="C27" s="5" t="s">
        <v>46</v>
      </c>
      <c r="D27" s="6">
        <v>888</v>
      </c>
      <c r="E27" s="7">
        <f t="shared" si="0"/>
        <v>37</v>
      </c>
      <c r="F27" s="17">
        <v>218</v>
      </c>
      <c r="G27" s="13">
        <v>231</v>
      </c>
      <c r="H27" s="17">
        <v>54</v>
      </c>
      <c r="I27" s="13">
        <v>76</v>
      </c>
      <c r="J27" s="17">
        <v>61</v>
      </c>
      <c r="K27" s="7">
        <f t="shared" si="1"/>
        <v>72.018348623853214</v>
      </c>
    </row>
    <row r="28" spans="1:11" x14ac:dyDescent="0.35">
      <c r="A28" s="46"/>
      <c r="B28" s="15">
        <v>42668</v>
      </c>
      <c r="C28" s="5" t="s">
        <v>47</v>
      </c>
      <c r="D28" s="6">
        <v>1008</v>
      </c>
      <c r="E28" s="7">
        <f t="shared" si="0"/>
        <v>42</v>
      </c>
      <c r="F28" s="17">
        <v>199</v>
      </c>
      <c r="G28" s="13">
        <v>231</v>
      </c>
      <c r="H28" s="17">
        <v>44</v>
      </c>
      <c r="I28" s="13">
        <v>71</v>
      </c>
      <c r="J28" s="17">
        <v>56</v>
      </c>
      <c r="K28" s="7">
        <f t="shared" si="1"/>
        <v>71.859296482412063</v>
      </c>
    </row>
    <row r="29" spans="1:11" x14ac:dyDescent="0.35">
      <c r="A29" s="46"/>
      <c r="B29" s="15">
        <v>42670</v>
      </c>
      <c r="C29" s="5" t="s">
        <v>48</v>
      </c>
      <c r="D29" s="6">
        <v>1056</v>
      </c>
      <c r="E29" s="7">
        <f t="shared" si="0"/>
        <v>44</v>
      </c>
      <c r="F29" s="17">
        <v>246</v>
      </c>
      <c r="G29" s="13">
        <v>244</v>
      </c>
      <c r="H29" s="17">
        <v>98</v>
      </c>
      <c r="I29" s="13">
        <v>75</v>
      </c>
      <c r="J29" s="17">
        <v>85</v>
      </c>
      <c r="K29" s="7">
        <f t="shared" si="1"/>
        <v>65.447154471544707</v>
      </c>
    </row>
    <row r="30" spans="1:11" x14ac:dyDescent="0.35">
      <c r="A30" s="47"/>
      <c r="B30" s="15">
        <v>42675</v>
      </c>
      <c r="C30" s="21" t="s">
        <v>49</v>
      </c>
      <c r="D30" s="22">
        <v>1176</v>
      </c>
      <c r="E30" s="7">
        <f t="shared" si="0"/>
        <v>49</v>
      </c>
      <c r="F30" s="17">
        <v>237</v>
      </c>
      <c r="G30" s="13">
        <v>260</v>
      </c>
      <c r="H30" s="17">
        <v>77</v>
      </c>
      <c r="I30" s="13">
        <v>78</v>
      </c>
      <c r="J30" s="17">
        <v>77</v>
      </c>
      <c r="K30" s="7">
        <f t="shared" ref="K30:K31" si="2">(F30-J30)/F30*100</f>
        <v>67.510548523206751</v>
      </c>
    </row>
    <row r="31" spans="1:11" x14ac:dyDescent="0.35">
      <c r="A31" s="47"/>
      <c r="B31" s="15">
        <v>42677</v>
      </c>
      <c r="C31" s="21" t="s">
        <v>50</v>
      </c>
      <c r="D31" s="22">
        <v>1224</v>
      </c>
      <c r="E31" s="7">
        <f t="shared" si="0"/>
        <v>51</v>
      </c>
      <c r="F31" s="17">
        <v>248</v>
      </c>
      <c r="G31" s="13">
        <v>242</v>
      </c>
      <c r="H31" s="17">
        <v>72</v>
      </c>
      <c r="I31" s="13">
        <v>73</v>
      </c>
      <c r="J31" s="17">
        <v>80</v>
      </c>
      <c r="K31" s="7">
        <f t="shared" si="2"/>
        <v>67.741935483870961</v>
      </c>
    </row>
    <row r="32" spans="1:11" x14ac:dyDescent="0.35">
      <c r="A32" s="47"/>
      <c r="B32" s="15">
        <v>42682</v>
      </c>
      <c r="C32" s="21" t="s">
        <v>51</v>
      </c>
      <c r="D32" s="22">
        <v>1344</v>
      </c>
      <c r="E32" s="23">
        <f t="shared" si="0"/>
        <v>56</v>
      </c>
      <c r="F32" s="17">
        <v>174</v>
      </c>
      <c r="G32" s="13">
        <v>232</v>
      </c>
      <c r="H32" s="17">
        <v>51</v>
      </c>
      <c r="I32" s="13">
        <v>44</v>
      </c>
      <c r="J32" s="17">
        <v>76</v>
      </c>
      <c r="K32" s="7">
        <f t="shared" ref="K32:K33" si="3">(F32-J32)/F32*100</f>
        <v>56.321839080459768</v>
      </c>
    </row>
    <row r="33" spans="1:11" x14ac:dyDescent="0.35">
      <c r="A33" s="48"/>
      <c r="B33" s="15">
        <v>42684</v>
      </c>
      <c r="C33" s="21" t="s">
        <v>52</v>
      </c>
      <c r="D33" s="22">
        <v>1392</v>
      </c>
      <c r="E33" s="23">
        <f t="shared" si="0"/>
        <v>58</v>
      </c>
      <c r="F33" s="17">
        <v>197</v>
      </c>
      <c r="G33" s="13">
        <v>228</v>
      </c>
      <c r="H33" s="17">
        <v>63</v>
      </c>
      <c r="I33" s="13">
        <v>74</v>
      </c>
      <c r="J33" s="17">
        <v>53</v>
      </c>
      <c r="K33" s="7">
        <f t="shared" si="3"/>
        <v>73.096446700507613</v>
      </c>
    </row>
    <row r="34" spans="1:11" x14ac:dyDescent="0.35">
      <c r="K34" s="32"/>
    </row>
  </sheetData>
  <mergeCells count="3">
    <mergeCell ref="A5:A14"/>
    <mergeCell ref="F1:J1"/>
    <mergeCell ref="A15:A3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workbookViewId="0">
      <selection activeCell="H3" sqref="H3:I3"/>
    </sheetView>
  </sheetViews>
  <sheetFormatPr defaultRowHeight="14.5" x14ac:dyDescent="0.35"/>
  <cols>
    <col min="1" max="1" width="20.54296875" customWidth="1"/>
    <col min="2" max="2" width="13.1796875" customWidth="1"/>
  </cols>
  <sheetData>
    <row r="1" spans="1:11" x14ac:dyDescent="0.35">
      <c r="F1" s="42" t="s">
        <v>56</v>
      </c>
      <c r="G1" s="43"/>
      <c r="H1" s="43"/>
      <c r="I1" s="43"/>
      <c r="J1" s="44"/>
    </row>
    <row r="2" spans="1:11" x14ac:dyDescent="0.35">
      <c r="F2" s="1" t="s">
        <v>1</v>
      </c>
      <c r="G2" s="2" t="s">
        <v>2</v>
      </c>
      <c r="H2" s="1" t="s">
        <v>3</v>
      </c>
      <c r="I2" s="2" t="s">
        <v>4</v>
      </c>
      <c r="J2" s="1" t="s">
        <v>5</v>
      </c>
    </row>
    <row r="3" spans="1:11" ht="43.5" x14ac:dyDescent="0.35">
      <c r="A3" s="5" t="s">
        <v>38</v>
      </c>
      <c r="B3" s="14" t="s">
        <v>32</v>
      </c>
      <c r="C3" s="14" t="s">
        <v>6</v>
      </c>
      <c r="D3" s="14" t="s">
        <v>7</v>
      </c>
      <c r="E3" s="14" t="s">
        <v>8</v>
      </c>
      <c r="F3" s="3" t="s">
        <v>9</v>
      </c>
      <c r="G3" s="4" t="s">
        <v>10</v>
      </c>
      <c r="H3" s="3" t="s">
        <v>12</v>
      </c>
      <c r="I3" s="4" t="s">
        <v>11</v>
      </c>
      <c r="J3" s="3" t="s">
        <v>13</v>
      </c>
      <c r="K3" s="19" t="s">
        <v>54</v>
      </c>
    </row>
    <row r="4" spans="1:11" x14ac:dyDescent="0.35">
      <c r="A4" s="18" t="s">
        <v>39</v>
      </c>
      <c r="B4" s="15">
        <v>42626</v>
      </c>
      <c r="C4" s="5" t="s">
        <v>14</v>
      </c>
      <c r="D4" s="6">
        <v>0</v>
      </c>
      <c r="E4" s="7">
        <f>D4/24</f>
        <v>0</v>
      </c>
      <c r="F4" s="17">
        <v>20.399999999999999</v>
      </c>
      <c r="G4" s="13">
        <v>22.3</v>
      </c>
      <c r="H4" s="17">
        <v>10.1</v>
      </c>
      <c r="I4" s="13">
        <v>9.2200000000000006</v>
      </c>
      <c r="J4" s="17">
        <v>9.33</v>
      </c>
      <c r="K4" s="7">
        <f>(F4-J4)/F4*100</f>
        <v>54.264705882352935</v>
      </c>
    </row>
    <row r="5" spans="1:11" x14ac:dyDescent="0.35">
      <c r="A5" s="39" t="s">
        <v>40</v>
      </c>
      <c r="B5" s="15">
        <v>42626</v>
      </c>
      <c r="C5" s="5" t="s">
        <v>15</v>
      </c>
      <c r="D5" s="6">
        <v>2</v>
      </c>
      <c r="E5" s="7">
        <f t="shared" ref="E5:E33" si="0">D5/24</f>
        <v>8.3333333333333329E-2</v>
      </c>
      <c r="F5" s="17">
        <v>21.9</v>
      </c>
      <c r="G5" s="13">
        <v>22.9</v>
      </c>
      <c r="H5" s="17">
        <v>9.8800000000000008</v>
      </c>
      <c r="I5" s="13">
        <v>9.01</v>
      </c>
      <c r="J5" s="17">
        <v>9.2899999999999991</v>
      </c>
      <c r="K5" s="7">
        <f t="shared" ref="K5:K33" si="1">(F5-J5)/F5*100</f>
        <v>57.579908675799082</v>
      </c>
    </row>
    <row r="6" spans="1:11" x14ac:dyDescent="0.35">
      <c r="A6" s="40"/>
      <c r="B6" s="15">
        <v>42626</v>
      </c>
      <c r="C6" s="5" t="s">
        <v>16</v>
      </c>
      <c r="D6" s="6">
        <v>5</v>
      </c>
      <c r="E6" s="7">
        <f t="shared" si="0"/>
        <v>0.20833333333333334</v>
      </c>
      <c r="F6" s="17">
        <v>18</v>
      </c>
      <c r="G6" s="13">
        <v>21.9</v>
      </c>
      <c r="H6" s="17">
        <v>10.1</v>
      </c>
      <c r="I6" s="13">
        <v>9.86</v>
      </c>
      <c r="J6" s="17">
        <v>9.75</v>
      </c>
      <c r="K6" s="7">
        <f t="shared" si="1"/>
        <v>45.833333333333329</v>
      </c>
    </row>
    <row r="7" spans="1:11" x14ac:dyDescent="0.35">
      <c r="A7" s="40"/>
      <c r="B7" s="15">
        <v>42626</v>
      </c>
      <c r="C7" s="5" t="s">
        <v>17</v>
      </c>
      <c r="D7" s="6">
        <v>8</v>
      </c>
      <c r="E7" s="7">
        <f t="shared" si="0"/>
        <v>0.33333333333333331</v>
      </c>
      <c r="F7" s="17">
        <v>21</v>
      </c>
      <c r="G7" s="13">
        <v>22.1</v>
      </c>
      <c r="H7" s="17">
        <v>11.6</v>
      </c>
      <c r="I7" s="13">
        <v>9.98</v>
      </c>
      <c r="J7" s="17">
        <v>9.9499999999999993</v>
      </c>
      <c r="K7" s="7">
        <f t="shared" si="1"/>
        <v>52.61904761904762</v>
      </c>
    </row>
    <row r="8" spans="1:11" x14ac:dyDescent="0.35">
      <c r="A8" s="40"/>
      <c r="B8" s="15">
        <v>42627</v>
      </c>
      <c r="C8" s="5" t="s">
        <v>18</v>
      </c>
      <c r="D8" s="6">
        <v>24</v>
      </c>
      <c r="E8" s="7">
        <f t="shared" si="0"/>
        <v>1</v>
      </c>
      <c r="F8" s="17">
        <v>24</v>
      </c>
      <c r="G8" s="13">
        <v>23.3</v>
      </c>
      <c r="H8" s="17">
        <v>10.8</v>
      </c>
      <c r="I8" s="13">
        <v>9.9499999999999993</v>
      </c>
      <c r="J8" s="17">
        <v>10.1</v>
      </c>
      <c r="K8" s="7">
        <f t="shared" si="1"/>
        <v>57.916666666666671</v>
      </c>
    </row>
    <row r="9" spans="1:11" x14ac:dyDescent="0.35">
      <c r="A9" s="40"/>
      <c r="B9" s="15">
        <v>42627</v>
      </c>
      <c r="C9" s="5" t="s">
        <v>19</v>
      </c>
      <c r="D9" s="6">
        <v>32</v>
      </c>
      <c r="E9" s="7">
        <f t="shared" si="0"/>
        <v>1.3333333333333333</v>
      </c>
      <c r="F9" s="17">
        <v>22</v>
      </c>
      <c r="G9" s="13">
        <v>22.8</v>
      </c>
      <c r="H9" s="17">
        <v>13.4</v>
      </c>
      <c r="I9" s="13">
        <v>12.1</v>
      </c>
      <c r="J9" s="17">
        <v>10.7</v>
      </c>
      <c r="K9" s="7">
        <f t="shared" si="1"/>
        <v>51.363636363636367</v>
      </c>
    </row>
    <row r="10" spans="1:11" x14ac:dyDescent="0.35">
      <c r="A10" s="40"/>
      <c r="B10" s="15">
        <v>42628</v>
      </c>
      <c r="C10" s="5" t="s">
        <v>20</v>
      </c>
      <c r="D10" s="6">
        <v>48</v>
      </c>
      <c r="E10" s="7">
        <f t="shared" si="0"/>
        <v>2</v>
      </c>
      <c r="F10" s="17">
        <v>21</v>
      </c>
      <c r="G10" s="13">
        <v>23</v>
      </c>
      <c r="H10" s="17">
        <v>11.8</v>
      </c>
      <c r="I10" s="13">
        <v>10.9</v>
      </c>
      <c r="J10" s="17">
        <v>11.3</v>
      </c>
      <c r="K10" s="7">
        <f t="shared" si="1"/>
        <v>46.19047619047619</v>
      </c>
    </row>
    <row r="11" spans="1:11" x14ac:dyDescent="0.35">
      <c r="A11" s="40"/>
      <c r="B11" s="15">
        <v>42629</v>
      </c>
      <c r="C11" s="5" t="s">
        <v>21</v>
      </c>
      <c r="D11" s="6">
        <v>72</v>
      </c>
      <c r="E11" s="7">
        <f t="shared" si="0"/>
        <v>3</v>
      </c>
      <c r="F11" s="17">
        <v>24.4</v>
      </c>
      <c r="G11" s="13">
        <v>25.9</v>
      </c>
      <c r="H11" s="17">
        <v>12.6</v>
      </c>
      <c r="I11" s="13">
        <v>12.1</v>
      </c>
      <c r="J11" s="17">
        <v>13</v>
      </c>
      <c r="K11" s="7">
        <f t="shared" si="1"/>
        <v>46.721311475409834</v>
      </c>
    </row>
    <row r="12" spans="1:11" x14ac:dyDescent="0.35">
      <c r="A12" s="40"/>
      <c r="B12" s="15">
        <v>42629</v>
      </c>
      <c r="C12" s="5" t="s">
        <v>22</v>
      </c>
      <c r="D12" s="6">
        <v>74</v>
      </c>
      <c r="E12" s="7">
        <f t="shared" si="0"/>
        <v>3.0833333333333335</v>
      </c>
      <c r="F12" s="17">
        <v>21.1</v>
      </c>
      <c r="G12" s="13">
        <v>26.4</v>
      </c>
      <c r="H12" s="17">
        <v>12.5</v>
      </c>
      <c r="I12" s="13">
        <v>12.8</v>
      </c>
      <c r="J12" s="17">
        <v>12.5</v>
      </c>
      <c r="K12" s="7">
        <f t="shared" si="1"/>
        <v>40.758293838862564</v>
      </c>
    </row>
    <row r="13" spans="1:11" x14ac:dyDescent="0.35">
      <c r="A13" s="40"/>
      <c r="B13" s="15">
        <v>42629</v>
      </c>
      <c r="C13" s="5" t="s">
        <v>23</v>
      </c>
      <c r="D13" s="6">
        <v>77</v>
      </c>
      <c r="E13" s="7">
        <f t="shared" si="0"/>
        <v>3.2083333333333335</v>
      </c>
      <c r="F13" s="17">
        <v>19.3</v>
      </c>
      <c r="G13" s="13">
        <v>22.4</v>
      </c>
      <c r="H13" s="17">
        <v>14.4</v>
      </c>
      <c r="I13" s="13">
        <v>14.3</v>
      </c>
      <c r="J13" s="17">
        <v>14</v>
      </c>
      <c r="K13" s="7">
        <f t="shared" si="1"/>
        <v>27.461139896373059</v>
      </c>
    </row>
    <row r="14" spans="1:11" x14ac:dyDescent="0.35">
      <c r="A14" s="41"/>
      <c r="B14" s="15">
        <v>42629</v>
      </c>
      <c r="C14" s="5" t="s">
        <v>24</v>
      </c>
      <c r="D14" s="6">
        <v>80</v>
      </c>
      <c r="E14" s="7">
        <f t="shared" si="0"/>
        <v>3.3333333333333335</v>
      </c>
      <c r="F14" s="17">
        <v>20.6</v>
      </c>
      <c r="G14" s="13">
        <v>21.9</v>
      </c>
      <c r="H14" s="17">
        <v>14.1</v>
      </c>
      <c r="I14" s="13">
        <v>14.7</v>
      </c>
      <c r="J14" s="17">
        <v>2</v>
      </c>
      <c r="K14" s="7">
        <f t="shared" si="1"/>
        <v>90.291262135922338</v>
      </c>
    </row>
    <row r="15" spans="1:11" x14ac:dyDescent="0.35">
      <c r="A15" s="45" t="s">
        <v>41</v>
      </c>
      <c r="B15" s="15">
        <v>42630</v>
      </c>
      <c r="C15" s="5" t="s">
        <v>25</v>
      </c>
      <c r="D15" s="6">
        <v>96</v>
      </c>
      <c r="E15" s="7">
        <f t="shared" si="0"/>
        <v>4</v>
      </c>
      <c r="F15" s="17">
        <v>20.399999999999999</v>
      </c>
      <c r="G15" s="13">
        <v>22</v>
      </c>
      <c r="H15" s="20">
        <v>14.1</v>
      </c>
      <c r="I15" s="13">
        <v>13.7</v>
      </c>
      <c r="J15" s="17">
        <v>13.3</v>
      </c>
      <c r="K15" s="7">
        <f t="shared" si="1"/>
        <v>34.803921568627445</v>
      </c>
    </row>
    <row r="16" spans="1:11" x14ac:dyDescent="0.35">
      <c r="A16" s="50"/>
      <c r="B16" s="15">
        <v>42631</v>
      </c>
      <c r="C16" s="5" t="s">
        <v>26</v>
      </c>
      <c r="D16" s="6">
        <v>120</v>
      </c>
      <c r="E16" s="7">
        <f t="shared" si="0"/>
        <v>5</v>
      </c>
      <c r="F16" s="17">
        <v>21.6</v>
      </c>
      <c r="G16" s="13">
        <v>20.9</v>
      </c>
      <c r="H16" s="17">
        <v>12.8</v>
      </c>
      <c r="I16" s="13">
        <v>13</v>
      </c>
      <c r="J16" s="17">
        <v>13.3</v>
      </c>
      <c r="K16" s="7">
        <f t="shared" si="1"/>
        <v>38.425925925925924</v>
      </c>
    </row>
    <row r="17" spans="1:11" x14ac:dyDescent="0.35">
      <c r="A17" s="50"/>
      <c r="B17" s="15">
        <v>42632</v>
      </c>
      <c r="C17" s="5" t="s">
        <v>27</v>
      </c>
      <c r="D17" s="6">
        <v>144</v>
      </c>
      <c r="E17" s="7">
        <f t="shared" si="0"/>
        <v>6</v>
      </c>
      <c r="F17" s="17">
        <v>20.399999999999999</v>
      </c>
      <c r="G17" s="13">
        <v>20.7</v>
      </c>
      <c r="H17" s="17">
        <v>12.8</v>
      </c>
      <c r="I17" s="13">
        <v>12.6</v>
      </c>
      <c r="J17" s="17">
        <v>13.3</v>
      </c>
      <c r="K17" s="7">
        <f t="shared" si="1"/>
        <v>34.803921568627445</v>
      </c>
    </row>
    <row r="18" spans="1:11" x14ac:dyDescent="0.35">
      <c r="A18" s="50"/>
      <c r="B18" s="15">
        <v>42633</v>
      </c>
      <c r="C18" s="5" t="s">
        <v>28</v>
      </c>
      <c r="D18" s="6">
        <v>168</v>
      </c>
      <c r="E18" s="7">
        <f t="shared" si="0"/>
        <v>7</v>
      </c>
      <c r="F18" s="17">
        <v>20.100000000000001</v>
      </c>
      <c r="G18" s="13">
        <v>20.8</v>
      </c>
      <c r="H18" s="17">
        <v>11.7</v>
      </c>
      <c r="I18" s="13">
        <v>11.3</v>
      </c>
      <c r="J18" s="17">
        <v>11.9</v>
      </c>
      <c r="K18" s="7">
        <f t="shared" si="1"/>
        <v>40.796019900497512</v>
      </c>
    </row>
    <row r="19" spans="1:11" x14ac:dyDescent="0.35">
      <c r="A19" s="50"/>
      <c r="B19" s="15">
        <v>42635</v>
      </c>
      <c r="C19" s="5" t="s">
        <v>29</v>
      </c>
      <c r="D19" s="6">
        <v>216</v>
      </c>
      <c r="E19" s="7">
        <f t="shared" si="0"/>
        <v>9</v>
      </c>
      <c r="F19" s="17">
        <v>21.2</v>
      </c>
      <c r="G19" s="13">
        <v>21.6</v>
      </c>
      <c r="H19" s="17">
        <v>13.2</v>
      </c>
      <c r="I19" s="13">
        <v>12.8</v>
      </c>
      <c r="J19" s="17">
        <v>13</v>
      </c>
      <c r="K19" s="7">
        <f t="shared" si="1"/>
        <v>38.679245283018865</v>
      </c>
    </row>
    <row r="20" spans="1:11" x14ac:dyDescent="0.35">
      <c r="A20" s="50"/>
      <c r="B20" s="15">
        <v>42640</v>
      </c>
      <c r="C20" s="5" t="s">
        <v>33</v>
      </c>
      <c r="D20" s="6">
        <v>336</v>
      </c>
      <c r="E20" s="7">
        <f t="shared" si="0"/>
        <v>14</v>
      </c>
      <c r="F20" s="17">
        <v>23.2</v>
      </c>
      <c r="G20" s="13">
        <v>21.8</v>
      </c>
      <c r="H20" s="17">
        <v>12.9</v>
      </c>
      <c r="I20" s="13">
        <v>12.8</v>
      </c>
      <c r="J20" s="17">
        <v>12.8</v>
      </c>
      <c r="K20" s="7">
        <f t="shared" si="1"/>
        <v>44.827586206896548</v>
      </c>
    </row>
    <row r="21" spans="1:11" x14ac:dyDescent="0.35">
      <c r="A21" s="50"/>
      <c r="B21" s="15">
        <v>42642</v>
      </c>
      <c r="C21" s="5" t="s">
        <v>34</v>
      </c>
      <c r="D21" s="6">
        <v>384</v>
      </c>
      <c r="E21" s="7">
        <f t="shared" si="0"/>
        <v>16</v>
      </c>
      <c r="F21" s="17">
        <v>22.4</v>
      </c>
      <c r="G21" s="13">
        <v>23.8</v>
      </c>
      <c r="H21" s="17">
        <v>15.3</v>
      </c>
      <c r="I21" s="13">
        <v>15.2</v>
      </c>
      <c r="J21" s="17">
        <v>15.1</v>
      </c>
      <c r="K21" s="7">
        <f t="shared" si="1"/>
        <v>32.589285714285708</v>
      </c>
    </row>
    <row r="22" spans="1:11" x14ac:dyDescent="0.35">
      <c r="A22" s="50"/>
      <c r="B22" s="15">
        <v>42647</v>
      </c>
      <c r="C22" s="5" t="s">
        <v>35</v>
      </c>
      <c r="D22" s="6">
        <v>504</v>
      </c>
      <c r="E22" s="7">
        <f t="shared" si="0"/>
        <v>21</v>
      </c>
      <c r="F22" s="17">
        <v>21.8</v>
      </c>
      <c r="G22" s="13">
        <v>22.4</v>
      </c>
      <c r="H22" s="17">
        <v>12.2</v>
      </c>
      <c r="I22" s="13">
        <v>12.8</v>
      </c>
      <c r="J22" s="17">
        <v>9.8000000000000007</v>
      </c>
      <c r="K22" s="7">
        <f t="shared" si="1"/>
        <v>55.045871559633028</v>
      </c>
    </row>
    <row r="23" spans="1:11" x14ac:dyDescent="0.35">
      <c r="A23" s="50"/>
      <c r="B23" s="15">
        <v>42649</v>
      </c>
      <c r="C23" s="5" t="s">
        <v>36</v>
      </c>
      <c r="D23" s="6">
        <v>552</v>
      </c>
      <c r="E23" s="7">
        <f t="shared" si="0"/>
        <v>23</v>
      </c>
      <c r="F23" s="17">
        <v>21.9</v>
      </c>
      <c r="G23" s="13">
        <v>23.5</v>
      </c>
      <c r="H23" s="17">
        <v>13.7</v>
      </c>
      <c r="I23" s="13">
        <v>13.9</v>
      </c>
      <c r="J23" s="17">
        <v>14.4</v>
      </c>
      <c r="K23" s="7">
        <f t="shared" si="1"/>
        <v>34.246575342465746</v>
      </c>
    </row>
    <row r="24" spans="1:11" x14ac:dyDescent="0.35">
      <c r="A24" s="50"/>
      <c r="B24" s="15">
        <v>42654</v>
      </c>
      <c r="C24" s="5" t="s">
        <v>43</v>
      </c>
      <c r="D24" s="6">
        <v>672</v>
      </c>
      <c r="E24" s="7">
        <f t="shared" si="0"/>
        <v>28</v>
      </c>
      <c r="F24" s="17">
        <v>21.7</v>
      </c>
      <c r="G24" s="13">
        <v>26.1</v>
      </c>
      <c r="H24" s="17">
        <v>12.1</v>
      </c>
      <c r="I24" s="13">
        <v>11.3</v>
      </c>
      <c r="J24" s="17">
        <v>11.6</v>
      </c>
      <c r="K24" s="7">
        <f t="shared" si="1"/>
        <v>46.543778801843317</v>
      </c>
    </row>
    <row r="25" spans="1:11" x14ac:dyDescent="0.35">
      <c r="A25" s="50"/>
      <c r="B25" s="15">
        <v>42656</v>
      </c>
      <c r="C25" s="5" t="s">
        <v>44</v>
      </c>
      <c r="D25" s="6">
        <v>720</v>
      </c>
      <c r="E25" s="7">
        <f t="shared" si="0"/>
        <v>30</v>
      </c>
      <c r="F25" s="17">
        <v>19.399999999999999</v>
      </c>
      <c r="G25" s="13">
        <v>22.2</v>
      </c>
      <c r="H25" s="17">
        <v>13.1</v>
      </c>
      <c r="I25" s="13">
        <v>13.1</v>
      </c>
      <c r="J25" s="17">
        <v>13.3</v>
      </c>
      <c r="K25" s="7">
        <f t="shared" si="1"/>
        <v>31.44329896907216</v>
      </c>
    </row>
    <row r="26" spans="1:11" x14ac:dyDescent="0.35">
      <c r="A26" s="50"/>
      <c r="B26" s="15">
        <v>42660</v>
      </c>
      <c r="C26" s="5" t="s">
        <v>45</v>
      </c>
      <c r="D26" s="6">
        <v>816</v>
      </c>
      <c r="E26" s="7">
        <f t="shared" si="0"/>
        <v>34</v>
      </c>
      <c r="F26" s="17">
        <v>21.2</v>
      </c>
      <c r="G26" s="13">
        <v>23.4</v>
      </c>
      <c r="H26" s="17">
        <v>17.3</v>
      </c>
      <c r="I26" s="13">
        <v>18.8</v>
      </c>
      <c r="J26" s="17">
        <v>19.3</v>
      </c>
      <c r="K26" s="7">
        <f t="shared" si="1"/>
        <v>8.9622641509433905</v>
      </c>
    </row>
    <row r="27" spans="1:11" x14ac:dyDescent="0.35">
      <c r="A27" s="50"/>
      <c r="B27" s="15">
        <v>42663</v>
      </c>
      <c r="C27" s="5" t="s">
        <v>46</v>
      </c>
      <c r="D27" s="6">
        <v>888</v>
      </c>
      <c r="E27" s="7">
        <f t="shared" si="0"/>
        <v>37</v>
      </c>
      <c r="F27" s="17">
        <v>19.100000000000001</v>
      </c>
      <c r="G27" s="13">
        <v>22.4</v>
      </c>
      <c r="H27" s="17">
        <v>15.6</v>
      </c>
      <c r="I27" s="13">
        <v>16</v>
      </c>
      <c r="J27" s="17">
        <v>17</v>
      </c>
      <c r="K27" s="7">
        <f t="shared" si="1"/>
        <v>10.994764397905765</v>
      </c>
    </row>
    <row r="28" spans="1:11" x14ac:dyDescent="0.35">
      <c r="A28" s="50"/>
      <c r="B28" s="15">
        <v>42668</v>
      </c>
      <c r="C28" s="5" t="s">
        <v>47</v>
      </c>
      <c r="D28" s="6">
        <v>1008</v>
      </c>
      <c r="E28" s="7">
        <f t="shared" si="0"/>
        <v>42</v>
      </c>
      <c r="F28" s="17">
        <v>25.1</v>
      </c>
      <c r="G28" s="13">
        <v>26.1</v>
      </c>
      <c r="H28" s="17">
        <v>15.4</v>
      </c>
      <c r="I28" s="13">
        <v>15.8</v>
      </c>
      <c r="J28" s="17">
        <v>15.4</v>
      </c>
      <c r="K28" s="7">
        <f t="shared" si="1"/>
        <v>38.645418326693232</v>
      </c>
    </row>
    <row r="29" spans="1:11" x14ac:dyDescent="0.35">
      <c r="A29" s="50"/>
      <c r="B29" s="15">
        <v>42670</v>
      </c>
      <c r="C29" s="5" t="s">
        <v>48</v>
      </c>
      <c r="D29" s="6">
        <v>1056</v>
      </c>
      <c r="E29" s="7">
        <f t="shared" si="0"/>
        <v>44</v>
      </c>
      <c r="F29" s="17">
        <v>22.2</v>
      </c>
      <c r="G29" s="13">
        <v>22.9</v>
      </c>
      <c r="H29" s="17">
        <v>16.5</v>
      </c>
      <c r="I29" s="13">
        <v>15.6</v>
      </c>
      <c r="J29" s="17">
        <v>16.100000000000001</v>
      </c>
      <c r="K29" s="7">
        <f t="shared" si="1"/>
        <v>27.477477477477468</v>
      </c>
    </row>
    <row r="30" spans="1:11" x14ac:dyDescent="0.35">
      <c r="A30" s="50"/>
      <c r="B30" s="15">
        <v>42675</v>
      </c>
      <c r="C30" s="21" t="s">
        <v>49</v>
      </c>
      <c r="D30" s="22">
        <v>1176</v>
      </c>
      <c r="E30" s="7">
        <f t="shared" si="0"/>
        <v>49</v>
      </c>
      <c r="F30" s="17">
        <v>23.4</v>
      </c>
      <c r="G30" s="13">
        <v>22.3</v>
      </c>
      <c r="H30" s="17">
        <v>16.2</v>
      </c>
      <c r="I30" s="13">
        <v>16.2</v>
      </c>
      <c r="J30" s="17">
        <v>16.600000000000001</v>
      </c>
      <c r="K30" s="7">
        <f t="shared" si="1"/>
        <v>29.059829059829053</v>
      </c>
    </row>
    <row r="31" spans="1:11" x14ac:dyDescent="0.35">
      <c r="A31" s="50"/>
      <c r="B31" s="15">
        <v>42677</v>
      </c>
      <c r="C31" s="21" t="s">
        <v>50</v>
      </c>
      <c r="D31" s="22">
        <v>1224</v>
      </c>
      <c r="E31" s="7">
        <f t="shared" si="0"/>
        <v>51</v>
      </c>
      <c r="F31" s="17">
        <v>23.7</v>
      </c>
      <c r="G31" s="13">
        <v>23</v>
      </c>
      <c r="H31" s="17">
        <v>14.3</v>
      </c>
      <c r="I31" s="13">
        <v>14.2</v>
      </c>
      <c r="J31" s="17">
        <v>14.8</v>
      </c>
      <c r="K31" s="7">
        <f t="shared" si="1"/>
        <v>37.552742616033754</v>
      </c>
    </row>
    <row r="32" spans="1:11" x14ac:dyDescent="0.35">
      <c r="A32" s="50"/>
      <c r="B32" s="15">
        <v>42682</v>
      </c>
      <c r="C32" s="21" t="s">
        <v>51</v>
      </c>
      <c r="D32" s="22">
        <v>1344</v>
      </c>
      <c r="E32" s="23">
        <f t="shared" si="0"/>
        <v>56</v>
      </c>
      <c r="F32" s="17">
        <v>16.8</v>
      </c>
      <c r="G32" s="13">
        <v>24.9</v>
      </c>
      <c r="H32" s="17">
        <v>14.2</v>
      </c>
      <c r="I32" s="13">
        <v>14.6</v>
      </c>
      <c r="J32" s="17">
        <v>14.5</v>
      </c>
      <c r="K32" s="7">
        <f t="shared" si="1"/>
        <v>13.690476190476195</v>
      </c>
    </row>
    <row r="33" spans="1:11" x14ac:dyDescent="0.35">
      <c r="A33" s="51"/>
      <c r="B33" s="15">
        <v>42684</v>
      </c>
      <c r="C33" s="21" t="s">
        <v>52</v>
      </c>
      <c r="D33" s="22">
        <v>1392</v>
      </c>
      <c r="E33" s="23">
        <f t="shared" si="0"/>
        <v>58</v>
      </c>
      <c r="F33" s="17">
        <v>22.8</v>
      </c>
      <c r="G33" s="13">
        <v>24.6</v>
      </c>
      <c r="H33" s="17">
        <v>17.5</v>
      </c>
      <c r="I33" s="13">
        <v>18.399999999999999</v>
      </c>
      <c r="J33" s="17">
        <v>18.100000000000001</v>
      </c>
      <c r="K33" s="7">
        <f t="shared" si="1"/>
        <v>20.614035087719294</v>
      </c>
    </row>
    <row r="34" spans="1:11" x14ac:dyDescent="0.35">
      <c r="K34" s="32"/>
    </row>
  </sheetData>
  <mergeCells count="3">
    <mergeCell ref="A5:A14"/>
    <mergeCell ref="F1:J1"/>
    <mergeCell ref="A15:A3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3"/>
  <sheetViews>
    <sheetView tabSelected="1" workbookViewId="0">
      <selection activeCell="H30" sqref="H30:I30"/>
    </sheetView>
  </sheetViews>
  <sheetFormatPr defaultRowHeight="14.5" x14ac:dyDescent="0.35"/>
  <cols>
    <col min="1" max="1" width="21.7265625" customWidth="1"/>
    <col min="2" max="2" width="12.54296875" customWidth="1"/>
  </cols>
  <sheetData>
    <row r="1" spans="1:10" x14ac:dyDescent="0.35">
      <c r="F1" s="42" t="s">
        <v>57</v>
      </c>
      <c r="G1" s="43"/>
      <c r="H1" s="43"/>
      <c r="I1" s="43"/>
      <c r="J1" s="44"/>
    </row>
    <row r="2" spans="1:10" x14ac:dyDescent="0.35">
      <c r="F2" s="1" t="s">
        <v>1</v>
      </c>
      <c r="G2" s="2" t="s">
        <v>2</v>
      </c>
      <c r="H2" s="1" t="s">
        <v>3</v>
      </c>
      <c r="I2" s="2" t="s">
        <v>4</v>
      </c>
      <c r="J2" s="1" t="s">
        <v>5</v>
      </c>
    </row>
    <row r="3" spans="1:10" ht="43.5" x14ac:dyDescent="0.35">
      <c r="A3" s="5" t="s">
        <v>38</v>
      </c>
      <c r="B3" s="14" t="s">
        <v>32</v>
      </c>
      <c r="C3" s="14" t="s">
        <v>6</v>
      </c>
      <c r="D3" s="14" t="s">
        <v>7</v>
      </c>
      <c r="E3" s="14" t="s">
        <v>8</v>
      </c>
      <c r="F3" s="3" t="s">
        <v>9</v>
      </c>
      <c r="G3" s="4" t="s">
        <v>10</v>
      </c>
      <c r="H3" s="3" t="s">
        <v>12</v>
      </c>
      <c r="I3" s="4" t="s">
        <v>11</v>
      </c>
      <c r="J3" s="3" t="s">
        <v>13</v>
      </c>
    </row>
    <row r="4" spans="1:10" x14ac:dyDescent="0.35">
      <c r="A4" s="18" t="s">
        <v>39</v>
      </c>
      <c r="B4" s="15">
        <v>42626</v>
      </c>
      <c r="C4" s="5" t="s">
        <v>14</v>
      </c>
      <c r="D4" s="6">
        <v>0</v>
      </c>
      <c r="E4" s="7">
        <f>D4/24</f>
        <v>0</v>
      </c>
      <c r="F4" s="17">
        <v>27</v>
      </c>
      <c r="G4" s="13">
        <v>24</v>
      </c>
      <c r="H4" s="17">
        <v>1548</v>
      </c>
      <c r="I4" s="13">
        <v>600</v>
      </c>
      <c r="J4" s="17">
        <v>16</v>
      </c>
    </row>
    <row r="5" spans="1:10" x14ac:dyDescent="0.35">
      <c r="A5" s="40" t="s">
        <v>53</v>
      </c>
      <c r="B5" s="15">
        <v>42627</v>
      </c>
      <c r="C5" s="5" t="s">
        <v>18</v>
      </c>
      <c r="D5" s="6">
        <v>24</v>
      </c>
      <c r="E5" s="7">
        <f t="shared" ref="E5:E26" si="0">D5/24</f>
        <v>1</v>
      </c>
      <c r="F5" s="17">
        <v>33</v>
      </c>
      <c r="G5" s="13">
        <v>27</v>
      </c>
      <c r="H5" s="17">
        <v>1702</v>
      </c>
      <c r="I5" s="13">
        <v>572</v>
      </c>
      <c r="J5" s="17">
        <v>5</v>
      </c>
    </row>
    <row r="6" spans="1:10" x14ac:dyDescent="0.35">
      <c r="A6" s="40"/>
      <c r="B6" s="15">
        <v>42628</v>
      </c>
      <c r="C6" s="5" t="s">
        <v>20</v>
      </c>
      <c r="D6" s="6">
        <v>48</v>
      </c>
      <c r="E6" s="7">
        <f t="shared" si="0"/>
        <v>2</v>
      </c>
      <c r="F6" s="17">
        <v>15</v>
      </c>
      <c r="G6" s="13">
        <v>28</v>
      </c>
      <c r="H6" s="17">
        <v>1326</v>
      </c>
      <c r="I6" s="13">
        <v>563</v>
      </c>
      <c r="J6" s="17">
        <v>146</v>
      </c>
    </row>
    <row r="7" spans="1:10" x14ac:dyDescent="0.35">
      <c r="A7" s="40"/>
      <c r="B7" s="15">
        <v>42629</v>
      </c>
      <c r="C7" s="5" t="s">
        <v>21</v>
      </c>
      <c r="D7" s="6">
        <v>72</v>
      </c>
      <c r="E7" s="7">
        <f t="shared" si="0"/>
        <v>3</v>
      </c>
      <c r="F7" s="17">
        <v>17</v>
      </c>
      <c r="G7" s="13">
        <v>43</v>
      </c>
      <c r="H7" s="17">
        <v>652</v>
      </c>
      <c r="I7" s="13">
        <v>352</v>
      </c>
      <c r="J7" s="17">
        <v>185</v>
      </c>
    </row>
    <row r="8" spans="1:10" x14ac:dyDescent="0.35">
      <c r="A8" s="52" t="s">
        <v>41</v>
      </c>
      <c r="B8" s="15">
        <v>42630</v>
      </c>
      <c r="C8" s="5" t="s">
        <v>25</v>
      </c>
      <c r="D8" s="6">
        <v>96</v>
      </c>
      <c r="E8" s="7">
        <f t="shared" si="0"/>
        <v>4</v>
      </c>
      <c r="F8" s="17">
        <v>41</v>
      </c>
      <c r="G8" s="13">
        <v>66</v>
      </c>
      <c r="H8" s="20">
        <v>659</v>
      </c>
      <c r="I8" s="13">
        <v>228</v>
      </c>
      <c r="J8" s="17">
        <v>49</v>
      </c>
    </row>
    <row r="9" spans="1:10" x14ac:dyDescent="0.35">
      <c r="A9" s="53"/>
      <c r="B9" s="15">
        <v>42631</v>
      </c>
      <c r="C9" s="5" t="s">
        <v>26</v>
      </c>
      <c r="D9" s="6">
        <v>120</v>
      </c>
      <c r="E9" s="7">
        <f t="shared" si="0"/>
        <v>5</v>
      </c>
      <c r="F9" s="17">
        <v>24</v>
      </c>
      <c r="G9" s="13">
        <v>49</v>
      </c>
      <c r="H9" s="17">
        <v>493</v>
      </c>
      <c r="I9" s="13">
        <v>208</v>
      </c>
      <c r="J9" s="17">
        <v>56</v>
      </c>
    </row>
    <row r="10" spans="1:10" x14ac:dyDescent="0.35">
      <c r="A10" s="53"/>
      <c r="B10" s="15">
        <v>42632</v>
      </c>
      <c r="C10" s="5" t="s">
        <v>27</v>
      </c>
      <c r="D10" s="6">
        <v>144</v>
      </c>
      <c r="E10" s="7">
        <f t="shared" si="0"/>
        <v>6</v>
      </c>
      <c r="F10" s="17">
        <v>23</v>
      </c>
      <c r="G10" s="13">
        <v>22</v>
      </c>
      <c r="H10" s="17">
        <v>486</v>
      </c>
      <c r="I10" s="13">
        <v>246</v>
      </c>
      <c r="J10" s="17">
        <v>18</v>
      </c>
    </row>
    <row r="11" spans="1:10" x14ac:dyDescent="0.35">
      <c r="A11" s="53"/>
      <c r="B11" s="15">
        <v>42633</v>
      </c>
      <c r="C11" s="5" t="s">
        <v>28</v>
      </c>
      <c r="D11" s="6">
        <v>168</v>
      </c>
      <c r="E11" s="7">
        <f t="shared" si="0"/>
        <v>7</v>
      </c>
      <c r="F11" s="17">
        <v>25</v>
      </c>
      <c r="G11" s="13">
        <v>32</v>
      </c>
      <c r="H11" s="17">
        <v>647</v>
      </c>
      <c r="I11" s="13">
        <v>222</v>
      </c>
      <c r="J11" s="17">
        <v>22</v>
      </c>
    </row>
    <row r="12" spans="1:10" x14ac:dyDescent="0.35">
      <c r="A12" s="53"/>
      <c r="B12" s="15">
        <v>42635</v>
      </c>
      <c r="C12" s="5" t="s">
        <v>29</v>
      </c>
      <c r="D12" s="6">
        <v>216</v>
      </c>
      <c r="E12" s="7">
        <f t="shared" si="0"/>
        <v>9</v>
      </c>
      <c r="F12" s="17">
        <v>29</v>
      </c>
      <c r="G12" s="13">
        <v>30</v>
      </c>
      <c r="H12" s="17">
        <v>428</v>
      </c>
      <c r="I12" s="13">
        <v>195</v>
      </c>
      <c r="J12" s="17">
        <v>35</v>
      </c>
    </row>
    <row r="13" spans="1:10" x14ac:dyDescent="0.35">
      <c r="A13" s="53"/>
      <c r="B13" s="15">
        <v>42640</v>
      </c>
      <c r="C13" s="5" t="s">
        <v>33</v>
      </c>
      <c r="D13" s="6">
        <v>336</v>
      </c>
      <c r="E13" s="7">
        <f t="shared" si="0"/>
        <v>14</v>
      </c>
      <c r="F13" s="17">
        <v>37</v>
      </c>
      <c r="G13" s="13">
        <v>28</v>
      </c>
      <c r="H13" s="17">
        <v>789</v>
      </c>
      <c r="I13" s="13">
        <v>298</v>
      </c>
      <c r="J13" s="17">
        <v>164</v>
      </c>
    </row>
    <row r="14" spans="1:10" x14ac:dyDescent="0.35">
      <c r="A14" s="53"/>
      <c r="B14" s="15">
        <v>42642</v>
      </c>
      <c r="C14" s="5" t="s">
        <v>34</v>
      </c>
      <c r="D14" s="6">
        <v>384</v>
      </c>
      <c r="E14" s="7">
        <f t="shared" si="0"/>
        <v>16</v>
      </c>
      <c r="F14" s="17">
        <v>45</v>
      </c>
      <c r="G14" s="13">
        <v>28</v>
      </c>
      <c r="H14" s="17">
        <v>538</v>
      </c>
      <c r="I14" s="13">
        <v>232</v>
      </c>
      <c r="J14" s="17">
        <v>69</v>
      </c>
    </row>
    <row r="15" spans="1:10" x14ac:dyDescent="0.35">
      <c r="A15" s="53"/>
      <c r="B15" s="15">
        <v>42647</v>
      </c>
      <c r="C15" s="5" t="s">
        <v>35</v>
      </c>
      <c r="D15" s="6">
        <v>504</v>
      </c>
      <c r="E15" s="7">
        <f t="shared" si="0"/>
        <v>21</v>
      </c>
      <c r="F15" s="17">
        <v>52</v>
      </c>
      <c r="G15" s="13">
        <v>36</v>
      </c>
      <c r="H15" s="17">
        <v>378</v>
      </c>
      <c r="I15" s="13">
        <v>234</v>
      </c>
      <c r="J15" s="17">
        <v>33</v>
      </c>
    </row>
    <row r="16" spans="1:10" x14ac:dyDescent="0.35">
      <c r="A16" s="53"/>
      <c r="B16" s="15">
        <v>42649</v>
      </c>
      <c r="C16" s="5" t="s">
        <v>36</v>
      </c>
      <c r="D16" s="6">
        <v>552</v>
      </c>
      <c r="E16" s="7">
        <f t="shared" si="0"/>
        <v>23</v>
      </c>
      <c r="F16" s="17">
        <v>34</v>
      </c>
      <c r="G16" s="13">
        <v>26</v>
      </c>
      <c r="H16" s="17">
        <v>331</v>
      </c>
      <c r="I16" s="13">
        <v>182</v>
      </c>
      <c r="J16" s="17">
        <v>42</v>
      </c>
    </row>
    <row r="17" spans="1:10" x14ac:dyDescent="0.35">
      <c r="A17" s="53"/>
      <c r="B17" s="15">
        <v>42654</v>
      </c>
      <c r="C17" s="5" t="s">
        <v>43</v>
      </c>
      <c r="D17" s="6">
        <v>672</v>
      </c>
      <c r="E17" s="7">
        <f t="shared" si="0"/>
        <v>28</v>
      </c>
      <c r="F17" s="17">
        <v>19</v>
      </c>
      <c r="G17" s="13">
        <v>25</v>
      </c>
      <c r="H17" s="17">
        <v>570</v>
      </c>
      <c r="I17" s="13">
        <v>277</v>
      </c>
      <c r="J17" s="17">
        <v>134</v>
      </c>
    </row>
    <row r="18" spans="1:10" x14ac:dyDescent="0.35">
      <c r="A18" s="53"/>
      <c r="B18" s="15">
        <v>42656</v>
      </c>
      <c r="C18" s="5" t="s">
        <v>44</v>
      </c>
      <c r="D18" s="6">
        <v>720</v>
      </c>
      <c r="E18" s="7">
        <f t="shared" si="0"/>
        <v>30</v>
      </c>
      <c r="F18" s="17">
        <v>25</v>
      </c>
      <c r="G18" s="13">
        <v>20</v>
      </c>
      <c r="H18" s="17">
        <v>301</v>
      </c>
      <c r="I18" s="13">
        <v>10</v>
      </c>
      <c r="J18" s="17">
        <v>61</v>
      </c>
    </row>
    <row r="19" spans="1:10" x14ac:dyDescent="0.35">
      <c r="A19" s="53"/>
      <c r="B19" s="15">
        <v>42660</v>
      </c>
      <c r="C19" s="5" t="s">
        <v>45</v>
      </c>
      <c r="D19" s="6">
        <v>816</v>
      </c>
      <c r="E19" s="7">
        <f t="shared" si="0"/>
        <v>34</v>
      </c>
      <c r="F19" s="17">
        <v>8</v>
      </c>
      <c r="G19" s="13">
        <v>30</v>
      </c>
      <c r="H19" s="17">
        <v>258</v>
      </c>
      <c r="I19" s="13">
        <v>150</v>
      </c>
      <c r="J19" s="17">
        <v>87</v>
      </c>
    </row>
    <row r="20" spans="1:10" x14ac:dyDescent="0.35">
      <c r="A20" s="53"/>
      <c r="B20" s="15">
        <v>42663</v>
      </c>
      <c r="C20" s="5" t="s">
        <v>46</v>
      </c>
      <c r="D20" s="6">
        <v>888</v>
      </c>
      <c r="E20" s="7">
        <f t="shared" si="0"/>
        <v>37</v>
      </c>
      <c r="F20" s="17">
        <v>50</v>
      </c>
      <c r="G20" s="13">
        <v>22</v>
      </c>
      <c r="H20" s="17">
        <v>248</v>
      </c>
      <c r="I20" s="13">
        <v>135</v>
      </c>
      <c r="J20" s="17">
        <v>95</v>
      </c>
    </row>
    <row r="21" spans="1:10" x14ac:dyDescent="0.35">
      <c r="A21" s="53"/>
      <c r="B21" s="15">
        <v>42668</v>
      </c>
      <c r="C21" s="5" t="s">
        <v>47</v>
      </c>
      <c r="D21" s="6">
        <v>1008</v>
      </c>
      <c r="E21" s="7">
        <f t="shared" si="0"/>
        <v>42</v>
      </c>
      <c r="F21" s="17">
        <v>36</v>
      </c>
      <c r="G21" s="13">
        <v>28</v>
      </c>
      <c r="H21" s="17">
        <v>289</v>
      </c>
      <c r="I21" s="13">
        <v>109</v>
      </c>
      <c r="J21" s="17">
        <v>6</v>
      </c>
    </row>
    <row r="22" spans="1:10" x14ac:dyDescent="0.35">
      <c r="A22" s="53"/>
      <c r="B22" s="15">
        <v>42670</v>
      </c>
      <c r="C22" s="5" t="s">
        <v>48</v>
      </c>
      <c r="D22" s="6">
        <v>1056</v>
      </c>
      <c r="E22" s="7">
        <f t="shared" si="0"/>
        <v>44</v>
      </c>
      <c r="F22" s="17">
        <v>22</v>
      </c>
      <c r="G22" s="13">
        <v>25</v>
      </c>
      <c r="H22" s="17">
        <v>415</v>
      </c>
      <c r="I22" s="13">
        <v>186</v>
      </c>
      <c r="J22" s="17">
        <v>155</v>
      </c>
    </row>
    <row r="23" spans="1:10" x14ac:dyDescent="0.35">
      <c r="A23" s="54"/>
      <c r="B23" s="15">
        <v>42675</v>
      </c>
      <c r="C23" s="21" t="s">
        <v>49</v>
      </c>
      <c r="D23" s="22">
        <v>1176</v>
      </c>
      <c r="E23" s="7">
        <f t="shared" si="0"/>
        <v>49</v>
      </c>
      <c r="F23" s="17">
        <v>21</v>
      </c>
      <c r="G23" s="13">
        <v>19</v>
      </c>
      <c r="H23" s="17">
        <v>680</v>
      </c>
      <c r="I23" s="13">
        <v>333</v>
      </c>
      <c r="J23" s="17">
        <v>9</v>
      </c>
    </row>
    <row r="24" spans="1:10" x14ac:dyDescent="0.35">
      <c r="A24" s="54"/>
      <c r="B24" s="15">
        <v>42677</v>
      </c>
      <c r="C24" s="21" t="s">
        <v>50</v>
      </c>
      <c r="D24" s="22">
        <v>1224</v>
      </c>
      <c r="E24" s="7">
        <f t="shared" si="0"/>
        <v>51</v>
      </c>
      <c r="F24" s="17">
        <v>76</v>
      </c>
      <c r="G24" s="13">
        <v>21</v>
      </c>
      <c r="H24" s="17">
        <v>606</v>
      </c>
      <c r="I24" s="13">
        <v>354</v>
      </c>
      <c r="J24" s="17">
        <v>6</v>
      </c>
    </row>
    <row r="25" spans="1:10" x14ac:dyDescent="0.35">
      <c r="A25" s="54"/>
      <c r="B25" s="15">
        <v>42682</v>
      </c>
      <c r="C25" s="21" t="s">
        <v>51</v>
      </c>
      <c r="D25" s="22">
        <v>1344</v>
      </c>
      <c r="E25" s="23">
        <f t="shared" si="0"/>
        <v>56</v>
      </c>
      <c r="F25" s="17">
        <v>25</v>
      </c>
      <c r="G25" s="13">
        <v>21</v>
      </c>
      <c r="H25" s="17">
        <v>517</v>
      </c>
      <c r="I25" s="13">
        <v>302</v>
      </c>
      <c r="J25" s="17">
        <v>14</v>
      </c>
    </row>
    <row r="26" spans="1:10" x14ac:dyDescent="0.35">
      <c r="A26" s="54"/>
      <c r="B26" s="15">
        <v>42684</v>
      </c>
      <c r="C26" s="21" t="s">
        <v>52</v>
      </c>
      <c r="D26" s="22">
        <v>1392</v>
      </c>
      <c r="E26" s="23">
        <f t="shared" si="0"/>
        <v>58</v>
      </c>
      <c r="F26" s="17">
        <v>3</v>
      </c>
      <c r="G26" s="13">
        <v>2</v>
      </c>
      <c r="H26" s="17">
        <v>437</v>
      </c>
      <c r="I26" s="13">
        <v>170</v>
      </c>
      <c r="J26" s="17">
        <v>6</v>
      </c>
    </row>
    <row r="28" spans="1:10" x14ac:dyDescent="0.35">
      <c r="F28" s="42" t="s">
        <v>58</v>
      </c>
      <c r="G28" s="43"/>
      <c r="H28" s="43"/>
      <c r="I28" s="43"/>
      <c r="J28" s="44"/>
    </row>
    <row r="29" spans="1:10" x14ac:dyDescent="0.35">
      <c r="E29" s="26"/>
      <c r="F29" s="1" t="s">
        <v>1</v>
      </c>
      <c r="G29" s="2" t="s">
        <v>2</v>
      </c>
      <c r="H29" s="1" t="s">
        <v>3</v>
      </c>
      <c r="I29" s="2" t="s">
        <v>4</v>
      </c>
      <c r="J29" s="1" t="s">
        <v>5</v>
      </c>
    </row>
    <row r="30" spans="1:10" ht="43.5" x14ac:dyDescent="0.35">
      <c r="A30" s="5" t="s">
        <v>38</v>
      </c>
      <c r="B30" s="14" t="s">
        <v>32</v>
      </c>
      <c r="C30" s="14" t="s">
        <v>6</v>
      </c>
      <c r="D30" s="14" t="s">
        <v>7</v>
      </c>
      <c r="E30" s="14" t="s">
        <v>8</v>
      </c>
      <c r="F30" s="3" t="s">
        <v>9</v>
      </c>
      <c r="G30" s="4" t="s">
        <v>10</v>
      </c>
      <c r="H30" s="3" t="s">
        <v>12</v>
      </c>
      <c r="I30" s="4" t="s">
        <v>11</v>
      </c>
      <c r="J30" s="3" t="s">
        <v>13</v>
      </c>
    </row>
    <row r="31" spans="1:10" x14ac:dyDescent="0.35">
      <c r="A31" s="18" t="s">
        <v>39</v>
      </c>
      <c r="B31" s="15">
        <v>42626</v>
      </c>
      <c r="C31" s="5" t="s">
        <v>14</v>
      </c>
      <c r="D31" s="6">
        <v>0</v>
      </c>
      <c r="E31" s="7">
        <f>D31/24</f>
        <v>0</v>
      </c>
      <c r="F31" s="34">
        <v>22</v>
      </c>
      <c r="G31" s="27">
        <v>19.811320754716895</v>
      </c>
      <c r="H31" s="34">
        <v>1272.4137931034484</v>
      </c>
      <c r="I31" s="27">
        <v>496.77419354838702</v>
      </c>
      <c r="J31" s="34">
        <v>21.052631578947242</v>
      </c>
    </row>
    <row r="32" spans="1:10" x14ac:dyDescent="0.35">
      <c r="A32" s="40" t="s">
        <v>53</v>
      </c>
      <c r="B32" s="15">
        <v>42627</v>
      </c>
      <c r="C32" s="5" t="s">
        <v>18</v>
      </c>
      <c r="D32" s="6">
        <v>24</v>
      </c>
      <c r="E32" s="7">
        <f t="shared" ref="E32:E53" si="1">D32/24</f>
        <v>1</v>
      </c>
      <c r="F32" s="34">
        <v>26</v>
      </c>
      <c r="G32" s="27">
        <v>23</v>
      </c>
      <c r="H32" s="34">
        <v>1382.1428571428569</v>
      </c>
      <c r="I32" s="27">
        <v>478.12500000000023</v>
      </c>
      <c r="J32" s="34">
        <v>11.111111111111173</v>
      </c>
    </row>
    <row r="33" spans="1:10" x14ac:dyDescent="0.35">
      <c r="A33" s="40"/>
      <c r="B33" s="15">
        <v>42628</v>
      </c>
      <c r="C33" s="5" t="s">
        <v>20</v>
      </c>
      <c r="D33" s="6">
        <v>48</v>
      </c>
      <c r="E33" s="7">
        <f t="shared" si="1"/>
        <v>2</v>
      </c>
      <c r="F33" s="34">
        <v>11.224489795918263</v>
      </c>
      <c r="G33" s="27">
        <v>21.100917431192627</v>
      </c>
      <c r="H33" s="34">
        <v>1059.2592592592594</v>
      </c>
      <c r="I33" s="27">
        <v>462.90322580645164</v>
      </c>
      <c r="J33" s="34">
        <v>123.00000000000006</v>
      </c>
    </row>
    <row r="34" spans="1:10" x14ac:dyDescent="0.35">
      <c r="A34" s="40"/>
      <c r="B34" s="15">
        <v>42629</v>
      </c>
      <c r="C34" s="5" t="s">
        <v>21</v>
      </c>
      <c r="D34" s="6">
        <v>72</v>
      </c>
      <c r="E34" s="7">
        <f t="shared" si="1"/>
        <v>3</v>
      </c>
      <c r="F34" s="34">
        <v>11.224489795918263</v>
      </c>
      <c r="G34" s="27">
        <v>37.000000000000085</v>
      </c>
      <c r="H34" s="34">
        <v>541.53846153846166</v>
      </c>
      <c r="I34" s="27">
        <v>291.9354838709678</v>
      </c>
      <c r="J34" s="34">
        <v>148.95833333333312</v>
      </c>
    </row>
    <row r="35" spans="1:10" x14ac:dyDescent="0.35">
      <c r="A35" s="52" t="s">
        <v>41</v>
      </c>
      <c r="B35" s="15">
        <v>42630</v>
      </c>
      <c r="C35" s="5" t="s">
        <v>25</v>
      </c>
      <c r="D35" s="6">
        <v>96</v>
      </c>
      <c r="E35" s="7">
        <f t="shared" si="1"/>
        <v>4</v>
      </c>
      <c r="F35" s="34">
        <v>33</v>
      </c>
      <c r="G35" s="27">
        <v>55.999999999999943</v>
      </c>
      <c r="H35" s="34">
        <v>542.42424242424238</v>
      </c>
      <c r="I35" s="27">
        <v>198.14814814814844</v>
      </c>
      <c r="J35" s="34">
        <v>47.1153846153845</v>
      </c>
    </row>
    <row r="36" spans="1:10" x14ac:dyDescent="0.35">
      <c r="A36" s="53"/>
      <c r="B36" s="15">
        <v>42631</v>
      </c>
      <c r="C36" s="5" t="s">
        <v>26</v>
      </c>
      <c r="D36" s="6">
        <v>120</v>
      </c>
      <c r="E36" s="7">
        <f t="shared" si="1"/>
        <v>5</v>
      </c>
      <c r="F36" s="34">
        <v>17</v>
      </c>
      <c r="G36" s="27">
        <v>42</v>
      </c>
      <c r="H36" s="34">
        <v>405.26315789473699</v>
      </c>
      <c r="I36" s="27">
        <v>172.36842105263159</v>
      </c>
      <c r="J36" s="34">
        <v>45.192307692307516</v>
      </c>
    </row>
    <row r="37" spans="1:10" x14ac:dyDescent="0.35">
      <c r="A37" s="53"/>
      <c r="B37" s="15">
        <v>42632</v>
      </c>
      <c r="C37" s="5" t="s">
        <v>27</v>
      </c>
      <c r="D37" s="6">
        <v>144</v>
      </c>
      <c r="E37" s="7">
        <f t="shared" si="1"/>
        <v>6</v>
      </c>
      <c r="F37" s="34">
        <v>13</v>
      </c>
      <c r="G37" s="27">
        <v>12.745098039215645</v>
      </c>
      <c r="H37" s="34">
        <v>398.21428571428544</v>
      </c>
      <c r="I37" s="27">
        <v>204</v>
      </c>
      <c r="J37" s="34">
        <v>151</v>
      </c>
    </row>
    <row r="38" spans="1:10" x14ac:dyDescent="0.35">
      <c r="A38" s="53"/>
      <c r="B38" s="15">
        <v>42633</v>
      </c>
      <c r="C38" s="5" t="s">
        <v>28</v>
      </c>
      <c r="D38" s="6">
        <v>168</v>
      </c>
      <c r="E38" s="7">
        <f t="shared" si="1"/>
        <v>7</v>
      </c>
      <c r="F38" s="34">
        <v>16.346153846153914</v>
      </c>
      <c r="G38" s="27">
        <v>25.925925925925899</v>
      </c>
      <c r="H38" s="34">
        <v>526.66666666666697</v>
      </c>
      <c r="I38" s="27">
        <v>187.50000000000017</v>
      </c>
      <c r="J38" s="34">
        <v>21.153846153846224</v>
      </c>
    </row>
    <row r="39" spans="1:10" x14ac:dyDescent="0.35">
      <c r="A39" s="53"/>
      <c r="B39" s="15">
        <v>42635</v>
      </c>
      <c r="C39" s="5" t="s">
        <v>29</v>
      </c>
      <c r="D39" s="6">
        <v>216</v>
      </c>
      <c r="E39" s="7">
        <f t="shared" si="1"/>
        <v>9</v>
      </c>
      <c r="F39" s="34">
        <v>18.269230769230894</v>
      </c>
      <c r="G39" s="27">
        <v>23.214285714285886</v>
      </c>
      <c r="H39" s="34">
        <v>359.99999999999989</v>
      </c>
      <c r="I39" s="27">
        <v>164.22018348623851</v>
      </c>
      <c r="J39" s="34">
        <v>30.909090909090782</v>
      </c>
    </row>
    <row r="40" spans="1:10" x14ac:dyDescent="0.35">
      <c r="A40" s="53"/>
      <c r="B40" s="15">
        <v>42640</v>
      </c>
      <c r="C40" s="5" t="s">
        <v>33</v>
      </c>
      <c r="D40" s="6">
        <v>336</v>
      </c>
      <c r="E40" s="7">
        <f t="shared" si="1"/>
        <v>14</v>
      </c>
      <c r="F40" s="34">
        <v>27.884615384615252</v>
      </c>
      <c r="G40" s="27">
        <v>19.82758620689652</v>
      </c>
      <c r="H40" s="34">
        <v>656.52173913043487</v>
      </c>
      <c r="I40" s="27">
        <v>249.99999999999972</v>
      </c>
      <c r="J40" s="34">
        <v>137.03703703703712</v>
      </c>
    </row>
    <row r="41" spans="1:10" x14ac:dyDescent="0.35">
      <c r="A41" s="53"/>
      <c r="B41" s="15">
        <v>42642</v>
      </c>
      <c r="C41" s="5" t="s">
        <v>34</v>
      </c>
      <c r="D41" s="6">
        <v>384</v>
      </c>
      <c r="E41" s="7">
        <f t="shared" si="1"/>
        <v>16</v>
      </c>
      <c r="F41" s="34">
        <v>34.25925925925921</v>
      </c>
      <c r="G41" s="27">
        <v>21.666666666666828</v>
      </c>
      <c r="H41" s="34">
        <v>450.00000000000023</v>
      </c>
      <c r="I41" s="27">
        <v>200.00000000000009</v>
      </c>
      <c r="J41" s="34">
        <v>61.764705882353084</v>
      </c>
    </row>
    <row r="42" spans="1:10" x14ac:dyDescent="0.35">
      <c r="A42" s="53"/>
      <c r="B42" s="15">
        <v>42647</v>
      </c>
      <c r="C42" s="5" t="s">
        <v>35</v>
      </c>
      <c r="D42" s="6">
        <v>504</v>
      </c>
      <c r="E42" s="7">
        <f t="shared" si="1"/>
        <v>21</v>
      </c>
      <c r="F42" s="34">
        <v>40.425531914893597</v>
      </c>
      <c r="G42" s="27">
        <v>27.205882352941241</v>
      </c>
      <c r="H42" s="34">
        <v>318.75</v>
      </c>
      <c r="I42" s="27">
        <v>201.61290322580621</v>
      </c>
      <c r="J42" s="34">
        <v>33.333333333333258</v>
      </c>
    </row>
    <row r="43" spans="1:10" x14ac:dyDescent="0.35">
      <c r="A43" s="53"/>
      <c r="B43" s="15">
        <v>42649</v>
      </c>
      <c r="C43" s="5" t="s">
        <v>36</v>
      </c>
      <c r="D43" s="6">
        <v>552</v>
      </c>
      <c r="E43" s="7">
        <f t="shared" si="1"/>
        <v>23</v>
      </c>
      <c r="F43" s="34">
        <v>23.72881355932201</v>
      </c>
      <c r="G43" s="28">
        <v>19.607843137254921</v>
      </c>
      <c r="H43" s="34">
        <v>284.61538461538487</v>
      </c>
      <c r="I43" s="27">
        <v>154.09836065573779</v>
      </c>
      <c r="J43" s="34">
        <v>37.096774193548328</v>
      </c>
    </row>
    <row r="44" spans="1:10" x14ac:dyDescent="0.35">
      <c r="A44" s="53"/>
      <c r="B44" s="15">
        <v>42654</v>
      </c>
      <c r="C44" s="5" t="s">
        <v>43</v>
      </c>
      <c r="D44" s="6">
        <v>672</v>
      </c>
      <c r="E44" s="7">
        <f t="shared" si="1"/>
        <v>28</v>
      </c>
      <c r="F44" s="34">
        <v>10.833333333333414</v>
      </c>
      <c r="G44" s="28">
        <v>13.888888888888902</v>
      </c>
      <c r="H44" s="34">
        <v>467.85714285714289</v>
      </c>
      <c r="I44" s="27">
        <v>228.30188679245282</v>
      </c>
      <c r="J44" s="34">
        <v>111</v>
      </c>
    </row>
    <row r="45" spans="1:10" x14ac:dyDescent="0.35">
      <c r="A45" s="53"/>
      <c r="B45" s="15">
        <v>42656</v>
      </c>
      <c r="C45" s="5" t="s">
        <v>44</v>
      </c>
      <c r="D45" s="6">
        <v>720</v>
      </c>
      <c r="E45" s="7">
        <f t="shared" si="1"/>
        <v>30</v>
      </c>
      <c r="F45" s="34">
        <v>17.924528301886912</v>
      </c>
      <c r="G45" s="28">
        <v>15.555555555555694</v>
      </c>
      <c r="H45" s="34">
        <v>257.35294117647044</v>
      </c>
      <c r="I45" s="27">
        <v>0</v>
      </c>
      <c r="J45" s="34">
        <v>57.017543859649052</v>
      </c>
    </row>
    <row r="46" spans="1:10" x14ac:dyDescent="0.35">
      <c r="A46" s="53"/>
      <c r="B46" s="15">
        <v>42660</v>
      </c>
      <c r="C46" s="5" t="s">
        <v>45</v>
      </c>
      <c r="D46" s="6">
        <v>816</v>
      </c>
      <c r="E46" s="7">
        <f t="shared" si="1"/>
        <v>34</v>
      </c>
      <c r="F46" s="34">
        <v>9</v>
      </c>
      <c r="G46" s="28">
        <v>23</v>
      </c>
      <c r="H46" s="34">
        <v>219.44444444444457</v>
      </c>
      <c r="I46" s="27">
        <v>124.99999999999986</v>
      </c>
      <c r="J46" s="34">
        <v>74.038461538461405</v>
      </c>
    </row>
    <row r="47" spans="1:10" x14ac:dyDescent="0.35">
      <c r="A47" s="53"/>
      <c r="B47" s="15">
        <v>42663</v>
      </c>
      <c r="C47" s="5" t="s">
        <v>46</v>
      </c>
      <c r="D47" s="6">
        <v>888</v>
      </c>
      <c r="E47" s="7">
        <f t="shared" si="1"/>
        <v>37</v>
      </c>
      <c r="F47" s="34">
        <v>33.898305084745793</v>
      </c>
      <c r="G47" s="28">
        <v>14.583333333333318</v>
      </c>
      <c r="H47" s="34">
        <v>215.62500000000009</v>
      </c>
      <c r="I47" s="27">
        <v>116.66666666666656</v>
      </c>
      <c r="J47" s="34">
        <v>82</v>
      </c>
    </row>
    <row r="48" spans="1:10" x14ac:dyDescent="0.35">
      <c r="A48" s="53"/>
      <c r="B48" s="15">
        <v>42668</v>
      </c>
      <c r="C48" s="5" t="s">
        <v>47</v>
      </c>
      <c r="D48" s="6">
        <v>1008</v>
      </c>
      <c r="E48" s="7">
        <f t="shared" si="1"/>
        <v>42</v>
      </c>
      <c r="F48" s="34">
        <v>27.000000000000082</v>
      </c>
      <c r="G48" s="28">
        <v>21.818181818181813</v>
      </c>
      <c r="H48" s="34">
        <v>251.38888888888897</v>
      </c>
      <c r="I48" s="27">
        <v>99.999999999999773</v>
      </c>
      <c r="J48" s="34">
        <v>9.000000000000119</v>
      </c>
    </row>
    <row r="49" spans="1:10" x14ac:dyDescent="0.35">
      <c r="A49" s="53"/>
      <c r="B49" s="15">
        <v>42670</v>
      </c>
      <c r="C49" s="5" t="s">
        <v>48</v>
      </c>
      <c r="D49" s="6">
        <v>1056</v>
      </c>
      <c r="E49" s="7">
        <f t="shared" si="1"/>
        <v>44</v>
      </c>
      <c r="F49" s="35">
        <v>11</v>
      </c>
      <c r="G49" s="27">
        <v>18</v>
      </c>
      <c r="H49" s="34">
        <v>339.58333333333348</v>
      </c>
      <c r="I49" s="29">
        <v>151.0204081632651</v>
      </c>
      <c r="J49" s="34">
        <v>129.10447761194038</v>
      </c>
    </row>
    <row r="50" spans="1:10" x14ac:dyDescent="0.35">
      <c r="A50" s="54"/>
      <c r="B50" s="15">
        <v>42675</v>
      </c>
      <c r="C50" s="21" t="s">
        <v>49</v>
      </c>
      <c r="D50" s="22">
        <v>1176</v>
      </c>
      <c r="E50" s="7">
        <f t="shared" si="1"/>
        <v>49</v>
      </c>
      <c r="F50" s="36">
        <v>10.185185185185091</v>
      </c>
      <c r="G50" s="29">
        <v>12.500000000000092</v>
      </c>
      <c r="H50" s="35">
        <v>543.66197183098586</v>
      </c>
      <c r="I50" s="30">
        <v>265.38461538461553</v>
      </c>
      <c r="J50" s="35">
        <v>6.4814814814815387</v>
      </c>
    </row>
    <row r="51" spans="1:10" x14ac:dyDescent="0.35">
      <c r="A51" s="54"/>
      <c r="B51" s="15">
        <v>42677</v>
      </c>
      <c r="C51" s="21" t="s">
        <v>50</v>
      </c>
      <c r="D51" s="22">
        <v>1224</v>
      </c>
      <c r="E51" s="7">
        <f t="shared" si="1"/>
        <v>51</v>
      </c>
      <c r="F51" s="34">
        <v>58.928571428571374</v>
      </c>
      <c r="G51" s="30">
        <v>18.867924528301906</v>
      </c>
      <c r="H51" s="36">
        <v>485.99999999999977</v>
      </c>
      <c r="I51" s="27">
        <v>283.33333333333348</v>
      </c>
      <c r="J51" s="36">
        <v>9.0909090909090988</v>
      </c>
    </row>
    <row r="52" spans="1:10" x14ac:dyDescent="0.35">
      <c r="A52" s="54"/>
      <c r="B52" s="15">
        <v>42682</v>
      </c>
      <c r="C52" s="21" t="s">
        <v>51</v>
      </c>
      <c r="D52" s="22">
        <v>1344</v>
      </c>
      <c r="E52" s="23">
        <f t="shared" si="1"/>
        <v>56</v>
      </c>
      <c r="F52" s="34">
        <v>15.533980582524448</v>
      </c>
      <c r="G52" s="27">
        <v>14.782608695652234</v>
      </c>
      <c r="H52" s="34">
        <v>396.15384615384636</v>
      </c>
      <c r="I52" s="27">
        <v>228.84615384615373</v>
      </c>
      <c r="J52" s="34">
        <v>13.725490196078281</v>
      </c>
    </row>
    <row r="53" spans="1:10" x14ac:dyDescent="0.35">
      <c r="A53" s="54"/>
      <c r="B53" s="15">
        <v>42684</v>
      </c>
      <c r="C53" s="21" t="s">
        <v>52</v>
      </c>
      <c r="D53" s="22">
        <v>1392</v>
      </c>
      <c r="E53" s="23">
        <f t="shared" si="1"/>
        <v>58</v>
      </c>
      <c r="F53" s="34">
        <v>10</v>
      </c>
      <c r="G53" s="27">
        <v>12</v>
      </c>
      <c r="H53" s="34">
        <v>359.18367346938783</v>
      </c>
      <c r="I53" s="27">
        <v>146.42857142857116</v>
      </c>
      <c r="J53" s="34">
        <v>13.861386138613982</v>
      </c>
    </row>
  </sheetData>
  <mergeCells count="6">
    <mergeCell ref="A32:A34"/>
    <mergeCell ref="A35:A53"/>
    <mergeCell ref="F28:J28"/>
    <mergeCell ref="A5:A7"/>
    <mergeCell ref="F1:J1"/>
    <mergeCell ref="A8:A26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"/>
  <sheetViews>
    <sheetView workbookViewId="0">
      <selection activeCell="K28" sqref="K28"/>
    </sheetView>
  </sheetViews>
  <sheetFormatPr defaultRowHeight="14.5" x14ac:dyDescent="0.35"/>
  <cols>
    <col min="1" max="1" width="20" customWidth="1"/>
    <col min="2" max="2" width="12.26953125" customWidth="1"/>
    <col min="5" max="5" width="12.81640625" customWidth="1"/>
  </cols>
  <sheetData>
    <row r="1" spans="1:6" x14ac:dyDescent="0.35">
      <c r="F1" s="4" t="s">
        <v>37</v>
      </c>
    </row>
    <row r="2" spans="1:6" ht="43.5" x14ac:dyDescent="0.35">
      <c r="A2" s="5" t="s">
        <v>38</v>
      </c>
      <c r="B2" s="14" t="s">
        <v>32</v>
      </c>
      <c r="C2" s="14" t="s">
        <v>6</v>
      </c>
      <c r="D2" s="14" t="s">
        <v>7</v>
      </c>
      <c r="E2" s="14" t="s">
        <v>8</v>
      </c>
      <c r="F2" s="4" t="s">
        <v>31</v>
      </c>
    </row>
    <row r="3" spans="1:6" x14ac:dyDescent="0.35">
      <c r="A3" s="18" t="s">
        <v>39</v>
      </c>
      <c r="B3" s="15">
        <v>42626</v>
      </c>
      <c r="C3" s="5" t="s">
        <v>14</v>
      </c>
      <c r="D3" s="6">
        <v>0</v>
      </c>
      <c r="E3" s="7">
        <f>D3/24</f>
        <v>0</v>
      </c>
      <c r="F3" s="16">
        <v>1.94</v>
      </c>
    </row>
    <row r="4" spans="1:6" x14ac:dyDescent="0.35">
      <c r="A4" s="39" t="s">
        <v>40</v>
      </c>
      <c r="B4" s="15">
        <v>42626</v>
      </c>
      <c r="C4" s="5" t="s">
        <v>15</v>
      </c>
      <c r="D4" s="6">
        <v>2</v>
      </c>
      <c r="E4" s="7">
        <f t="shared" ref="E4:E32" si="0">D4/24</f>
        <v>8.3333333333333329E-2</v>
      </c>
      <c r="F4" s="16">
        <v>1.88</v>
      </c>
    </row>
    <row r="5" spans="1:6" x14ac:dyDescent="0.35">
      <c r="A5" s="55"/>
      <c r="B5" s="15">
        <v>42626</v>
      </c>
      <c r="C5" s="5" t="s">
        <v>16</v>
      </c>
      <c r="D5" s="6">
        <v>5</v>
      </c>
      <c r="E5" s="7">
        <f t="shared" si="0"/>
        <v>0.20833333333333334</v>
      </c>
      <c r="F5" s="16">
        <v>1.98</v>
      </c>
    </row>
    <row r="6" spans="1:6" x14ac:dyDescent="0.35">
      <c r="A6" s="55"/>
      <c r="B6" s="15">
        <v>42626</v>
      </c>
      <c r="C6" s="5" t="s">
        <v>17</v>
      </c>
      <c r="D6" s="6">
        <v>8</v>
      </c>
      <c r="E6" s="7">
        <f t="shared" si="0"/>
        <v>0.33333333333333331</v>
      </c>
      <c r="F6" s="16">
        <v>2.0099999999999998</v>
      </c>
    </row>
    <row r="7" spans="1:6" x14ac:dyDescent="0.35">
      <c r="A7" s="55"/>
      <c r="B7" s="15">
        <v>42627</v>
      </c>
      <c r="C7" s="5" t="s">
        <v>18</v>
      </c>
      <c r="D7" s="6">
        <v>24</v>
      </c>
      <c r="E7" s="7">
        <f t="shared" si="0"/>
        <v>1</v>
      </c>
      <c r="F7" s="16">
        <v>2.06</v>
      </c>
    </row>
    <row r="8" spans="1:6" x14ac:dyDescent="0.35">
      <c r="A8" s="55"/>
      <c r="B8" s="15">
        <v>42627</v>
      </c>
      <c r="C8" s="5" t="s">
        <v>19</v>
      </c>
      <c r="D8" s="6">
        <v>32</v>
      </c>
      <c r="E8" s="7">
        <f t="shared" si="0"/>
        <v>1.3333333333333333</v>
      </c>
      <c r="F8" s="16">
        <v>2.21</v>
      </c>
    </row>
    <row r="9" spans="1:6" x14ac:dyDescent="0.35">
      <c r="A9" s="55"/>
      <c r="B9" s="15">
        <v>42628</v>
      </c>
      <c r="C9" s="5" t="s">
        <v>20</v>
      </c>
      <c r="D9" s="6">
        <v>48</v>
      </c>
      <c r="E9" s="7">
        <f t="shared" si="0"/>
        <v>2</v>
      </c>
      <c r="F9" s="16">
        <v>2.84</v>
      </c>
    </row>
    <row r="10" spans="1:6" x14ac:dyDescent="0.35">
      <c r="A10" s="55"/>
      <c r="B10" s="15">
        <v>42629</v>
      </c>
      <c r="C10" s="5" t="s">
        <v>21</v>
      </c>
      <c r="D10" s="6">
        <v>72</v>
      </c>
      <c r="E10" s="7">
        <f t="shared" si="0"/>
        <v>3</v>
      </c>
      <c r="F10" s="16">
        <v>3.42</v>
      </c>
    </row>
    <row r="11" spans="1:6" x14ac:dyDescent="0.35">
      <c r="A11" s="55"/>
      <c r="B11" s="15">
        <v>42629</v>
      </c>
      <c r="C11" s="5" t="s">
        <v>22</v>
      </c>
      <c r="D11" s="6">
        <v>74</v>
      </c>
      <c r="E11" s="7">
        <f t="shared" si="0"/>
        <v>3.0833333333333335</v>
      </c>
      <c r="F11" s="16">
        <v>3.81</v>
      </c>
    </row>
    <row r="12" spans="1:6" x14ac:dyDescent="0.35">
      <c r="A12" s="55"/>
      <c r="B12" s="15">
        <v>42629</v>
      </c>
      <c r="C12" s="5" t="s">
        <v>23</v>
      </c>
      <c r="D12" s="6">
        <v>77</v>
      </c>
      <c r="E12" s="7">
        <f t="shared" si="0"/>
        <v>3.2083333333333335</v>
      </c>
      <c r="F12" s="16">
        <v>3.84</v>
      </c>
    </row>
    <row r="13" spans="1:6" x14ac:dyDescent="0.35">
      <c r="A13" s="56"/>
      <c r="B13" s="15">
        <v>42629</v>
      </c>
      <c r="C13" s="5" t="s">
        <v>24</v>
      </c>
      <c r="D13" s="6">
        <v>80</v>
      </c>
      <c r="E13" s="7">
        <f t="shared" si="0"/>
        <v>3.3333333333333335</v>
      </c>
      <c r="F13" s="16">
        <v>3.93</v>
      </c>
    </row>
    <row r="14" spans="1:6" x14ac:dyDescent="0.35">
      <c r="A14" s="45" t="s">
        <v>41</v>
      </c>
      <c r="B14" s="15">
        <v>42630</v>
      </c>
      <c r="C14" s="5" t="s">
        <v>25</v>
      </c>
      <c r="D14" s="6">
        <v>96</v>
      </c>
      <c r="E14" s="7">
        <f t="shared" si="0"/>
        <v>4</v>
      </c>
      <c r="F14" s="16">
        <v>2.76</v>
      </c>
    </row>
    <row r="15" spans="1:6" x14ac:dyDescent="0.35">
      <c r="A15" s="46"/>
      <c r="B15" s="15">
        <v>42631</v>
      </c>
      <c r="C15" s="5" t="s">
        <v>26</v>
      </c>
      <c r="D15" s="6">
        <v>120</v>
      </c>
      <c r="E15" s="7">
        <f t="shared" si="0"/>
        <v>5</v>
      </c>
      <c r="F15" s="16">
        <v>2.73</v>
      </c>
    </row>
    <row r="16" spans="1:6" x14ac:dyDescent="0.35">
      <c r="A16" s="46"/>
      <c r="B16" s="15">
        <v>42632</v>
      </c>
      <c r="C16" s="5" t="s">
        <v>27</v>
      </c>
      <c r="D16" s="6">
        <v>144</v>
      </c>
      <c r="E16" s="7">
        <f t="shared" si="0"/>
        <v>6</v>
      </c>
      <c r="F16" s="16">
        <v>2.4300000000000002</v>
      </c>
    </row>
    <row r="17" spans="1:6" x14ac:dyDescent="0.35">
      <c r="A17" s="46"/>
      <c r="B17" s="15">
        <v>42633</v>
      </c>
      <c r="C17" s="5" t="s">
        <v>28</v>
      </c>
      <c r="D17" s="6">
        <v>168</v>
      </c>
      <c r="E17" s="7">
        <f t="shared" si="0"/>
        <v>7</v>
      </c>
      <c r="F17" s="16">
        <v>2.5099999999999998</v>
      </c>
    </row>
    <row r="18" spans="1:6" x14ac:dyDescent="0.35">
      <c r="A18" s="46"/>
      <c r="B18" s="15">
        <v>42635</v>
      </c>
      <c r="C18" s="5" t="s">
        <v>29</v>
      </c>
      <c r="D18" s="6">
        <v>216</v>
      </c>
      <c r="E18" s="7">
        <f t="shared" si="0"/>
        <v>9</v>
      </c>
      <c r="F18" s="16">
        <v>2.64</v>
      </c>
    </row>
    <row r="19" spans="1:6" x14ac:dyDescent="0.35">
      <c r="A19" s="46"/>
      <c r="B19" s="15">
        <v>42640</v>
      </c>
      <c r="C19" s="5" t="s">
        <v>33</v>
      </c>
      <c r="D19" s="6">
        <v>336</v>
      </c>
      <c r="E19" s="7">
        <f t="shared" si="0"/>
        <v>14</v>
      </c>
      <c r="F19" s="16">
        <v>2.79</v>
      </c>
    </row>
    <row r="20" spans="1:6" x14ac:dyDescent="0.35">
      <c r="A20" s="46"/>
      <c r="B20" s="15">
        <v>42642</v>
      </c>
      <c r="C20" s="5" t="s">
        <v>34</v>
      </c>
      <c r="D20" s="6">
        <v>384</v>
      </c>
      <c r="E20" s="7">
        <f t="shared" si="0"/>
        <v>16</v>
      </c>
      <c r="F20" s="16">
        <v>2.86</v>
      </c>
    </row>
    <row r="21" spans="1:6" x14ac:dyDescent="0.35">
      <c r="A21" s="46"/>
      <c r="B21" s="15">
        <v>42647</v>
      </c>
      <c r="C21" s="5" t="s">
        <v>35</v>
      </c>
      <c r="D21" s="6">
        <v>504</v>
      </c>
      <c r="E21" s="7">
        <f t="shared" si="0"/>
        <v>21</v>
      </c>
      <c r="F21" s="16">
        <v>2.91</v>
      </c>
    </row>
    <row r="22" spans="1:6" x14ac:dyDescent="0.35">
      <c r="A22" s="46"/>
      <c r="B22" s="15">
        <v>42649</v>
      </c>
      <c r="C22" s="5" t="s">
        <v>36</v>
      </c>
      <c r="D22" s="6">
        <v>552</v>
      </c>
      <c r="E22" s="7">
        <f t="shared" si="0"/>
        <v>23</v>
      </c>
      <c r="F22" s="16">
        <v>2.78</v>
      </c>
    </row>
    <row r="23" spans="1:6" x14ac:dyDescent="0.35">
      <c r="A23" s="46"/>
      <c r="B23" s="15">
        <v>42654</v>
      </c>
      <c r="C23" s="5" t="s">
        <v>43</v>
      </c>
      <c r="D23" s="6">
        <v>672</v>
      </c>
      <c r="E23" s="7">
        <f t="shared" si="0"/>
        <v>28</v>
      </c>
      <c r="F23" s="16">
        <v>2.75</v>
      </c>
    </row>
    <row r="24" spans="1:6" x14ac:dyDescent="0.35">
      <c r="A24" s="46"/>
      <c r="B24" s="15">
        <v>42656</v>
      </c>
      <c r="C24" s="5" t="s">
        <v>44</v>
      </c>
      <c r="D24" s="6">
        <v>720</v>
      </c>
      <c r="E24" s="7">
        <f t="shared" si="0"/>
        <v>30</v>
      </c>
      <c r="F24" s="16">
        <v>2.63</v>
      </c>
    </row>
    <row r="25" spans="1:6" x14ac:dyDescent="0.35">
      <c r="A25" s="46"/>
      <c r="B25" s="15">
        <v>42660</v>
      </c>
      <c r="C25" s="5" t="s">
        <v>45</v>
      </c>
      <c r="D25" s="6">
        <v>816</v>
      </c>
      <c r="E25" s="7">
        <f t="shared" si="0"/>
        <v>34</v>
      </c>
      <c r="F25" s="16">
        <v>2.7</v>
      </c>
    </row>
    <row r="26" spans="1:6" x14ac:dyDescent="0.35">
      <c r="A26" s="46"/>
      <c r="B26" s="15">
        <v>42663</v>
      </c>
      <c r="C26" s="5" t="s">
        <v>46</v>
      </c>
      <c r="D26" s="6">
        <v>888</v>
      </c>
      <c r="E26" s="7">
        <f t="shared" si="0"/>
        <v>37</v>
      </c>
      <c r="F26" s="16">
        <v>2.54</v>
      </c>
    </row>
    <row r="27" spans="1:6" x14ac:dyDescent="0.35">
      <c r="A27" s="46"/>
      <c r="B27" s="15">
        <v>42668</v>
      </c>
      <c r="C27" s="5" t="s">
        <v>47</v>
      </c>
      <c r="D27" s="6">
        <v>1008</v>
      </c>
      <c r="E27" s="7">
        <f t="shared" si="0"/>
        <v>42</v>
      </c>
      <c r="F27" s="16">
        <v>2.4300000000000002</v>
      </c>
    </row>
    <row r="28" spans="1:6" x14ac:dyDescent="0.35">
      <c r="A28" s="46"/>
      <c r="B28" s="15">
        <v>42670</v>
      </c>
      <c r="C28" s="5" t="s">
        <v>48</v>
      </c>
      <c r="D28" s="6">
        <v>1056</v>
      </c>
      <c r="E28" s="7">
        <f t="shared" si="0"/>
        <v>44</v>
      </c>
      <c r="F28" s="16">
        <v>2.4700000000000002</v>
      </c>
    </row>
    <row r="29" spans="1:6" x14ac:dyDescent="0.35">
      <c r="A29" s="47"/>
      <c r="B29" s="15">
        <v>42675</v>
      </c>
      <c r="C29" s="21" t="s">
        <v>49</v>
      </c>
      <c r="D29" s="22">
        <v>1176</v>
      </c>
      <c r="E29" s="7">
        <f t="shared" si="0"/>
        <v>49</v>
      </c>
      <c r="F29" s="24">
        <v>2.21</v>
      </c>
    </row>
    <row r="30" spans="1:6" x14ac:dyDescent="0.35">
      <c r="A30" s="47"/>
      <c r="B30" s="15">
        <v>42677</v>
      </c>
      <c r="C30" s="21" t="s">
        <v>50</v>
      </c>
      <c r="D30" s="22">
        <v>1224</v>
      </c>
      <c r="E30" s="7">
        <f t="shared" si="0"/>
        <v>51</v>
      </c>
      <c r="F30" s="24">
        <v>2.06</v>
      </c>
    </row>
    <row r="31" spans="1:6" x14ac:dyDescent="0.35">
      <c r="A31" s="47"/>
      <c r="B31" s="15">
        <v>42682</v>
      </c>
      <c r="C31" s="21" t="s">
        <v>51</v>
      </c>
      <c r="D31" s="22">
        <v>1344</v>
      </c>
      <c r="E31" s="23">
        <f t="shared" si="0"/>
        <v>56</v>
      </c>
      <c r="F31" s="24">
        <v>2.11</v>
      </c>
    </row>
    <row r="32" spans="1:6" x14ac:dyDescent="0.35">
      <c r="A32" s="48"/>
      <c r="B32" s="15">
        <v>42684</v>
      </c>
      <c r="C32" s="21" t="s">
        <v>52</v>
      </c>
      <c r="D32" s="22">
        <v>1392</v>
      </c>
      <c r="E32" s="23">
        <f t="shared" si="0"/>
        <v>58</v>
      </c>
      <c r="F32" s="24">
        <v>2.23</v>
      </c>
    </row>
    <row r="33" spans="6:6" x14ac:dyDescent="0.35">
      <c r="F33" s="33"/>
    </row>
  </sheetData>
  <mergeCells count="2">
    <mergeCell ref="A4:A13"/>
    <mergeCell ref="A14:A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"/>
  <sheetViews>
    <sheetView workbookViewId="0">
      <selection activeCell="H33" sqref="H33"/>
    </sheetView>
  </sheetViews>
  <sheetFormatPr defaultRowHeight="14.5" x14ac:dyDescent="0.35"/>
  <cols>
    <col min="1" max="1" width="22.7265625" customWidth="1"/>
    <col min="2" max="2" width="12.1796875" customWidth="1"/>
    <col min="5" max="5" width="12.7265625" customWidth="1"/>
    <col min="6" max="6" width="14.54296875" customWidth="1"/>
  </cols>
  <sheetData>
    <row r="1" spans="1:6" x14ac:dyDescent="0.35">
      <c r="F1" s="4" t="s">
        <v>30</v>
      </c>
    </row>
    <row r="2" spans="1:6" ht="43.5" x14ac:dyDescent="0.35">
      <c r="A2" s="5" t="s">
        <v>38</v>
      </c>
      <c r="B2" s="14" t="s">
        <v>32</v>
      </c>
      <c r="C2" s="14" t="s">
        <v>6</v>
      </c>
      <c r="D2" s="14" t="s">
        <v>7</v>
      </c>
      <c r="E2" s="14" t="s">
        <v>8</v>
      </c>
      <c r="F2" s="4" t="s">
        <v>31</v>
      </c>
    </row>
    <row r="3" spans="1:6" x14ac:dyDescent="0.35">
      <c r="A3" s="18" t="s">
        <v>39</v>
      </c>
      <c r="B3" s="15">
        <v>42626</v>
      </c>
      <c r="C3" s="5" t="s">
        <v>14</v>
      </c>
      <c r="D3" s="6">
        <v>0</v>
      </c>
      <c r="E3" s="7">
        <f>D3/24</f>
        <v>0</v>
      </c>
      <c r="F3" s="7">
        <v>22.6</v>
      </c>
    </row>
    <row r="4" spans="1:6" x14ac:dyDescent="0.35">
      <c r="A4" s="39" t="s">
        <v>40</v>
      </c>
      <c r="B4" s="15">
        <v>42626</v>
      </c>
      <c r="C4" s="5" t="s">
        <v>15</v>
      </c>
      <c r="D4" s="6">
        <v>2</v>
      </c>
      <c r="E4" s="7">
        <f t="shared" ref="E4:E32" si="0">D4/24</f>
        <v>8.3333333333333329E-2</v>
      </c>
      <c r="F4" s="7">
        <v>23</v>
      </c>
    </row>
    <row r="5" spans="1:6" x14ac:dyDescent="0.35">
      <c r="A5" s="40"/>
      <c r="B5" s="15">
        <v>42626</v>
      </c>
      <c r="C5" s="5" t="s">
        <v>16</v>
      </c>
      <c r="D5" s="6">
        <v>5</v>
      </c>
      <c r="E5" s="7">
        <f t="shared" si="0"/>
        <v>0.20833333333333334</v>
      </c>
      <c r="F5" s="7">
        <v>23.2</v>
      </c>
    </row>
    <row r="6" spans="1:6" x14ac:dyDescent="0.35">
      <c r="A6" s="40"/>
      <c r="B6" s="15">
        <v>42626</v>
      </c>
      <c r="C6" s="5" t="s">
        <v>17</v>
      </c>
      <c r="D6" s="6">
        <v>8</v>
      </c>
      <c r="E6" s="7">
        <f t="shared" si="0"/>
        <v>0.33333333333333331</v>
      </c>
      <c r="F6" s="7">
        <v>23.4</v>
      </c>
    </row>
    <row r="7" spans="1:6" x14ac:dyDescent="0.35">
      <c r="A7" s="40"/>
      <c r="B7" s="15">
        <v>42627</v>
      </c>
      <c r="C7" s="5" t="s">
        <v>18</v>
      </c>
      <c r="D7" s="6">
        <v>24</v>
      </c>
      <c r="E7" s="7">
        <f t="shared" si="0"/>
        <v>1</v>
      </c>
      <c r="F7" s="7">
        <v>23.4</v>
      </c>
    </row>
    <row r="8" spans="1:6" x14ac:dyDescent="0.35">
      <c r="A8" s="40"/>
      <c r="B8" s="15">
        <v>42627</v>
      </c>
      <c r="C8" s="5" t="s">
        <v>19</v>
      </c>
      <c r="D8" s="6">
        <v>32</v>
      </c>
      <c r="E8" s="7">
        <f t="shared" si="0"/>
        <v>1.3333333333333333</v>
      </c>
      <c r="F8" s="7">
        <v>23.3</v>
      </c>
    </row>
    <row r="9" spans="1:6" x14ac:dyDescent="0.35">
      <c r="A9" s="40"/>
      <c r="B9" s="15">
        <v>42628</v>
      </c>
      <c r="C9" s="5" t="s">
        <v>20</v>
      </c>
      <c r="D9" s="6">
        <v>48</v>
      </c>
      <c r="E9" s="7">
        <f t="shared" si="0"/>
        <v>2</v>
      </c>
      <c r="F9" s="7">
        <v>23.5</v>
      </c>
    </row>
    <row r="10" spans="1:6" x14ac:dyDescent="0.35">
      <c r="A10" s="40"/>
      <c r="B10" s="15">
        <v>42629</v>
      </c>
      <c r="C10" s="5" t="s">
        <v>21</v>
      </c>
      <c r="D10" s="6">
        <v>72</v>
      </c>
      <c r="E10" s="7">
        <f t="shared" si="0"/>
        <v>3</v>
      </c>
      <c r="F10" s="7">
        <v>24.2</v>
      </c>
    </row>
    <row r="11" spans="1:6" x14ac:dyDescent="0.35">
      <c r="A11" s="40"/>
      <c r="B11" s="15">
        <v>42629</v>
      </c>
      <c r="C11" s="5" t="s">
        <v>22</v>
      </c>
      <c r="D11" s="6">
        <v>74</v>
      </c>
      <c r="E11" s="7">
        <f t="shared" si="0"/>
        <v>3.0833333333333335</v>
      </c>
      <c r="F11" s="7">
        <v>24.4</v>
      </c>
    </row>
    <row r="12" spans="1:6" x14ac:dyDescent="0.35">
      <c r="A12" s="40"/>
      <c r="B12" s="15">
        <v>42629</v>
      </c>
      <c r="C12" s="5" t="s">
        <v>23</v>
      </c>
      <c r="D12" s="6">
        <v>77</v>
      </c>
      <c r="E12" s="7">
        <f t="shared" si="0"/>
        <v>3.2083333333333335</v>
      </c>
      <c r="F12" s="7">
        <v>24.5</v>
      </c>
    </row>
    <row r="13" spans="1:6" x14ac:dyDescent="0.35">
      <c r="A13" s="41"/>
      <c r="B13" s="15">
        <v>42629</v>
      </c>
      <c r="C13" s="5" t="s">
        <v>24</v>
      </c>
      <c r="D13" s="6">
        <v>80</v>
      </c>
      <c r="E13" s="7">
        <f t="shared" si="0"/>
        <v>3.3333333333333335</v>
      </c>
      <c r="F13" s="7">
        <v>24.5</v>
      </c>
    </row>
    <row r="14" spans="1:6" x14ac:dyDescent="0.35">
      <c r="A14" s="45" t="s">
        <v>41</v>
      </c>
      <c r="B14" s="15">
        <v>42630</v>
      </c>
      <c r="C14" s="5" t="s">
        <v>25</v>
      </c>
      <c r="D14" s="6">
        <v>96</v>
      </c>
      <c r="E14" s="7">
        <f t="shared" si="0"/>
        <v>4</v>
      </c>
      <c r="F14" s="7">
        <v>23.9</v>
      </c>
    </row>
    <row r="15" spans="1:6" x14ac:dyDescent="0.35">
      <c r="A15" s="46"/>
      <c r="B15" s="15">
        <v>42631</v>
      </c>
      <c r="C15" s="5" t="s">
        <v>26</v>
      </c>
      <c r="D15" s="6">
        <v>120</v>
      </c>
      <c r="E15" s="7">
        <f t="shared" si="0"/>
        <v>5</v>
      </c>
      <c r="F15" s="7">
        <v>24.1</v>
      </c>
    </row>
    <row r="16" spans="1:6" x14ac:dyDescent="0.35">
      <c r="A16" s="46"/>
      <c r="B16" s="15">
        <v>42632</v>
      </c>
      <c r="C16" s="5" t="s">
        <v>27</v>
      </c>
      <c r="D16" s="6">
        <v>144</v>
      </c>
      <c r="E16" s="7">
        <f t="shared" si="0"/>
        <v>6</v>
      </c>
      <c r="F16" s="7">
        <v>24.3</v>
      </c>
    </row>
    <row r="17" spans="1:6" x14ac:dyDescent="0.35">
      <c r="A17" s="46"/>
      <c r="B17" s="15">
        <v>42633</v>
      </c>
      <c r="C17" s="5" t="s">
        <v>28</v>
      </c>
      <c r="D17" s="6">
        <v>168</v>
      </c>
      <c r="E17" s="7">
        <f t="shared" si="0"/>
        <v>7</v>
      </c>
      <c r="F17" s="7">
        <v>23.8</v>
      </c>
    </row>
    <row r="18" spans="1:6" x14ac:dyDescent="0.35">
      <c r="A18" s="46"/>
      <c r="B18" s="15">
        <v>42635</v>
      </c>
      <c r="C18" s="5" t="s">
        <v>29</v>
      </c>
      <c r="D18" s="6">
        <v>216</v>
      </c>
      <c r="E18" s="7">
        <f t="shared" si="0"/>
        <v>9</v>
      </c>
      <c r="F18" s="7">
        <v>24</v>
      </c>
    </row>
    <row r="19" spans="1:6" x14ac:dyDescent="0.35">
      <c r="A19" s="46"/>
      <c r="B19" s="15">
        <v>42640</v>
      </c>
      <c r="C19" s="5" t="s">
        <v>33</v>
      </c>
      <c r="D19" s="6">
        <v>336</v>
      </c>
      <c r="E19" s="7">
        <f t="shared" si="0"/>
        <v>14</v>
      </c>
      <c r="F19" s="7">
        <v>24</v>
      </c>
    </row>
    <row r="20" spans="1:6" x14ac:dyDescent="0.35">
      <c r="A20" s="46"/>
      <c r="B20" s="15">
        <v>42642</v>
      </c>
      <c r="C20" s="5" t="s">
        <v>34</v>
      </c>
      <c r="D20" s="6">
        <v>384</v>
      </c>
      <c r="E20" s="7">
        <f t="shared" si="0"/>
        <v>16</v>
      </c>
      <c r="F20" s="7">
        <v>23.4</v>
      </c>
    </row>
    <row r="21" spans="1:6" x14ac:dyDescent="0.35">
      <c r="A21" s="46"/>
      <c r="B21" s="15">
        <v>42647</v>
      </c>
      <c r="C21" s="5" t="s">
        <v>35</v>
      </c>
      <c r="D21" s="6">
        <v>504</v>
      </c>
      <c r="E21" s="7">
        <f t="shared" si="0"/>
        <v>21</v>
      </c>
      <c r="F21" s="7">
        <v>22</v>
      </c>
    </row>
    <row r="22" spans="1:6" x14ac:dyDescent="0.35">
      <c r="A22" s="46"/>
      <c r="B22" s="15">
        <v>42649</v>
      </c>
      <c r="C22" s="5" t="s">
        <v>36</v>
      </c>
      <c r="D22" s="6">
        <v>552</v>
      </c>
      <c r="E22" s="7">
        <f t="shared" si="0"/>
        <v>23</v>
      </c>
      <c r="F22" s="7">
        <v>22.4</v>
      </c>
    </row>
    <row r="23" spans="1:6" x14ac:dyDescent="0.35">
      <c r="A23" s="46"/>
      <c r="B23" s="15">
        <v>42654</v>
      </c>
      <c r="C23" s="5" t="s">
        <v>43</v>
      </c>
      <c r="D23" s="6">
        <v>672</v>
      </c>
      <c r="E23" s="7">
        <f t="shared" si="0"/>
        <v>28</v>
      </c>
      <c r="F23" s="7">
        <v>22.2</v>
      </c>
    </row>
    <row r="24" spans="1:6" x14ac:dyDescent="0.35">
      <c r="A24" s="46"/>
      <c r="B24" s="15">
        <v>42656</v>
      </c>
      <c r="C24" s="5" t="s">
        <v>44</v>
      </c>
      <c r="D24" s="6">
        <v>720</v>
      </c>
      <c r="E24" s="7">
        <f t="shared" si="0"/>
        <v>30</v>
      </c>
      <c r="F24" s="7">
        <v>22</v>
      </c>
    </row>
    <row r="25" spans="1:6" x14ac:dyDescent="0.35">
      <c r="A25" s="46"/>
      <c r="B25" s="15">
        <v>42660</v>
      </c>
      <c r="C25" s="5" t="s">
        <v>45</v>
      </c>
      <c r="D25" s="6">
        <v>816</v>
      </c>
      <c r="E25" s="7">
        <f t="shared" si="0"/>
        <v>34</v>
      </c>
      <c r="F25" s="7">
        <v>21.9</v>
      </c>
    </row>
    <row r="26" spans="1:6" x14ac:dyDescent="0.35">
      <c r="A26" s="46"/>
      <c r="B26" s="15">
        <v>42663</v>
      </c>
      <c r="C26" s="5" t="s">
        <v>46</v>
      </c>
      <c r="D26" s="6">
        <v>888</v>
      </c>
      <c r="E26" s="7">
        <f t="shared" si="0"/>
        <v>37</v>
      </c>
      <c r="F26" s="7">
        <v>21.9</v>
      </c>
    </row>
    <row r="27" spans="1:6" x14ac:dyDescent="0.35">
      <c r="A27" s="46"/>
      <c r="B27" s="15">
        <v>42668</v>
      </c>
      <c r="C27" s="5" t="s">
        <v>47</v>
      </c>
      <c r="D27" s="6">
        <v>1008</v>
      </c>
      <c r="E27" s="7">
        <f t="shared" si="0"/>
        <v>42</v>
      </c>
      <c r="F27" s="7">
        <v>21.4</v>
      </c>
    </row>
    <row r="28" spans="1:6" x14ac:dyDescent="0.35">
      <c r="A28" s="46"/>
      <c r="B28" s="15">
        <v>42670</v>
      </c>
      <c r="C28" s="5" t="s">
        <v>48</v>
      </c>
      <c r="D28" s="6">
        <v>1056</v>
      </c>
      <c r="E28" s="7">
        <f t="shared" si="0"/>
        <v>44</v>
      </c>
      <c r="F28" s="7">
        <v>21.3</v>
      </c>
    </row>
    <row r="29" spans="1:6" x14ac:dyDescent="0.35">
      <c r="A29" s="47"/>
      <c r="B29" s="15">
        <v>42675</v>
      </c>
      <c r="C29" s="21" t="s">
        <v>49</v>
      </c>
      <c r="D29" s="22">
        <v>1176</v>
      </c>
      <c r="E29" s="7">
        <f t="shared" si="0"/>
        <v>49</v>
      </c>
      <c r="F29" s="23">
        <v>21</v>
      </c>
    </row>
    <row r="30" spans="1:6" x14ac:dyDescent="0.35">
      <c r="A30" s="47"/>
      <c r="B30" s="15">
        <v>42677</v>
      </c>
      <c r="C30" s="21" t="s">
        <v>50</v>
      </c>
      <c r="D30" s="22">
        <v>1224</v>
      </c>
      <c r="E30" s="7">
        <f t="shared" si="0"/>
        <v>51</v>
      </c>
      <c r="F30" s="23">
        <v>21.6</v>
      </c>
    </row>
    <row r="31" spans="1:6" x14ac:dyDescent="0.35">
      <c r="A31" s="47"/>
      <c r="B31" s="15">
        <v>42682</v>
      </c>
      <c r="C31" s="21" t="s">
        <v>51</v>
      </c>
      <c r="D31" s="22">
        <v>1344</v>
      </c>
      <c r="E31" s="23">
        <f t="shared" si="0"/>
        <v>56</v>
      </c>
      <c r="F31" s="23">
        <v>21.4</v>
      </c>
    </row>
    <row r="32" spans="1:6" x14ac:dyDescent="0.35">
      <c r="A32" s="48"/>
      <c r="B32" s="15">
        <v>42684</v>
      </c>
      <c r="C32" s="21" t="s">
        <v>52</v>
      </c>
      <c r="D32" s="22">
        <v>1392</v>
      </c>
      <c r="E32" s="23">
        <f t="shared" si="0"/>
        <v>58</v>
      </c>
      <c r="F32" s="23">
        <v>21.1</v>
      </c>
    </row>
  </sheetData>
  <mergeCells count="2">
    <mergeCell ref="A4:A13"/>
    <mergeCell ref="A14:A3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ECBA9-4BB0-4E4F-85E4-05885CC27990}">
  <dimension ref="A1:B18"/>
  <sheetViews>
    <sheetView workbookViewId="0">
      <selection activeCell="G3" sqref="G3"/>
    </sheetView>
  </sheetViews>
  <sheetFormatPr defaultRowHeight="14.5" x14ac:dyDescent="0.35"/>
  <cols>
    <col min="2" max="2" width="29.81640625" customWidth="1"/>
  </cols>
  <sheetData>
    <row r="1" spans="1:2" x14ac:dyDescent="0.35">
      <c r="A1" s="37" t="s">
        <v>59</v>
      </c>
      <c r="B1" s="37" t="s">
        <v>60</v>
      </c>
    </row>
    <row r="2" spans="1:2" x14ac:dyDescent="0.35">
      <c r="A2" t="s">
        <v>61</v>
      </c>
      <c r="B2" t="s">
        <v>62</v>
      </c>
    </row>
    <row r="3" spans="1:2" x14ac:dyDescent="0.35">
      <c r="A3" t="s">
        <v>63</v>
      </c>
      <c r="B3" t="s">
        <v>64</v>
      </c>
    </row>
    <row r="4" spans="1:2" x14ac:dyDescent="0.35">
      <c r="A4" t="s">
        <v>65</v>
      </c>
      <c r="B4" t="s">
        <v>66</v>
      </c>
    </row>
    <row r="5" spans="1:2" x14ac:dyDescent="0.35">
      <c r="A5" t="s">
        <v>67</v>
      </c>
      <c r="B5" t="s">
        <v>68</v>
      </c>
    </row>
    <row r="6" spans="1:2" x14ac:dyDescent="0.35">
      <c r="A6" t="s">
        <v>69</v>
      </c>
      <c r="B6" t="s">
        <v>70</v>
      </c>
    </row>
    <row r="7" spans="1:2" x14ac:dyDescent="0.35">
      <c r="A7" t="s">
        <v>71</v>
      </c>
      <c r="B7" t="s">
        <v>72</v>
      </c>
    </row>
    <row r="8" spans="1:2" x14ac:dyDescent="0.35">
      <c r="A8" t="s">
        <v>73</v>
      </c>
      <c r="B8" t="s">
        <v>74</v>
      </c>
    </row>
    <row r="9" spans="1:2" x14ac:dyDescent="0.35">
      <c r="A9" t="s">
        <v>75</v>
      </c>
      <c r="B9" t="s">
        <v>76</v>
      </c>
    </row>
    <row r="10" spans="1:2" x14ac:dyDescent="0.35">
      <c r="A10" t="s">
        <v>77</v>
      </c>
      <c r="B10" t="s">
        <v>78</v>
      </c>
    </row>
    <row r="11" spans="1:2" x14ac:dyDescent="0.35">
      <c r="A11" t="s">
        <v>79</v>
      </c>
      <c r="B11" t="s">
        <v>80</v>
      </c>
    </row>
    <row r="12" spans="1:2" x14ac:dyDescent="0.35">
      <c r="A12" t="s">
        <v>81</v>
      </c>
      <c r="B12" t="s">
        <v>82</v>
      </c>
    </row>
    <row r="13" spans="1:2" x14ac:dyDescent="0.35">
      <c r="A13" t="s">
        <v>83</v>
      </c>
      <c r="B13" t="s">
        <v>84</v>
      </c>
    </row>
    <row r="14" spans="1:2" x14ac:dyDescent="0.35">
      <c r="A14" t="s">
        <v>85</v>
      </c>
      <c r="B14" t="s">
        <v>86</v>
      </c>
    </row>
    <row r="15" spans="1:2" x14ac:dyDescent="0.35">
      <c r="A15" t="s">
        <v>87</v>
      </c>
      <c r="B15" s="38" t="s">
        <v>88</v>
      </c>
    </row>
    <row r="16" spans="1:2" x14ac:dyDescent="0.35">
      <c r="A16" t="s">
        <v>89</v>
      </c>
      <c r="B16" t="s">
        <v>90</v>
      </c>
    </row>
    <row r="17" spans="1:2" x14ac:dyDescent="0.35">
      <c r="A17" t="s">
        <v>91</v>
      </c>
      <c r="B17" t="s">
        <v>92</v>
      </c>
    </row>
    <row r="18" spans="1:2" x14ac:dyDescent="0.35">
      <c r="A18" t="s">
        <v>93</v>
      </c>
      <c r="B18" t="s">
        <v>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BG </vt:lpstr>
      <vt:lpstr>COD</vt:lpstr>
      <vt:lpstr>NH3</vt:lpstr>
      <vt:lpstr>TSS &amp; VSS</vt:lpstr>
      <vt:lpstr>DO</vt:lpstr>
      <vt:lpstr>Temperature</vt:lpstr>
      <vt:lpstr>Data 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Silva, Gune</dc:creator>
  <cp:lastModifiedBy>Burdsall, Adam</cp:lastModifiedBy>
  <dcterms:created xsi:type="dcterms:W3CDTF">2016-10-27T13:59:07Z</dcterms:created>
  <dcterms:modified xsi:type="dcterms:W3CDTF">2022-10-03T15:32:25Z</dcterms:modified>
</cp:coreProperties>
</file>